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795" windowHeight="132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Alena</author>
  </authors>
  <commentList>
    <comment ref="G16" authorId="0">
      <text>
        <r>
          <rPr>
            <b/>
            <sz val="8"/>
            <rFont val="Tahoma"/>
            <family val="0"/>
          </rPr>
          <t>Alena:</t>
        </r>
        <r>
          <rPr>
            <sz val="8"/>
            <rFont val="Tahoma"/>
            <family val="0"/>
          </rPr>
          <t xml:space="preserve">
275 перенесла на оплату СП52
473 перенесла на оплату СП51</t>
        </r>
      </text>
    </comment>
    <comment ref="I16" authorId="0">
      <text>
        <r>
          <rPr>
            <b/>
            <sz val="8"/>
            <rFont val="Tahoma"/>
            <family val="0"/>
          </rPr>
          <t>Alena:</t>
        </r>
        <r>
          <rPr>
            <sz val="8"/>
            <rFont val="Tahoma"/>
            <family val="0"/>
          </rPr>
          <t xml:space="preserve">
перенесла на 52сп</t>
        </r>
      </text>
    </comment>
    <comment ref="F32" authorId="0">
      <text>
        <r>
          <rPr>
            <b/>
            <sz val="8"/>
            <rFont val="Tahoma"/>
            <family val="0"/>
          </rPr>
          <t>Alena:</t>
        </r>
        <r>
          <rPr>
            <sz val="8"/>
            <rFont val="Tahoma"/>
            <family val="0"/>
          </rPr>
          <t xml:space="preserve">
-169 - это транспортные сп49</t>
        </r>
      </text>
    </comment>
    <comment ref="I33" authorId="0">
      <text>
        <r>
          <rPr>
            <b/>
            <sz val="8"/>
            <rFont val="Tahoma"/>
            <family val="0"/>
          </rPr>
          <t>Alena:</t>
        </r>
        <r>
          <rPr>
            <sz val="8"/>
            <rFont val="Tahoma"/>
            <family val="0"/>
          </rPr>
          <t xml:space="preserve">
155,14 перенесла на сп51
</t>
        </r>
      </text>
    </comment>
  </commentList>
</comments>
</file>

<file path=xl/sharedStrings.xml><?xml version="1.0" encoding="utf-8"?>
<sst xmlns="http://schemas.openxmlformats.org/spreadsheetml/2006/main" count="65" uniqueCount="63">
  <si>
    <t>Ник</t>
  </si>
  <si>
    <t>Сумма</t>
  </si>
  <si>
    <t>Сумма с ОРГ</t>
  </si>
  <si>
    <t>Раскидка</t>
  </si>
  <si>
    <t>К оплате</t>
  </si>
  <si>
    <t>С депозита</t>
  </si>
  <si>
    <t>Оплачено</t>
  </si>
  <si>
    <t>трансп.</t>
  </si>
  <si>
    <t>Баланс (+ должны нам, - должны мы)</t>
  </si>
  <si>
    <t>T-387</t>
  </si>
  <si>
    <t>T-435</t>
  </si>
  <si>
    <t>T-382</t>
  </si>
  <si>
    <t>110-B1-A</t>
  </si>
  <si>
    <t>T-397</t>
  </si>
  <si>
    <t>T-475</t>
  </si>
  <si>
    <t>ЦЕНА</t>
  </si>
  <si>
    <t>Aniksa</t>
  </si>
  <si>
    <t>avis rara</t>
  </si>
  <si>
    <t>Belka83</t>
  </si>
  <si>
    <t>ctunami</t>
  </si>
  <si>
    <t>Erica</t>
  </si>
  <si>
    <t>MAR1979</t>
  </si>
  <si>
    <t>moroz</t>
  </si>
  <si>
    <t>Natal'Ok</t>
  </si>
  <si>
    <t>natawa_gal</t>
  </si>
  <si>
    <t>NNASTENNKA</t>
  </si>
  <si>
    <t>Pavlovna</t>
  </si>
  <si>
    <t>Sazan4ik</t>
  </si>
  <si>
    <t>37, 38</t>
  </si>
  <si>
    <t>sergienkovasg</t>
  </si>
  <si>
    <t>Sама по Sебе</t>
  </si>
  <si>
    <t>36, 37</t>
  </si>
  <si>
    <t>35, 37</t>
  </si>
  <si>
    <t>Stelena</t>
  </si>
  <si>
    <t>TAISSA</t>
  </si>
  <si>
    <t>39, 40</t>
  </si>
  <si>
    <t>trie</t>
  </si>
  <si>
    <t>38, 39</t>
  </si>
  <si>
    <t>Twins</t>
  </si>
  <si>
    <t>Vitalia</t>
  </si>
  <si>
    <t>38, 41</t>
  </si>
  <si>
    <t>АГАТА ЮРЬЕВНА</t>
  </si>
  <si>
    <t>Алиева Анастасия 2010</t>
  </si>
  <si>
    <t>Брусnika</t>
  </si>
  <si>
    <t>Валюша</t>
  </si>
  <si>
    <t>Ёжик_В_Тумане_90</t>
  </si>
  <si>
    <t>Лорэн 39</t>
  </si>
  <si>
    <t>Марфуша</t>
  </si>
  <si>
    <t>Матю-Ха</t>
  </si>
  <si>
    <t>36, 39</t>
  </si>
  <si>
    <t>36, 37, 38</t>
  </si>
  <si>
    <t>36,37,40</t>
  </si>
  <si>
    <t>Нюрашка</t>
  </si>
  <si>
    <t>Оксна</t>
  </si>
  <si>
    <t>Олька К</t>
  </si>
  <si>
    <t>36, 39,39</t>
  </si>
  <si>
    <t>Пандора777</t>
  </si>
  <si>
    <t>Тати_81</t>
  </si>
  <si>
    <t>Элен_а</t>
  </si>
  <si>
    <t>ПРИСТРОЙ</t>
  </si>
  <si>
    <t>40, 41</t>
  </si>
  <si>
    <t>Пар в ряду</t>
  </si>
  <si>
    <t>раскидка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</si>
</sst>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9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indexed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 Cyr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textRotation="90" wrapText="1"/>
    </xf>
    <xf numFmtId="0" fontId="1" fillId="0" borderId="2" xfId="0" applyFont="1" applyFill="1" applyBorder="1" applyAlignment="1">
      <alignment horizontal="left" textRotation="90" wrapText="1"/>
    </xf>
    <xf numFmtId="0" fontId="1" fillId="0" borderId="3" xfId="0" applyFont="1" applyFill="1" applyBorder="1" applyAlignment="1">
      <alignment horizontal="left" textRotation="90" wrapText="1"/>
    </xf>
    <xf numFmtId="0" fontId="2" fillId="0" borderId="2" xfId="0" applyFont="1" applyFill="1" applyBorder="1" applyAlignment="1">
      <alignment horizontal="left" textRotation="90" wrapText="1"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164" fontId="1" fillId="0" borderId="3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</xdr:colOff>
      <xdr:row>0</xdr:row>
      <xdr:rowOff>19050</xdr:rowOff>
    </xdr:from>
    <xdr:to>
      <xdr:col>9</xdr:col>
      <xdr:colOff>666750</xdr:colOff>
      <xdr:row>0</xdr:row>
      <xdr:rowOff>342900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19050"/>
          <a:ext cx="600075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95250</xdr:colOff>
      <xdr:row>0</xdr:row>
      <xdr:rowOff>9525</xdr:rowOff>
    </xdr:from>
    <xdr:to>
      <xdr:col>10</xdr:col>
      <xdr:colOff>685800</xdr:colOff>
      <xdr:row>0</xdr:row>
      <xdr:rowOff>323850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9525"/>
          <a:ext cx="59055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57150</xdr:colOff>
      <xdr:row>0</xdr:row>
      <xdr:rowOff>0</xdr:rowOff>
    </xdr:from>
    <xdr:to>
      <xdr:col>12</xdr:col>
      <xdr:colOff>9525</xdr:colOff>
      <xdr:row>0</xdr:row>
      <xdr:rowOff>352425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05725" y="0"/>
          <a:ext cx="63817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171450</xdr:colOff>
      <xdr:row>0</xdr:row>
      <xdr:rowOff>0</xdr:rowOff>
    </xdr:from>
    <xdr:to>
      <xdr:col>12</xdr:col>
      <xdr:colOff>685800</xdr:colOff>
      <xdr:row>0</xdr:row>
      <xdr:rowOff>466725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05825" y="0"/>
          <a:ext cx="51435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133350</xdr:colOff>
      <xdr:row>0</xdr:row>
      <xdr:rowOff>0</xdr:rowOff>
    </xdr:from>
    <xdr:to>
      <xdr:col>13</xdr:col>
      <xdr:colOff>723900</xdr:colOff>
      <xdr:row>0</xdr:row>
      <xdr:rowOff>314325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53525" y="0"/>
          <a:ext cx="59055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133350</xdr:colOff>
      <xdr:row>0</xdr:row>
      <xdr:rowOff>0</xdr:rowOff>
    </xdr:from>
    <xdr:to>
      <xdr:col>14</xdr:col>
      <xdr:colOff>666750</xdr:colOff>
      <xdr:row>0</xdr:row>
      <xdr:rowOff>295275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96475" y="0"/>
          <a:ext cx="533400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133350</xdr:colOff>
      <xdr:row>0</xdr:row>
      <xdr:rowOff>19050</xdr:rowOff>
    </xdr:from>
    <xdr:to>
      <xdr:col>15</xdr:col>
      <xdr:colOff>685800</xdr:colOff>
      <xdr:row>0</xdr:row>
      <xdr:rowOff>314325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582275" y="19050"/>
          <a:ext cx="552450" cy="295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tabSelected="1" workbookViewId="0" topLeftCell="A1">
      <selection activeCell="M7" sqref="M7"/>
    </sheetView>
  </sheetViews>
  <sheetFormatPr defaultColWidth="9.125" defaultRowHeight="12.75"/>
  <cols>
    <col min="1" max="1" width="19.75390625" style="6" bestFit="1" customWidth="1"/>
    <col min="2" max="2" width="7.00390625" style="6" customWidth="1"/>
    <col min="3" max="3" width="7.25390625" style="6" customWidth="1"/>
    <col min="4" max="4" width="6.00390625" style="6" customWidth="1"/>
    <col min="5" max="5" width="6.875" style="6" customWidth="1"/>
    <col min="6" max="7" width="7.125" style="6" customWidth="1"/>
    <col min="8" max="8" width="7.00390625" style="6" customWidth="1"/>
    <col min="9" max="9" width="12.625" style="6" customWidth="1"/>
    <col min="10" max="10" width="8.875" style="6" customWidth="1"/>
    <col min="11" max="11" width="10.75390625" style="6" customWidth="1"/>
    <col min="12" max="13" width="9.00390625" style="6" bestFit="1" customWidth="1"/>
    <col min="14" max="14" width="9.75390625" style="6" customWidth="1"/>
    <col min="15" max="15" width="9.00390625" style="6" bestFit="1" customWidth="1"/>
    <col min="16" max="16" width="9.125" style="6" customWidth="1"/>
    <col min="17" max="17" width="9.00390625" style="6" bestFit="1" customWidth="1"/>
    <col min="18" max="21" width="9.00390625" style="6" customWidth="1"/>
    <col min="22" max="23" width="9.00390625" style="6" bestFit="1" customWidth="1"/>
    <col min="24" max="16384" width="9.125" style="6" customWidth="1"/>
  </cols>
  <sheetData>
    <row r="1" spans="1:23" ht="60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5" t="s">
        <v>9</v>
      </c>
      <c r="K1" s="5" t="s">
        <v>10</v>
      </c>
      <c r="L1" s="5" t="s">
        <v>11</v>
      </c>
      <c r="M1" s="5">
        <v>8041</v>
      </c>
      <c r="N1" s="5" t="s">
        <v>12</v>
      </c>
      <c r="O1" s="5" t="s">
        <v>13</v>
      </c>
      <c r="P1" s="5" t="s">
        <v>14</v>
      </c>
      <c r="Q1" s="5"/>
      <c r="R1" s="5"/>
      <c r="S1" s="5"/>
      <c r="T1" s="5"/>
      <c r="U1" s="5"/>
      <c r="V1" s="5"/>
      <c r="W1" s="5"/>
    </row>
    <row r="2" spans="1:23" ht="15">
      <c r="A2" s="7" t="s">
        <v>15</v>
      </c>
      <c r="B2" s="7"/>
      <c r="C2" s="7"/>
      <c r="D2" s="8"/>
      <c r="E2" s="8"/>
      <c r="F2" s="8"/>
      <c r="G2" s="8"/>
      <c r="H2" s="7"/>
      <c r="I2" s="9"/>
      <c r="J2" s="10">
        <v>250</v>
      </c>
      <c r="K2" s="11">
        <v>350</v>
      </c>
      <c r="L2" s="11">
        <v>350</v>
      </c>
      <c r="M2" s="11">
        <v>450</v>
      </c>
      <c r="N2" s="11">
        <v>1050</v>
      </c>
      <c r="O2" s="11">
        <v>250</v>
      </c>
      <c r="P2" s="11">
        <v>250</v>
      </c>
      <c r="Q2" s="11"/>
      <c r="R2" s="11"/>
      <c r="S2" s="11"/>
      <c r="T2" s="11"/>
      <c r="U2" s="11"/>
      <c r="V2" s="11"/>
      <c r="W2" s="11"/>
    </row>
    <row r="3" spans="1:23" ht="14.25">
      <c r="A3" s="12" t="s">
        <v>16</v>
      </c>
      <c r="B3" s="12">
        <f aca="true" t="shared" si="0" ref="B3:B13">SUMIF($J3:$AC3,"&lt;&gt;",$J$2:$AC$2)</f>
        <v>600</v>
      </c>
      <c r="C3" s="12">
        <f aca="true" t="shared" si="1" ref="C3:C40">B3*1.075</f>
        <v>645</v>
      </c>
      <c r="D3" s="13"/>
      <c r="E3" s="13">
        <f aca="true" t="shared" si="2" ref="E3:E40">C3+D3</f>
        <v>645</v>
      </c>
      <c r="F3" s="13"/>
      <c r="G3" s="12">
        <v>650</v>
      </c>
      <c r="H3" s="12">
        <f>1287/64*2</f>
        <v>40.21875</v>
      </c>
      <c r="I3" s="14">
        <f aca="true" t="shared" si="3" ref="I3:I40">E3-F3-G3+H3</f>
        <v>35.21875</v>
      </c>
      <c r="J3" s="12"/>
      <c r="K3" s="12"/>
      <c r="L3" s="12">
        <v>39</v>
      </c>
      <c r="M3" s="12"/>
      <c r="N3" s="12"/>
      <c r="O3" s="12">
        <v>40</v>
      </c>
      <c r="P3" s="12"/>
      <c r="Q3" s="12"/>
      <c r="R3" s="12"/>
      <c r="S3" s="12"/>
      <c r="T3" s="12"/>
      <c r="U3" s="12"/>
      <c r="V3" s="12"/>
      <c r="W3" s="12"/>
    </row>
    <row r="4" spans="1:23" ht="14.25">
      <c r="A4" s="12" t="s">
        <v>17</v>
      </c>
      <c r="B4" s="12">
        <f t="shared" si="0"/>
        <v>450</v>
      </c>
      <c r="C4" s="12">
        <f t="shared" si="1"/>
        <v>483.75</v>
      </c>
      <c r="D4" s="13"/>
      <c r="E4" s="13">
        <f t="shared" si="2"/>
        <v>483.75</v>
      </c>
      <c r="F4" s="13"/>
      <c r="G4" s="12">
        <v>500</v>
      </c>
      <c r="H4" s="12">
        <f aca="true" t="shared" si="4" ref="H4:H35">1287/64</f>
        <v>20.109375</v>
      </c>
      <c r="I4" s="14">
        <f t="shared" si="3"/>
        <v>3.859375</v>
      </c>
      <c r="J4" s="12"/>
      <c r="K4" s="12"/>
      <c r="L4" s="12"/>
      <c r="M4" s="12">
        <v>37</v>
      </c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3" ht="14.25">
      <c r="A5" s="12" t="s">
        <v>18</v>
      </c>
      <c r="B5" s="12">
        <f t="shared" si="0"/>
        <v>250</v>
      </c>
      <c r="C5" s="12">
        <f t="shared" si="1"/>
        <v>268.75</v>
      </c>
      <c r="D5" s="13"/>
      <c r="E5" s="13">
        <f t="shared" si="2"/>
        <v>268.75</v>
      </c>
      <c r="F5" s="13"/>
      <c r="G5" s="12">
        <v>269</v>
      </c>
      <c r="H5" s="12">
        <f t="shared" si="4"/>
        <v>20.109375</v>
      </c>
      <c r="I5" s="14">
        <f t="shared" si="3"/>
        <v>19.859375</v>
      </c>
      <c r="J5" s="12"/>
      <c r="K5" s="12"/>
      <c r="L5" s="12"/>
      <c r="M5" s="12"/>
      <c r="N5" s="12"/>
      <c r="O5" s="12">
        <v>37</v>
      </c>
      <c r="P5" s="12"/>
      <c r="Q5" s="12"/>
      <c r="R5" s="12"/>
      <c r="S5" s="12"/>
      <c r="T5" s="12"/>
      <c r="U5" s="12"/>
      <c r="V5" s="12"/>
      <c r="W5" s="12"/>
    </row>
    <row r="6" spans="1:23" ht="14.25">
      <c r="A6" s="12" t="s">
        <v>19</v>
      </c>
      <c r="B6" s="12">
        <f t="shared" si="0"/>
        <v>450</v>
      </c>
      <c r="C6" s="12">
        <f t="shared" si="1"/>
        <v>483.75</v>
      </c>
      <c r="D6" s="13"/>
      <c r="E6" s="13">
        <f t="shared" si="2"/>
        <v>483.75</v>
      </c>
      <c r="F6" s="13"/>
      <c r="G6" s="12">
        <v>500</v>
      </c>
      <c r="H6" s="12">
        <f t="shared" si="4"/>
        <v>20.109375</v>
      </c>
      <c r="I6" s="14">
        <f t="shared" si="3"/>
        <v>3.859375</v>
      </c>
      <c r="J6" s="12"/>
      <c r="K6" s="12"/>
      <c r="L6" s="12"/>
      <c r="M6" s="12">
        <v>36</v>
      </c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14.25">
      <c r="A7" s="12" t="s">
        <v>20</v>
      </c>
      <c r="B7" s="12">
        <f t="shared" si="0"/>
        <v>600</v>
      </c>
      <c r="C7" s="12">
        <f t="shared" si="1"/>
        <v>645</v>
      </c>
      <c r="D7" s="13">
        <f>350/9</f>
        <v>38.888888888888886</v>
      </c>
      <c r="E7" s="13">
        <f t="shared" si="2"/>
        <v>683.8888888888889</v>
      </c>
      <c r="F7" s="13"/>
      <c r="G7" s="12"/>
      <c r="H7" s="12">
        <f>1287/64*2</f>
        <v>40.21875</v>
      </c>
      <c r="I7" s="14">
        <f t="shared" si="3"/>
        <v>724.1076388888889</v>
      </c>
      <c r="J7" s="12"/>
      <c r="K7" s="12">
        <v>38</v>
      </c>
      <c r="L7" s="12"/>
      <c r="M7" s="12"/>
      <c r="N7" s="12"/>
      <c r="O7" s="12">
        <v>38</v>
      </c>
      <c r="P7" s="12"/>
      <c r="Q7" s="12"/>
      <c r="R7" s="12"/>
      <c r="S7" s="12"/>
      <c r="T7" s="12"/>
      <c r="U7" s="12"/>
      <c r="V7" s="12"/>
      <c r="W7" s="12"/>
    </row>
    <row r="8" spans="1:23" ht="14.25">
      <c r="A8" s="12" t="s">
        <v>21</v>
      </c>
      <c r="B8" s="12">
        <f t="shared" si="0"/>
        <v>250</v>
      </c>
      <c r="C8" s="12">
        <f t="shared" si="1"/>
        <v>268.75</v>
      </c>
      <c r="D8" s="13">
        <f>250/9</f>
        <v>27.77777777777778</v>
      </c>
      <c r="E8" s="13">
        <f t="shared" si="2"/>
        <v>296.52777777777777</v>
      </c>
      <c r="F8" s="13"/>
      <c r="G8" s="12">
        <v>415</v>
      </c>
      <c r="H8" s="12">
        <f t="shared" si="4"/>
        <v>20.109375</v>
      </c>
      <c r="I8" s="14">
        <f t="shared" si="3"/>
        <v>-98.36284722222223</v>
      </c>
      <c r="J8" s="12">
        <v>38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ht="14.25">
      <c r="A9" s="12" t="s">
        <v>22</v>
      </c>
      <c r="B9" s="12">
        <f t="shared" si="0"/>
        <v>350</v>
      </c>
      <c r="C9" s="12">
        <f t="shared" si="1"/>
        <v>376.25</v>
      </c>
      <c r="D9" s="13">
        <f>350/9</f>
        <v>38.888888888888886</v>
      </c>
      <c r="E9" s="13">
        <f t="shared" si="2"/>
        <v>415.1388888888889</v>
      </c>
      <c r="F9" s="13">
        <v>90</v>
      </c>
      <c r="G9" s="12">
        <v>420</v>
      </c>
      <c r="H9" s="12">
        <f t="shared" si="4"/>
        <v>20.109375</v>
      </c>
      <c r="I9" s="14">
        <f t="shared" si="3"/>
        <v>-74.75173611111109</v>
      </c>
      <c r="J9" s="12"/>
      <c r="K9" s="12">
        <v>37</v>
      </c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ht="14.25">
      <c r="A10" s="12" t="s">
        <v>23</v>
      </c>
      <c r="B10" s="12">
        <f t="shared" si="0"/>
        <v>500</v>
      </c>
      <c r="C10" s="12">
        <f t="shared" si="1"/>
        <v>537.5</v>
      </c>
      <c r="D10" s="13">
        <f>250/9</f>
        <v>27.77777777777778</v>
      </c>
      <c r="E10" s="13">
        <f t="shared" si="2"/>
        <v>565.2777777777778</v>
      </c>
      <c r="F10" s="13"/>
      <c r="G10" s="12">
        <v>565.5</v>
      </c>
      <c r="H10" s="12">
        <f>1287/64*2</f>
        <v>40.21875</v>
      </c>
      <c r="I10" s="14">
        <f t="shared" si="3"/>
        <v>39.99652777777783</v>
      </c>
      <c r="J10" s="12">
        <v>37</v>
      </c>
      <c r="K10" s="12"/>
      <c r="L10" s="12"/>
      <c r="M10" s="12"/>
      <c r="N10" s="12"/>
      <c r="O10" s="12">
        <v>37</v>
      </c>
      <c r="P10" s="12"/>
      <c r="Q10" s="12"/>
      <c r="R10" s="12"/>
      <c r="S10" s="12"/>
      <c r="T10" s="12"/>
      <c r="U10" s="12"/>
      <c r="V10" s="12"/>
      <c r="W10" s="12"/>
    </row>
    <row r="11" spans="1:23" ht="14.25">
      <c r="A11" s="12" t="s">
        <v>24</v>
      </c>
      <c r="B11" s="12">
        <f t="shared" si="0"/>
        <v>350</v>
      </c>
      <c r="C11" s="12">
        <f t="shared" si="1"/>
        <v>376.25</v>
      </c>
      <c r="D11" s="13">
        <f>350/9</f>
        <v>38.888888888888886</v>
      </c>
      <c r="E11" s="13">
        <f t="shared" si="2"/>
        <v>415.1388888888889</v>
      </c>
      <c r="F11" s="13">
        <v>194</v>
      </c>
      <c r="G11" s="12">
        <v>222</v>
      </c>
      <c r="H11" s="12">
        <f t="shared" si="4"/>
        <v>20.109375</v>
      </c>
      <c r="I11" s="14">
        <f t="shared" si="3"/>
        <v>19.248263888888914</v>
      </c>
      <c r="J11" s="12"/>
      <c r="K11" s="12">
        <v>39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ht="14.25">
      <c r="A12" s="12" t="s">
        <v>25</v>
      </c>
      <c r="B12" s="12">
        <f t="shared" si="0"/>
        <v>1050</v>
      </c>
      <c r="C12" s="12">
        <f t="shared" si="1"/>
        <v>1128.75</v>
      </c>
      <c r="D12" s="13"/>
      <c r="E12" s="13">
        <f t="shared" si="2"/>
        <v>1128.75</v>
      </c>
      <c r="F12" s="13"/>
      <c r="G12" s="12">
        <v>1129</v>
      </c>
      <c r="H12" s="12">
        <f t="shared" si="4"/>
        <v>20.109375</v>
      </c>
      <c r="I12" s="14">
        <f t="shared" si="3"/>
        <v>19.859375</v>
      </c>
      <c r="J12" s="12"/>
      <c r="K12" s="12"/>
      <c r="L12" s="12"/>
      <c r="M12" s="12"/>
      <c r="N12" s="12">
        <v>38</v>
      </c>
      <c r="O12" s="12"/>
      <c r="P12" s="12"/>
      <c r="Q12" s="12"/>
      <c r="R12" s="12"/>
      <c r="S12" s="12"/>
      <c r="T12" s="12"/>
      <c r="U12" s="12"/>
      <c r="V12" s="12"/>
      <c r="W12" s="12"/>
    </row>
    <row r="13" spans="1:23" ht="14.25">
      <c r="A13" s="12" t="s">
        <v>26</v>
      </c>
      <c r="B13" s="12">
        <f t="shared" si="0"/>
        <v>250</v>
      </c>
      <c r="C13" s="12">
        <f t="shared" si="1"/>
        <v>268.75</v>
      </c>
      <c r="D13" s="13"/>
      <c r="E13" s="13">
        <f t="shared" si="2"/>
        <v>268.75</v>
      </c>
      <c r="F13" s="13"/>
      <c r="G13" s="12">
        <v>300</v>
      </c>
      <c r="H13" s="12">
        <f t="shared" si="4"/>
        <v>20.109375</v>
      </c>
      <c r="I13" s="14">
        <f t="shared" si="3"/>
        <v>-11.140625</v>
      </c>
      <c r="J13" s="12"/>
      <c r="K13" s="12"/>
      <c r="L13" s="12"/>
      <c r="M13" s="12"/>
      <c r="N13" s="12"/>
      <c r="O13" s="12">
        <v>40</v>
      </c>
      <c r="P13" s="12"/>
      <c r="Q13" s="12"/>
      <c r="R13" s="12"/>
      <c r="S13" s="12"/>
      <c r="T13" s="12"/>
      <c r="U13" s="12"/>
      <c r="V13" s="12"/>
      <c r="W13" s="12"/>
    </row>
    <row r="14" spans="1:23" ht="14.25">
      <c r="A14" s="12" t="s">
        <v>27</v>
      </c>
      <c r="B14" s="12">
        <f>SUMIF($J14:$AC14,"&lt;&gt;",$J$2:$AC$2)+350</f>
        <v>700</v>
      </c>
      <c r="C14" s="12">
        <f t="shared" si="1"/>
        <v>752.5</v>
      </c>
      <c r="D14" s="13"/>
      <c r="E14" s="13">
        <f t="shared" si="2"/>
        <v>752.5</v>
      </c>
      <c r="F14" s="12"/>
      <c r="G14" s="12">
        <v>752.5</v>
      </c>
      <c r="H14" s="12">
        <f>1287/64*2</f>
        <v>40.21875</v>
      </c>
      <c r="I14" s="14">
        <f t="shared" si="3"/>
        <v>40.21875</v>
      </c>
      <c r="J14" s="12"/>
      <c r="K14" s="12"/>
      <c r="L14" s="12" t="s">
        <v>28</v>
      </c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ht="14.25">
      <c r="A15" s="12" t="s">
        <v>29</v>
      </c>
      <c r="B15" s="12">
        <f>SUMIF($J15:$AC15,"&lt;&gt;",$J$2:$AC$2)</f>
        <v>250</v>
      </c>
      <c r="C15" s="12">
        <f t="shared" si="1"/>
        <v>268.75</v>
      </c>
      <c r="D15" s="13">
        <f>250/9</f>
        <v>27.77777777777778</v>
      </c>
      <c r="E15" s="13">
        <f t="shared" si="2"/>
        <v>296.52777777777777</v>
      </c>
      <c r="F15" s="12"/>
      <c r="G15" s="12">
        <v>310</v>
      </c>
      <c r="H15" s="12">
        <f t="shared" si="4"/>
        <v>20.109375</v>
      </c>
      <c r="I15" s="14">
        <f t="shared" si="3"/>
        <v>6.6371527777777715</v>
      </c>
      <c r="J15" s="12">
        <v>40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 ht="14.25">
      <c r="A16" s="12" t="s">
        <v>30</v>
      </c>
      <c r="B16" s="12">
        <f>SUMIF($J16:$AC16,"&lt;&gt;",$J$2:$AC$2)+450+350</f>
        <v>1600</v>
      </c>
      <c r="C16" s="12">
        <f t="shared" si="1"/>
        <v>1720</v>
      </c>
      <c r="D16" s="13">
        <f>350/9</f>
        <v>38.888888888888886</v>
      </c>
      <c r="E16" s="13">
        <f t="shared" si="2"/>
        <v>1758.888888888889</v>
      </c>
      <c r="F16" s="13"/>
      <c r="G16" s="12">
        <f>3000+236-275-473</f>
        <v>2488</v>
      </c>
      <c r="H16" s="12">
        <f>1287/64*4</f>
        <v>80.4375</v>
      </c>
      <c r="I16" s="14">
        <f t="shared" si="3"/>
        <v>-648.6736111111111</v>
      </c>
      <c r="J16" s="15"/>
      <c r="K16" s="16" t="s">
        <v>31</v>
      </c>
      <c r="L16" s="16"/>
      <c r="M16" s="16" t="s">
        <v>32</v>
      </c>
      <c r="N16" s="16"/>
      <c r="O16" s="12"/>
      <c r="P16" s="12"/>
      <c r="Q16" s="12"/>
      <c r="R16" s="12"/>
      <c r="S16" s="12"/>
      <c r="T16" s="12"/>
      <c r="U16" s="12"/>
      <c r="V16" s="12"/>
      <c r="W16" s="12"/>
    </row>
    <row r="17" spans="1:23" ht="14.25">
      <c r="A17" s="12" t="s">
        <v>33</v>
      </c>
      <c r="B17" s="12">
        <f>SUMIF($J17:$AC17,"&lt;&gt;",$J$2:$AC$2)</f>
        <v>250</v>
      </c>
      <c r="C17" s="12">
        <f t="shared" si="1"/>
        <v>268.75</v>
      </c>
      <c r="D17" s="13"/>
      <c r="E17" s="13">
        <f t="shared" si="2"/>
        <v>268.75</v>
      </c>
      <c r="F17" s="13"/>
      <c r="G17" s="12">
        <v>300</v>
      </c>
      <c r="H17" s="12">
        <f t="shared" si="4"/>
        <v>20.109375</v>
      </c>
      <c r="I17" s="14">
        <f t="shared" si="3"/>
        <v>-11.140625</v>
      </c>
      <c r="J17" s="15"/>
      <c r="K17" s="16"/>
      <c r="L17" s="16"/>
      <c r="M17" s="16"/>
      <c r="N17" s="16"/>
      <c r="O17" s="12"/>
      <c r="P17" s="12">
        <v>41</v>
      </c>
      <c r="Q17" s="12"/>
      <c r="R17" s="12"/>
      <c r="S17" s="12"/>
      <c r="T17" s="12"/>
      <c r="U17" s="12"/>
      <c r="V17" s="12"/>
      <c r="W17" s="12"/>
    </row>
    <row r="18" spans="1:23" ht="14.25">
      <c r="A18" s="12" t="s">
        <v>34</v>
      </c>
      <c r="B18" s="12">
        <f>SUMIF($J18:$AC18,"&lt;&gt;",$J$2:$AC$2)+250</f>
        <v>500</v>
      </c>
      <c r="C18" s="12">
        <f t="shared" si="1"/>
        <v>537.5</v>
      </c>
      <c r="D18" s="13">
        <f>250/9</f>
        <v>27.77777777777778</v>
      </c>
      <c r="E18" s="13">
        <f t="shared" si="2"/>
        <v>565.2777777777778</v>
      </c>
      <c r="F18" s="13"/>
      <c r="G18" s="12">
        <v>575</v>
      </c>
      <c r="H18" s="12">
        <f>1287/64*2</f>
        <v>40.21875</v>
      </c>
      <c r="I18" s="14">
        <f t="shared" si="3"/>
        <v>30.49652777777783</v>
      </c>
      <c r="J18" s="12" t="s">
        <v>35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ht="14.25">
      <c r="A19" s="12" t="s">
        <v>36</v>
      </c>
      <c r="B19" s="12">
        <f>SUMIF($J19:$AC19,"&lt;&gt;",$J$2:$AC$2)+250</f>
        <v>500</v>
      </c>
      <c r="C19" s="12">
        <f t="shared" si="1"/>
        <v>537.5</v>
      </c>
      <c r="D19" s="13"/>
      <c r="E19" s="13">
        <f t="shared" si="2"/>
        <v>537.5</v>
      </c>
      <c r="F19" s="12">
        <v>-92</v>
      </c>
      <c r="G19" s="12">
        <v>629.5</v>
      </c>
      <c r="H19" s="12">
        <f>1287/64*2</f>
        <v>40.21875</v>
      </c>
      <c r="I19" s="14">
        <f t="shared" si="3"/>
        <v>40.21875</v>
      </c>
      <c r="J19" s="12"/>
      <c r="K19" s="12"/>
      <c r="L19" s="12"/>
      <c r="M19" s="12"/>
      <c r="N19" s="12"/>
      <c r="O19" s="12"/>
      <c r="P19" s="12" t="s">
        <v>37</v>
      </c>
      <c r="Q19" s="12"/>
      <c r="R19" s="12"/>
      <c r="S19" s="12"/>
      <c r="T19" s="12"/>
      <c r="U19" s="12"/>
      <c r="V19" s="12"/>
      <c r="W19" s="12"/>
    </row>
    <row r="20" spans="1:23" ht="14.25">
      <c r="A20" s="12" t="s">
        <v>38</v>
      </c>
      <c r="B20" s="12">
        <f>SUMIF($J20:$AC20,"&lt;&gt;",$J$2:$AC$2)</f>
        <v>1850</v>
      </c>
      <c r="C20" s="12">
        <f t="shared" si="1"/>
        <v>1988.75</v>
      </c>
      <c r="D20" s="13"/>
      <c r="E20" s="13">
        <f t="shared" si="2"/>
        <v>1988.75</v>
      </c>
      <c r="F20" s="13"/>
      <c r="G20" s="12">
        <v>2164</v>
      </c>
      <c r="H20" s="12">
        <f>1287/64*3</f>
        <v>60.328125</v>
      </c>
      <c r="I20" s="14">
        <f t="shared" si="3"/>
        <v>-114.921875</v>
      </c>
      <c r="J20" s="12"/>
      <c r="K20" s="12"/>
      <c r="L20" s="12">
        <v>39</v>
      </c>
      <c r="M20" s="12">
        <v>39</v>
      </c>
      <c r="N20" s="12">
        <v>39</v>
      </c>
      <c r="O20" s="12"/>
      <c r="P20" s="12"/>
      <c r="Q20" s="12"/>
      <c r="R20" s="12"/>
      <c r="S20" s="12"/>
      <c r="T20" s="12"/>
      <c r="U20" s="12"/>
      <c r="V20" s="12"/>
      <c r="W20" s="12"/>
    </row>
    <row r="21" spans="1:23" ht="14.25">
      <c r="A21" s="12" t="s">
        <v>39</v>
      </c>
      <c r="B21" s="12">
        <f>SUMIF($J21:$AC21,"&lt;&gt;",$J$2:$AC$2)+250</f>
        <v>500</v>
      </c>
      <c r="C21" s="12">
        <f t="shared" si="1"/>
        <v>537.5</v>
      </c>
      <c r="D21" s="13"/>
      <c r="E21" s="13">
        <f t="shared" si="2"/>
        <v>537.5</v>
      </c>
      <c r="F21" s="13"/>
      <c r="G21" s="12">
        <v>538</v>
      </c>
      <c r="H21" s="12">
        <f>1287/64*2</f>
        <v>40.21875</v>
      </c>
      <c r="I21" s="14">
        <f t="shared" si="3"/>
        <v>39.71875</v>
      </c>
      <c r="J21" s="12"/>
      <c r="K21" s="12"/>
      <c r="L21" s="12"/>
      <c r="M21" s="12"/>
      <c r="N21" s="12"/>
      <c r="O21" s="12" t="s">
        <v>40</v>
      </c>
      <c r="P21" s="12"/>
      <c r="Q21" s="12"/>
      <c r="R21" s="12"/>
      <c r="S21" s="12"/>
      <c r="T21" s="12"/>
      <c r="U21" s="12"/>
      <c r="V21" s="12"/>
      <c r="W21" s="12"/>
    </row>
    <row r="22" spans="1:23" ht="14.25">
      <c r="A22" s="12" t="s">
        <v>41</v>
      </c>
      <c r="B22" s="12">
        <f>SUMIF($J22:$AC22,"&lt;&gt;",$J$2:$AC$2)</f>
        <v>250</v>
      </c>
      <c r="C22" s="12">
        <f t="shared" si="1"/>
        <v>268.75</v>
      </c>
      <c r="D22" s="13">
        <f>250/9</f>
        <v>27.77777777777778</v>
      </c>
      <c r="E22" s="13">
        <f t="shared" si="2"/>
        <v>296.52777777777777</v>
      </c>
      <c r="F22" s="13"/>
      <c r="G22" s="12">
        <v>269</v>
      </c>
      <c r="H22" s="12">
        <f t="shared" si="4"/>
        <v>20.109375</v>
      </c>
      <c r="I22" s="14">
        <f t="shared" si="3"/>
        <v>47.63715277777777</v>
      </c>
      <c r="J22" s="12">
        <v>38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ht="14.25">
      <c r="A23" s="12" t="s">
        <v>42</v>
      </c>
      <c r="B23" s="12">
        <f>SUMIF($J23:$AC23,"&lt;&gt;",$J$2:$AC$2)</f>
        <v>250</v>
      </c>
      <c r="C23" s="12">
        <f t="shared" si="1"/>
        <v>268.75</v>
      </c>
      <c r="D23" s="13"/>
      <c r="E23" s="13">
        <f t="shared" si="2"/>
        <v>268.75</v>
      </c>
      <c r="F23" s="13"/>
      <c r="G23" s="12">
        <v>270</v>
      </c>
      <c r="H23" s="12">
        <f t="shared" si="4"/>
        <v>20.109375</v>
      </c>
      <c r="I23" s="14">
        <f t="shared" si="3"/>
        <v>18.859375</v>
      </c>
      <c r="J23" s="12"/>
      <c r="K23" s="12"/>
      <c r="L23" s="12"/>
      <c r="M23" s="12"/>
      <c r="N23" s="12"/>
      <c r="O23" s="12"/>
      <c r="P23" s="12">
        <v>40</v>
      </c>
      <c r="Q23" s="12"/>
      <c r="R23" s="12"/>
      <c r="S23" s="12"/>
      <c r="T23" s="12"/>
      <c r="U23" s="12"/>
      <c r="V23" s="12"/>
      <c r="W23" s="12"/>
    </row>
    <row r="24" spans="1:23" ht="14.25">
      <c r="A24" s="12" t="s">
        <v>43</v>
      </c>
      <c r="B24" s="12">
        <f>SUMIF($J24:$AC24,"&lt;&gt;",$J$2:$AC$2)</f>
        <v>250</v>
      </c>
      <c r="C24" s="12">
        <f t="shared" si="1"/>
        <v>268.75</v>
      </c>
      <c r="D24" s="13">
        <f>250/9</f>
        <v>27.77777777777778</v>
      </c>
      <c r="E24" s="13">
        <f t="shared" si="2"/>
        <v>296.52777777777777</v>
      </c>
      <c r="F24" s="13"/>
      <c r="G24" s="12">
        <v>300</v>
      </c>
      <c r="H24" s="12">
        <f t="shared" si="4"/>
        <v>20.109375</v>
      </c>
      <c r="I24" s="14">
        <f t="shared" si="3"/>
        <v>16.63715277777777</v>
      </c>
      <c r="J24" s="12">
        <v>37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ht="14.25">
      <c r="A25" s="12" t="s">
        <v>44</v>
      </c>
      <c r="B25" s="12">
        <f>SUMIF($J25:$AC25,"&lt;&gt;",$J$2:$AC$2)+1050+350</f>
        <v>2800</v>
      </c>
      <c r="C25" s="12">
        <f t="shared" si="1"/>
        <v>3010</v>
      </c>
      <c r="D25" s="13"/>
      <c r="E25" s="13">
        <f t="shared" si="2"/>
        <v>3010</v>
      </c>
      <c r="F25" s="13"/>
      <c r="G25" s="12">
        <f>2000+1185</f>
        <v>3185</v>
      </c>
      <c r="H25" s="12">
        <f>1287/64*4</f>
        <v>80.4375</v>
      </c>
      <c r="I25" s="14">
        <f t="shared" si="3"/>
        <v>-94.5625</v>
      </c>
      <c r="J25" s="12"/>
      <c r="K25" s="12" t="s">
        <v>37</v>
      </c>
      <c r="L25" s="12"/>
      <c r="M25" s="12"/>
      <c r="N25" s="12" t="s">
        <v>31</v>
      </c>
      <c r="O25" s="12"/>
      <c r="P25" s="12"/>
      <c r="Q25" s="12"/>
      <c r="R25" s="12"/>
      <c r="S25" s="12"/>
      <c r="T25" s="12"/>
      <c r="U25" s="12"/>
      <c r="V25" s="12"/>
      <c r="W25" s="12"/>
    </row>
    <row r="26" spans="1:23" ht="14.25">
      <c r="A26" s="12" t="s">
        <v>45</v>
      </c>
      <c r="B26" s="12">
        <f>SUMIF($J26:$AC26,"&lt;&gt;",$J$2:$AC$2)</f>
        <v>250</v>
      </c>
      <c r="C26" s="12">
        <f t="shared" si="1"/>
        <v>268.75</v>
      </c>
      <c r="D26" s="13"/>
      <c r="E26" s="13">
        <f t="shared" si="2"/>
        <v>268.75</v>
      </c>
      <c r="F26" s="13"/>
      <c r="G26" s="13">
        <v>269</v>
      </c>
      <c r="H26" s="12">
        <f t="shared" si="4"/>
        <v>20.109375</v>
      </c>
      <c r="I26" s="14">
        <f t="shared" si="3"/>
        <v>19.859375</v>
      </c>
      <c r="J26" s="12"/>
      <c r="K26" s="12"/>
      <c r="L26" s="12"/>
      <c r="M26" s="12"/>
      <c r="N26" s="12"/>
      <c r="O26" s="12"/>
      <c r="P26" s="12">
        <v>38</v>
      </c>
      <c r="Q26" s="12"/>
      <c r="R26" s="12"/>
      <c r="S26" s="12"/>
      <c r="T26" s="12"/>
      <c r="U26" s="12"/>
      <c r="V26" s="12"/>
      <c r="W26" s="12"/>
    </row>
    <row r="27" spans="1:23" ht="14.25">
      <c r="A27" s="12" t="s">
        <v>46</v>
      </c>
      <c r="B27" s="12">
        <f>SUMIF($J27:$AC27,"&lt;&gt;",$J$2:$AC$2)</f>
        <v>450</v>
      </c>
      <c r="C27" s="12">
        <f t="shared" si="1"/>
        <v>483.75</v>
      </c>
      <c r="D27" s="13"/>
      <c r="E27" s="13">
        <f t="shared" si="2"/>
        <v>483.75</v>
      </c>
      <c r="F27" s="13"/>
      <c r="G27" s="13">
        <v>530</v>
      </c>
      <c r="H27" s="12">
        <f t="shared" si="4"/>
        <v>20.109375</v>
      </c>
      <c r="I27" s="14">
        <f t="shared" si="3"/>
        <v>-26.140625</v>
      </c>
      <c r="J27" s="12"/>
      <c r="K27" s="12"/>
      <c r="L27" s="12"/>
      <c r="M27" s="12">
        <v>38</v>
      </c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ht="14.25">
      <c r="A28" s="12" t="s">
        <v>47</v>
      </c>
      <c r="B28" s="12">
        <f>SUMIF($J28:$AC28,"&lt;&gt;",$J$2:$AC$2)</f>
        <v>1050</v>
      </c>
      <c r="C28" s="12">
        <f t="shared" si="1"/>
        <v>1128.75</v>
      </c>
      <c r="D28" s="13"/>
      <c r="E28" s="13">
        <f t="shared" si="2"/>
        <v>1128.75</v>
      </c>
      <c r="F28" s="13"/>
      <c r="G28" s="13">
        <v>1130</v>
      </c>
      <c r="H28" s="12">
        <f t="shared" si="4"/>
        <v>20.109375</v>
      </c>
      <c r="I28" s="14">
        <f t="shared" si="3"/>
        <v>18.859375</v>
      </c>
      <c r="J28" s="12"/>
      <c r="K28" s="12"/>
      <c r="L28" s="12"/>
      <c r="M28" s="12"/>
      <c r="N28" s="12">
        <v>40</v>
      </c>
      <c r="O28" s="12"/>
      <c r="P28" s="12"/>
      <c r="Q28" s="12"/>
      <c r="R28" s="12"/>
      <c r="S28" s="12"/>
      <c r="T28" s="12"/>
      <c r="U28" s="12"/>
      <c r="V28" s="12"/>
      <c r="W28" s="12"/>
    </row>
    <row r="29" spans="1:23" ht="14.25">
      <c r="A29" s="12" t="s">
        <v>48</v>
      </c>
      <c r="B29" s="12">
        <f>SUMIF($J29:$AC29,"&lt;&gt;",$J$2:$AC$2)+250+350+350+250+250</f>
        <v>2300</v>
      </c>
      <c r="C29" s="12">
        <f t="shared" si="1"/>
        <v>2472.5</v>
      </c>
      <c r="D29" s="13">
        <f>250/9</f>
        <v>27.77777777777778</v>
      </c>
      <c r="E29" s="13">
        <f t="shared" si="2"/>
        <v>2500.277777777778</v>
      </c>
      <c r="F29" s="13"/>
      <c r="G29" s="13">
        <v>2800</v>
      </c>
      <c r="H29" s="12">
        <f>1287/64*8</f>
        <v>160.875</v>
      </c>
      <c r="I29" s="14">
        <f t="shared" si="3"/>
        <v>-138.84722222222217</v>
      </c>
      <c r="J29" s="12" t="s">
        <v>49</v>
      </c>
      <c r="K29" s="12"/>
      <c r="L29" s="12" t="s">
        <v>50</v>
      </c>
      <c r="M29" s="12"/>
      <c r="N29" s="12"/>
      <c r="O29" s="12"/>
      <c r="P29" s="12" t="s">
        <v>51</v>
      </c>
      <c r="Q29" s="12"/>
      <c r="R29" s="12"/>
      <c r="S29" s="12"/>
      <c r="T29" s="12"/>
      <c r="U29" s="12"/>
      <c r="V29" s="12"/>
      <c r="W29" s="12"/>
    </row>
    <row r="30" spans="1:23" ht="14.25">
      <c r="A30" s="12" t="s">
        <v>52</v>
      </c>
      <c r="B30" s="12">
        <f>SUMIF($J30:$AC30,"&lt;&gt;",$J$2:$AC$2)</f>
        <v>450</v>
      </c>
      <c r="C30" s="12">
        <f t="shared" si="1"/>
        <v>483.75</v>
      </c>
      <c r="D30" s="13"/>
      <c r="E30" s="13">
        <f t="shared" si="2"/>
        <v>483.75</v>
      </c>
      <c r="F30" s="13">
        <v>50</v>
      </c>
      <c r="G30" s="13">
        <v>435</v>
      </c>
      <c r="H30" s="12">
        <f t="shared" si="4"/>
        <v>20.109375</v>
      </c>
      <c r="I30" s="14">
        <f t="shared" si="3"/>
        <v>18.859375</v>
      </c>
      <c r="J30" s="12"/>
      <c r="K30" s="12"/>
      <c r="L30" s="12"/>
      <c r="M30" s="12">
        <v>38</v>
      </c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ht="14.25">
      <c r="A31" s="12" t="s">
        <v>53</v>
      </c>
      <c r="B31" s="12">
        <f>SUMIF($J31:$AC31,"&lt;&gt;",$J$2:$AC$2)</f>
        <v>700</v>
      </c>
      <c r="C31" s="12">
        <f t="shared" si="1"/>
        <v>752.5</v>
      </c>
      <c r="D31" s="13">
        <f>350/9</f>
        <v>38.888888888888886</v>
      </c>
      <c r="E31" s="13">
        <f t="shared" si="2"/>
        <v>791.3888888888889</v>
      </c>
      <c r="F31" s="13"/>
      <c r="G31" s="13">
        <v>792</v>
      </c>
      <c r="H31" s="12">
        <f>1287/64*2</f>
        <v>40.21875</v>
      </c>
      <c r="I31" s="14">
        <f t="shared" si="3"/>
        <v>39.607638888888914</v>
      </c>
      <c r="J31" s="12"/>
      <c r="K31" s="12">
        <v>40</v>
      </c>
      <c r="L31" s="12">
        <v>40</v>
      </c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ht="14.25">
      <c r="A32" s="12" t="s">
        <v>54</v>
      </c>
      <c r="B32" s="12">
        <f>SUMIF($J32:$AC32,"&lt;&gt;",$J$2:$AC$2)+250+250</f>
        <v>750</v>
      </c>
      <c r="C32" s="12">
        <f t="shared" si="1"/>
        <v>806.25</v>
      </c>
      <c r="D32" s="13"/>
      <c r="E32" s="13">
        <f t="shared" si="2"/>
        <v>806.25</v>
      </c>
      <c r="F32" s="13">
        <f>90-169</f>
        <v>-79</v>
      </c>
      <c r="G32" s="13">
        <v>900</v>
      </c>
      <c r="H32" s="12">
        <f>1287/64*3</f>
        <v>60.328125</v>
      </c>
      <c r="I32" s="14">
        <f t="shared" si="3"/>
        <v>45.578125</v>
      </c>
      <c r="J32" s="12"/>
      <c r="K32" s="12"/>
      <c r="L32" s="12"/>
      <c r="M32" s="12"/>
      <c r="N32" s="12"/>
      <c r="O32" s="12" t="s">
        <v>55</v>
      </c>
      <c r="P32" s="12"/>
      <c r="Q32" s="12"/>
      <c r="R32" s="12"/>
      <c r="S32" s="12"/>
      <c r="T32" s="12"/>
      <c r="U32" s="12"/>
      <c r="V32" s="12"/>
      <c r="W32" s="12"/>
    </row>
    <row r="33" spans="1:23" ht="14.25">
      <c r="A33" s="12" t="s">
        <v>56</v>
      </c>
      <c r="B33" s="12">
        <f aca="true" t="shared" si="5" ref="B33:B39">SUMIF($J33:$AC33,"&lt;&gt;",$J$2:$AC$2)</f>
        <v>1050</v>
      </c>
      <c r="C33" s="12">
        <f t="shared" si="1"/>
        <v>1128.75</v>
      </c>
      <c r="D33" s="13"/>
      <c r="E33" s="13">
        <f t="shared" si="2"/>
        <v>1128.75</v>
      </c>
      <c r="F33" s="13"/>
      <c r="G33" s="13">
        <v>1304</v>
      </c>
      <c r="H33" s="12">
        <f t="shared" si="4"/>
        <v>20.109375</v>
      </c>
      <c r="I33" s="14">
        <f>E33-F33-G33+H33+155.14</f>
        <v>-0.0006250000000136424</v>
      </c>
      <c r="J33" s="12"/>
      <c r="K33" s="12"/>
      <c r="L33" s="12"/>
      <c r="M33" s="12"/>
      <c r="N33" s="12">
        <v>37</v>
      </c>
      <c r="O33" s="12"/>
      <c r="P33" s="12"/>
      <c r="Q33" s="12"/>
      <c r="R33" s="12"/>
      <c r="S33" s="12"/>
      <c r="T33" s="12"/>
      <c r="U33" s="12"/>
      <c r="V33" s="12"/>
      <c r="W33" s="12"/>
    </row>
    <row r="34" spans="1:23" ht="14.25">
      <c r="A34" s="12" t="s">
        <v>57</v>
      </c>
      <c r="B34" s="12">
        <f t="shared" si="5"/>
        <v>250</v>
      </c>
      <c r="C34" s="12">
        <f t="shared" si="1"/>
        <v>268.75</v>
      </c>
      <c r="D34" s="13"/>
      <c r="E34" s="13">
        <f t="shared" si="2"/>
        <v>268.75</v>
      </c>
      <c r="F34" s="13"/>
      <c r="G34" s="13">
        <v>280</v>
      </c>
      <c r="H34" s="12">
        <f t="shared" si="4"/>
        <v>20.109375</v>
      </c>
      <c r="I34" s="14">
        <f t="shared" si="3"/>
        <v>8.859375</v>
      </c>
      <c r="J34" s="12"/>
      <c r="K34" s="12"/>
      <c r="L34" s="12"/>
      <c r="M34" s="12"/>
      <c r="N34" s="12"/>
      <c r="O34" s="12"/>
      <c r="P34" s="12">
        <v>39</v>
      </c>
      <c r="Q34" s="12"/>
      <c r="R34" s="12"/>
      <c r="S34" s="12"/>
      <c r="T34" s="12"/>
      <c r="U34" s="12"/>
      <c r="V34" s="12"/>
      <c r="W34" s="12"/>
    </row>
    <row r="35" spans="1:23" ht="14.25">
      <c r="A35" s="12" t="s">
        <v>58</v>
      </c>
      <c r="B35" s="12">
        <f t="shared" si="5"/>
        <v>1050</v>
      </c>
      <c r="C35" s="12">
        <f t="shared" si="1"/>
        <v>1128.75</v>
      </c>
      <c r="D35" s="13"/>
      <c r="E35" s="13">
        <f t="shared" si="2"/>
        <v>1128.75</v>
      </c>
      <c r="F35" s="17"/>
      <c r="G35" s="13">
        <v>1320</v>
      </c>
      <c r="H35" s="12">
        <f t="shared" si="4"/>
        <v>20.109375</v>
      </c>
      <c r="I35" s="14">
        <f t="shared" si="3"/>
        <v>-171.140625</v>
      </c>
      <c r="J35" s="12"/>
      <c r="K35" s="12"/>
      <c r="L35" s="12"/>
      <c r="M35" s="12"/>
      <c r="N35" s="12">
        <v>38</v>
      </c>
      <c r="O35" s="12"/>
      <c r="P35" s="12"/>
      <c r="Q35" s="12"/>
      <c r="R35" s="12"/>
      <c r="S35" s="12"/>
      <c r="T35" s="12"/>
      <c r="U35" s="12"/>
      <c r="V35" s="12"/>
      <c r="W35" s="12"/>
    </row>
    <row r="36" spans="1:23" ht="14.25">
      <c r="A36" s="12"/>
      <c r="B36" s="12">
        <f t="shared" si="5"/>
        <v>0</v>
      </c>
      <c r="C36" s="12">
        <f t="shared" si="1"/>
        <v>0</v>
      </c>
      <c r="D36" s="13"/>
      <c r="E36" s="13">
        <f t="shared" si="2"/>
        <v>0</v>
      </c>
      <c r="F36" s="13"/>
      <c r="G36" s="13"/>
      <c r="H36" s="12"/>
      <c r="I36" s="14">
        <f t="shared" si="3"/>
        <v>0</v>
      </c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23" ht="14.25">
      <c r="A37" s="12"/>
      <c r="B37" s="12">
        <f t="shared" si="5"/>
        <v>0</v>
      </c>
      <c r="C37" s="12">
        <f t="shared" si="1"/>
        <v>0</v>
      </c>
      <c r="D37" s="13"/>
      <c r="E37" s="13">
        <f t="shared" si="2"/>
        <v>0</v>
      </c>
      <c r="F37" s="13"/>
      <c r="G37" s="13"/>
      <c r="H37" s="12"/>
      <c r="I37" s="14">
        <f t="shared" si="3"/>
        <v>0</v>
      </c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23" ht="14.25">
      <c r="A38" s="12"/>
      <c r="B38" s="12">
        <f t="shared" si="5"/>
        <v>0</v>
      </c>
      <c r="C38" s="12">
        <f t="shared" si="1"/>
        <v>0</v>
      </c>
      <c r="D38" s="13"/>
      <c r="E38" s="13">
        <f t="shared" si="2"/>
        <v>0</v>
      </c>
      <c r="F38" s="13"/>
      <c r="G38" s="13"/>
      <c r="H38" s="12"/>
      <c r="I38" s="14">
        <f t="shared" si="3"/>
        <v>0</v>
      </c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ht="14.25">
      <c r="A39" s="12"/>
      <c r="B39" s="12">
        <f t="shared" si="5"/>
        <v>0</v>
      </c>
      <c r="C39" s="12">
        <f t="shared" si="1"/>
        <v>0</v>
      </c>
      <c r="D39" s="13"/>
      <c r="E39" s="13">
        <f t="shared" si="2"/>
        <v>0</v>
      </c>
      <c r="F39" s="13"/>
      <c r="G39" s="13"/>
      <c r="H39" s="12"/>
      <c r="I39" s="14">
        <f t="shared" si="3"/>
        <v>0</v>
      </c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ht="15">
      <c r="A40" s="18" t="s">
        <v>59</v>
      </c>
      <c r="B40" s="12">
        <f>SUMIF($J40:$AC40,"&lt;&gt;",$J$2:$AC$2)+350+350</f>
        <v>1900</v>
      </c>
      <c r="C40" s="12">
        <f t="shared" si="1"/>
        <v>2042.5</v>
      </c>
      <c r="D40" s="19"/>
      <c r="E40" s="19">
        <f t="shared" si="2"/>
        <v>2042.5</v>
      </c>
      <c r="F40" s="19"/>
      <c r="G40" s="19"/>
      <c r="H40" s="12">
        <f>1287/64*6</f>
        <v>120.65625</v>
      </c>
      <c r="I40" s="20">
        <f t="shared" si="3"/>
        <v>2163.15625</v>
      </c>
      <c r="J40" s="18">
        <v>41</v>
      </c>
      <c r="K40" s="18" t="s">
        <v>60</v>
      </c>
      <c r="L40" s="18">
        <v>40.41</v>
      </c>
      <c r="M40" s="18"/>
      <c r="N40" s="18"/>
      <c r="O40" s="18"/>
      <c r="P40" s="18">
        <v>37</v>
      </c>
      <c r="Q40" s="18"/>
      <c r="R40" s="18"/>
      <c r="S40" s="18"/>
      <c r="T40" s="18"/>
      <c r="U40" s="18"/>
      <c r="V40" s="18"/>
      <c r="W40" s="18"/>
    </row>
    <row r="41" spans="1:23" ht="15">
      <c r="A41" s="12" t="s">
        <v>61</v>
      </c>
      <c r="B41" s="12"/>
      <c r="C41" s="12"/>
      <c r="D41" s="13"/>
      <c r="E41" s="13"/>
      <c r="F41" s="13"/>
      <c r="G41" s="13"/>
      <c r="H41" s="12"/>
      <c r="I41" s="14"/>
      <c r="J41" s="21">
        <v>10</v>
      </c>
      <c r="K41" s="21">
        <v>10</v>
      </c>
      <c r="L41" s="21">
        <v>10</v>
      </c>
      <c r="M41" s="21">
        <v>7</v>
      </c>
      <c r="N41" s="21">
        <v>7</v>
      </c>
      <c r="O41" s="21">
        <v>10</v>
      </c>
      <c r="P41" s="21">
        <v>10</v>
      </c>
      <c r="Q41" s="21"/>
      <c r="R41" s="21"/>
      <c r="S41" s="21"/>
      <c r="T41" s="21"/>
      <c r="U41" s="21"/>
      <c r="V41" s="21"/>
      <c r="W41" s="21"/>
    </row>
    <row r="42" spans="1:23" ht="14.25">
      <c r="A42" s="12" t="s">
        <v>62</v>
      </c>
      <c r="B42" s="12"/>
      <c r="C42" s="12"/>
      <c r="D42" s="12"/>
      <c r="E42" s="12"/>
      <c r="F42" s="12"/>
      <c r="G42" s="12"/>
      <c r="H42" s="12"/>
      <c r="I42" s="12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</dc:creator>
  <cp:keywords/>
  <dc:description/>
  <cp:lastModifiedBy>Alena</cp:lastModifiedBy>
  <dcterms:created xsi:type="dcterms:W3CDTF">2012-03-10T07:31:28Z</dcterms:created>
  <dcterms:modified xsi:type="dcterms:W3CDTF">2012-03-10T07:31:54Z</dcterms:modified>
  <cp:category/>
  <cp:version/>
  <cp:contentType/>
  <cp:contentStatus/>
</cp:coreProperties>
</file>