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worksheets/sheet221.xml" ContentType="application/vnd.openxmlformats-officedocument.spreadsheetml.worksheet+xml"/>
  <Override PartName="/xl/worksheets/sheet222.xml" ContentType="application/vnd.openxmlformats-officedocument.spreadsheetml.worksheet+xml"/>
  <Override PartName="/xl/worksheets/sheet223.xml" ContentType="application/vnd.openxmlformats-officedocument.spreadsheetml.worksheet+xml"/>
  <Override PartName="/xl/worksheets/sheet224.xml" ContentType="application/vnd.openxmlformats-officedocument.spreadsheetml.worksheet+xml"/>
  <Override PartName="/xl/worksheets/sheet225.xml" ContentType="application/vnd.openxmlformats-officedocument.spreadsheetml.worksheet+xml"/>
  <Override PartName="/xl/worksheets/sheet226.xml" ContentType="application/vnd.openxmlformats-officedocument.spreadsheetml.worksheet+xml"/>
  <Override PartName="/xl/worksheets/sheet227.xml" ContentType="application/vnd.openxmlformats-officedocument.spreadsheetml.worksheet+xml"/>
  <Override PartName="/xl/worksheets/sheet228.xml" ContentType="application/vnd.openxmlformats-officedocument.spreadsheetml.worksheet+xml"/>
  <Override PartName="/xl/worksheets/sheet229.xml" ContentType="application/vnd.openxmlformats-officedocument.spreadsheetml.worksheet+xml"/>
  <Override PartName="/xl/worksheets/sheet230.xml" ContentType="application/vnd.openxmlformats-officedocument.spreadsheetml.worksheet+xml"/>
  <Override PartName="/xl/worksheets/sheet231.xml" ContentType="application/vnd.openxmlformats-officedocument.spreadsheetml.worksheet+xml"/>
  <Override PartName="/xl/worksheets/sheet232.xml" ContentType="application/vnd.openxmlformats-officedocument.spreadsheetml.worksheet+xml"/>
  <Override PartName="/xl/worksheets/sheet233.xml" ContentType="application/vnd.openxmlformats-officedocument.spreadsheetml.worksheet+xml"/>
  <Override PartName="/xl/worksheets/sheet234.xml" ContentType="application/vnd.openxmlformats-officedocument.spreadsheetml.worksheet+xml"/>
  <Override PartName="/xl/worksheets/sheet235.xml" ContentType="application/vnd.openxmlformats-officedocument.spreadsheetml.worksheet+xml"/>
  <Override PartName="/xl/worksheets/sheet236.xml" ContentType="application/vnd.openxmlformats-officedocument.spreadsheetml.worksheet+xml"/>
  <Override PartName="/xl/worksheets/sheet237.xml" ContentType="application/vnd.openxmlformats-officedocument.spreadsheetml.worksheet+xml"/>
  <Override PartName="/xl/worksheets/sheet238.xml" ContentType="application/vnd.openxmlformats-officedocument.spreadsheetml.worksheet+xml"/>
  <Override PartName="/xl/worksheets/sheet239.xml" ContentType="application/vnd.openxmlformats-officedocument.spreadsheetml.worksheet+xml"/>
  <Override PartName="/xl/worksheets/sheet240.xml" ContentType="application/vnd.openxmlformats-officedocument.spreadsheetml.worksheet+xml"/>
  <Override PartName="/xl/worksheets/sheet241.xml" ContentType="application/vnd.openxmlformats-officedocument.spreadsheetml.worksheet+xml"/>
  <Override PartName="/xl/worksheets/sheet242.xml" ContentType="application/vnd.openxmlformats-officedocument.spreadsheetml.worksheet+xml"/>
  <Override PartName="/xl/worksheets/sheet243.xml" ContentType="application/vnd.openxmlformats-officedocument.spreadsheetml.worksheet+xml"/>
  <Override PartName="/xl/worksheets/sheet244.xml" ContentType="application/vnd.openxmlformats-officedocument.spreadsheetml.worksheet+xml"/>
  <Override PartName="/xl/worksheets/sheet245.xml" ContentType="application/vnd.openxmlformats-officedocument.spreadsheetml.worksheet+xml"/>
  <Override PartName="/xl/worksheets/sheet246.xml" ContentType="application/vnd.openxmlformats-officedocument.spreadsheetml.worksheet+xml"/>
  <Override PartName="/xl/worksheets/sheet247.xml" ContentType="application/vnd.openxmlformats-officedocument.spreadsheetml.worksheet+xml"/>
  <Override PartName="/xl/worksheets/sheet248.xml" ContentType="application/vnd.openxmlformats-officedocument.spreadsheetml.worksheet+xml"/>
  <Override PartName="/xl/worksheets/sheet249.xml" ContentType="application/vnd.openxmlformats-officedocument.spreadsheetml.worksheet+xml"/>
  <Override PartName="/xl/worksheets/sheet250.xml" ContentType="application/vnd.openxmlformats-officedocument.spreadsheetml.worksheet+xml"/>
  <Override PartName="/xl/worksheets/sheet251.xml" ContentType="application/vnd.openxmlformats-officedocument.spreadsheetml.worksheet+xml"/>
  <Override PartName="/xl/worksheets/sheet252.xml" ContentType="application/vnd.openxmlformats-officedocument.spreadsheetml.worksheet+xml"/>
  <Override PartName="/xl/worksheets/sheet253.xml" ContentType="application/vnd.openxmlformats-officedocument.spreadsheetml.worksheet+xml"/>
  <Override PartName="/xl/worksheets/sheet254.xml" ContentType="application/vnd.openxmlformats-officedocument.spreadsheetml.worksheet+xml"/>
  <Override PartName="/xl/worksheets/sheet255.xml" ContentType="application/vnd.openxmlformats-officedocument.spreadsheetml.worksheet+xml"/>
  <Override PartName="/xl/worksheets/sheet256.xml" ContentType="application/vnd.openxmlformats-officedocument.spreadsheetml.worksheet+xml"/>
  <Override PartName="/xl/worksheets/sheet257.xml" ContentType="application/vnd.openxmlformats-officedocument.spreadsheetml.worksheet+xml"/>
  <Override PartName="/xl/worksheets/sheet258.xml" ContentType="application/vnd.openxmlformats-officedocument.spreadsheetml.worksheet+xml"/>
  <Override PartName="/xl/worksheets/sheet259.xml" ContentType="application/vnd.openxmlformats-officedocument.spreadsheetml.worksheet+xml"/>
  <Override PartName="/xl/worksheets/sheet260.xml" ContentType="application/vnd.openxmlformats-officedocument.spreadsheetml.worksheet+xml"/>
  <Override PartName="/xl/worksheets/sheet261.xml" ContentType="application/vnd.openxmlformats-officedocument.spreadsheetml.worksheet+xml"/>
  <Override PartName="/xl/worksheets/sheet262.xml" ContentType="application/vnd.openxmlformats-officedocument.spreadsheetml.worksheet+xml"/>
  <Override PartName="/xl/worksheets/sheet263.xml" ContentType="application/vnd.openxmlformats-officedocument.spreadsheetml.worksheet+xml"/>
  <Override PartName="/xl/worksheets/sheet264.xml" ContentType="application/vnd.openxmlformats-officedocument.spreadsheetml.worksheet+xml"/>
  <Override PartName="/xl/worksheets/sheet265.xml" ContentType="application/vnd.openxmlformats-officedocument.spreadsheetml.worksheet+xml"/>
  <Override PartName="/xl/worksheets/sheet266.xml" ContentType="application/vnd.openxmlformats-officedocument.spreadsheetml.worksheet+xml"/>
  <Override PartName="/xl/worksheets/sheet267.xml" ContentType="application/vnd.openxmlformats-officedocument.spreadsheetml.worksheet+xml"/>
  <Override PartName="/xl/worksheets/sheet268.xml" ContentType="application/vnd.openxmlformats-officedocument.spreadsheetml.worksheet+xml"/>
  <Override PartName="/xl/worksheets/sheet269.xml" ContentType="application/vnd.openxmlformats-officedocument.spreadsheetml.worksheet+xml"/>
  <Override PartName="/xl/worksheets/sheet270.xml" ContentType="application/vnd.openxmlformats-officedocument.spreadsheetml.worksheet+xml"/>
  <Override PartName="/xl/worksheets/sheet271.xml" ContentType="application/vnd.openxmlformats-officedocument.spreadsheetml.worksheet+xml"/>
  <Override PartName="/xl/worksheets/sheet272.xml" ContentType="application/vnd.openxmlformats-officedocument.spreadsheetml.worksheet+xml"/>
  <Override PartName="/xl/worksheets/sheet273.xml" ContentType="application/vnd.openxmlformats-officedocument.spreadsheetml.worksheet+xml"/>
  <Override PartName="/xl/worksheets/sheet274.xml" ContentType="application/vnd.openxmlformats-officedocument.spreadsheetml.worksheet+xml"/>
  <Override PartName="/xl/worksheets/sheet275.xml" ContentType="application/vnd.openxmlformats-officedocument.spreadsheetml.worksheet+xml"/>
  <Override PartName="/xl/worksheets/sheet276.xml" ContentType="application/vnd.openxmlformats-officedocument.spreadsheetml.worksheet+xml"/>
  <Override PartName="/xl/worksheets/sheet277.xml" ContentType="application/vnd.openxmlformats-officedocument.spreadsheetml.worksheet+xml"/>
  <Override PartName="/xl/worksheets/sheet278.xml" ContentType="application/vnd.openxmlformats-officedocument.spreadsheetml.worksheet+xml"/>
  <Override PartName="/xl/worksheets/sheet279.xml" ContentType="application/vnd.openxmlformats-officedocument.spreadsheetml.worksheet+xml"/>
  <Override PartName="/xl/worksheets/sheet280.xml" ContentType="application/vnd.openxmlformats-officedocument.spreadsheetml.worksheet+xml"/>
  <Override PartName="/xl/worksheets/sheet281.xml" ContentType="application/vnd.openxmlformats-officedocument.spreadsheetml.worksheet+xml"/>
  <Override PartName="/xl/worksheets/sheet282.xml" ContentType="application/vnd.openxmlformats-officedocument.spreadsheetml.worksheet+xml"/>
  <Override PartName="/xl/worksheets/sheet283.xml" ContentType="application/vnd.openxmlformats-officedocument.spreadsheetml.worksheet+xml"/>
  <Override PartName="/xl/worksheets/sheet284.xml" ContentType="application/vnd.openxmlformats-officedocument.spreadsheetml.worksheet+xml"/>
  <Override PartName="/xl/worksheets/sheet285.xml" ContentType="application/vnd.openxmlformats-officedocument.spreadsheetml.worksheet+xml"/>
  <Override PartName="/xl/worksheets/sheet286.xml" ContentType="application/vnd.openxmlformats-officedocument.spreadsheetml.worksheet+xml"/>
  <Override PartName="/xl/worksheets/sheet287.xml" ContentType="application/vnd.openxmlformats-officedocument.spreadsheetml.worksheet+xml"/>
  <Override PartName="/xl/worksheets/sheet288.xml" ContentType="application/vnd.openxmlformats-officedocument.spreadsheetml.worksheet+xml"/>
  <Override PartName="/xl/worksheets/sheet289.xml" ContentType="application/vnd.openxmlformats-officedocument.spreadsheetml.worksheet+xml"/>
  <Override PartName="/xl/worksheets/sheet290.xml" ContentType="application/vnd.openxmlformats-officedocument.spreadsheetml.worksheet+xml"/>
  <Override PartName="/xl/worksheets/sheet291.xml" ContentType="application/vnd.openxmlformats-officedocument.spreadsheetml.worksheet+xml"/>
  <Override PartName="/xl/worksheets/sheet292.xml" ContentType="application/vnd.openxmlformats-officedocument.spreadsheetml.worksheet+xml"/>
  <Override PartName="/xl/worksheets/sheet293.xml" ContentType="application/vnd.openxmlformats-officedocument.spreadsheetml.worksheet+xml"/>
  <Override PartName="/xl/worksheets/sheet294.xml" ContentType="application/vnd.openxmlformats-officedocument.spreadsheetml.worksheet+xml"/>
  <Override PartName="/xl/worksheets/sheet295.xml" ContentType="application/vnd.openxmlformats-officedocument.spreadsheetml.worksheet+xml"/>
  <Override PartName="/xl/worksheets/sheet296.xml" ContentType="application/vnd.openxmlformats-officedocument.spreadsheetml.worksheet+xml"/>
  <Override PartName="/xl/worksheets/sheet297.xml" ContentType="application/vnd.openxmlformats-officedocument.spreadsheetml.worksheet+xml"/>
  <Override PartName="/xl/worksheets/sheet298.xml" ContentType="application/vnd.openxmlformats-officedocument.spreadsheetml.worksheet+xml"/>
  <Override PartName="/xl/worksheets/sheet299.xml" ContentType="application/vnd.openxmlformats-officedocument.spreadsheetml.worksheet+xml"/>
  <Override PartName="/xl/worksheets/sheet300.xml" ContentType="application/vnd.openxmlformats-officedocument.spreadsheetml.worksheet+xml"/>
  <Override PartName="/xl/worksheets/sheet301.xml" ContentType="application/vnd.openxmlformats-officedocument.spreadsheetml.worksheet+xml"/>
  <Override PartName="/xl/worksheets/sheet302.xml" ContentType="application/vnd.openxmlformats-officedocument.spreadsheetml.worksheet+xml"/>
  <Override PartName="/xl/worksheets/sheet30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866" activeTab="0"/>
  </bookViews>
  <sheets>
    <sheet name="БАЛАНС" sheetId="1" r:id="rId1"/>
    <sheet name="300" sheetId="2" r:id="rId2"/>
    <sheet name="301" sheetId="3" r:id="rId3"/>
    <sheet name="302" sheetId="4" r:id="rId4"/>
    <sheet name="303" sheetId="5" r:id="rId5"/>
    <sheet name="304" sheetId="6" r:id="rId6"/>
    <sheet name="305" sheetId="7" r:id="rId7"/>
    <sheet name="306" sheetId="8" r:id="rId8"/>
    <sheet name="307" sheetId="9" r:id="rId9"/>
    <sheet name="308" sheetId="10" r:id="rId10"/>
    <sheet name="309" sheetId="11" r:id="rId11"/>
    <sheet name="310" sheetId="12" r:id="rId12"/>
    <sheet name="311" sheetId="13" r:id="rId13"/>
    <sheet name="312" sheetId="14" r:id="rId14"/>
    <sheet name="313" sheetId="15" r:id="rId15"/>
    <sheet name="314" sheetId="16" r:id="rId16"/>
    <sheet name="315" sheetId="17" r:id="rId17"/>
    <sheet name="316" sheetId="18" r:id="rId18"/>
    <sheet name="317" sheetId="19" r:id="rId19"/>
    <sheet name="318" sheetId="20" r:id="rId20"/>
    <sheet name="319" sheetId="21" r:id="rId21"/>
    <sheet name="320" sheetId="22" r:id="rId22"/>
    <sheet name="321" sheetId="23" r:id="rId23"/>
    <sheet name="322" sheetId="24" r:id="rId24"/>
    <sheet name="323" sheetId="25" r:id="rId25"/>
    <sheet name="324" sheetId="26" r:id="rId26"/>
    <sheet name="325" sheetId="27" r:id="rId27"/>
    <sheet name="326" sheetId="28" r:id="rId28"/>
    <sheet name="327" sheetId="29" r:id="rId29"/>
    <sheet name="328" sheetId="30" r:id="rId30"/>
    <sheet name="329" sheetId="31" r:id="rId31"/>
    <sheet name="330-333" sheetId="32" r:id="rId32"/>
    <sheet name="334" sheetId="33" r:id="rId33"/>
    <sheet name="335" sheetId="34" r:id="rId34"/>
    <sheet name="336-337" sheetId="35" r:id="rId35"/>
    <sheet name="338" sheetId="36" r:id="rId36"/>
    <sheet name="339" sheetId="37" r:id="rId37"/>
    <sheet name="340" sheetId="38" r:id="rId38"/>
    <sheet name="341" sheetId="39" r:id="rId39"/>
    <sheet name="342" sheetId="40" r:id="rId40"/>
    <sheet name="343" sheetId="41" r:id="rId41"/>
    <sheet name="344" sheetId="42" r:id="rId42"/>
    <sheet name="345" sheetId="43" r:id="rId43"/>
    <sheet name="346" sheetId="44" r:id="rId44"/>
    <sheet name="347" sheetId="45" r:id="rId45"/>
    <sheet name="348" sheetId="46" r:id="rId46"/>
    <sheet name="349" sheetId="47" r:id="rId47"/>
    <sheet name="350" sheetId="48" r:id="rId48"/>
    <sheet name="351" sheetId="49" r:id="rId49"/>
    <sheet name="352" sheetId="50" r:id="rId50"/>
    <sheet name="353" sheetId="51" r:id="rId51"/>
    <sheet name="354" sheetId="52" r:id="rId52"/>
    <sheet name="355" sheetId="53" r:id="rId53"/>
    <sheet name="356" sheetId="54" r:id="rId54"/>
    <sheet name="357" sheetId="55" r:id="rId55"/>
    <sheet name="358" sheetId="56" r:id="rId56"/>
    <sheet name="359" sheetId="57" r:id="rId57"/>
    <sheet name="360" sheetId="58" r:id="rId58"/>
    <sheet name="361" sheetId="59" r:id="rId59"/>
    <sheet name="362" sheetId="60" r:id="rId60"/>
    <sheet name="363" sheetId="61" r:id="rId61"/>
    <sheet name="364" sheetId="62" r:id="rId62"/>
    <sheet name="365" sheetId="63" r:id="rId63"/>
    <sheet name="366" sheetId="64" r:id="rId64"/>
    <sheet name="367" sheetId="65" r:id="rId65"/>
    <sheet name="368" sheetId="66" r:id="rId66"/>
    <sheet name="369" sheetId="67" r:id="rId67"/>
    <sheet name="370" sheetId="68" r:id="rId68"/>
    <sheet name="371" sheetId="69" r:id="rId69"/>
    <sheet name="372" sheetId="70" r:id="rId70"/>
    <sheet name="373" sheetId="71" r:id="rId71"/>
    <sheet name="374" sheetId="72" r:id="rId72"/>
    <sheet name="375" sheetId="73" r:id="rId73"/>
    <sheet name="376" sheetId="74" r:id="rId74"/>
    <sheet name="377" sheetId="75" r:id="rId75"/>
    <sheet name="378" sheetId="76" r:id="rId76"/>
    <sheet name="379" sheetId="77" r:id="rId77"/>
    <sheet name="380" sheetId="78" r:id="rId78"/>
    <sheet name="381" sheetId="79" r:id="rId79"/>
    <sheet name="382" sheetId="80" r:id="rId80"/>
    <sheet name="383" sheetId="81" r:id="rId81"/>
    <sheet name="384" sheetId="82" r:id="rId82"/>
    <sheet name="385" sheetId="83" r:id="rId83"/>
    <sheet name="386" sheetId="84" r:id="rId84"/>
    <sheet name="387" sheetId="85" r:id="rId85"/>
    <sheet name="388" sheetId="86" r:id="rId86"/>
    <sheet name="389" sheetId="87" r:id="rId87"/>
    <sheet name="390" sheetId="88" r:id="rId88"/>
    <sheet name="391" sheetId="89" r:id="rId89"/>
    <sheet name="392" sheetId="90" r:id="rId90"/>
    <sheet name="393" sheetId="91" r:id="rId91"/>
    <sheet name="394" sheetId="92" r:id="rId92"/>
    <sheet name="395" sheetId="93" r:id="rId93"/>
    <sheet name="396" sheetId="94" r:id="rId94"/>
    <sheet name="397" sheetId="95" r:id="rId95"/>
    <sheet name="398" sheetId="96" r:id="rId96"/>
    <sheet name="399" sheetId="97" r:id="rId97"/>
    <sheet name="400" sheetId="98" r:id="rId98"/>
    <sheet name="401" sheetId="99" r:id="rId99"/>
    <sheet name="402" sheetId="100" r:id="rId100"/>
    <sheet name="403" sheetId="101" r:id="rId101"/>
    <sheet name="404" sheetId="102" r:id="rId102"/>
    <sheet name="405" sheetId="103" r:id="rId103"/>
    <sheet name="406" sheetId="104" r:id="rId104"/>
    <sheet name="407" sheetId="105" r:id="rId105"/>
    <sheet name="408" sheetId="106" r:id="rId106"/>
    <sheet name="409" sheetId="107" r:id="rId107"/>
    <sheet name="410" sheetId="108" r:id="rId108"/>
    <sheet name="411" sheetId="109" r:id="rId109"/>
    <sheet name="412" sheetId="110" r:id="rId110"/>
    <sheet name="413" sheetId="111" r:id="rId111"/>
    <sheet name="414" sheetId="112" r:id="rId112"/>
    <sheet name="415" sheetId="113" r:id="rId113"/>
    <sheet name="416" sheetId="114" r:id="rId114"/>
    <sheet name="417" sheetId="115" r:id="rId115"/>
    <sheet name="418" sheetId="116" r:id="rId116"/>
    <sheet name="419" sheetId="117" r:id="rId117"/>
    <sheet name="420" sheetId="118" r:id="rId118"/>
    <sheet name="421" sheetId="119" r:id="rId119"/>
    <sheet name="422" sheetId="120" r:id="rId120"/>
    <sheet name="423" sheetId="121" r:id="rId121"/>
    <sheet name="424" sheetId="122" r:id="rId122"/>
    <sheet name="425" sheetId="123" r:id="rId123"/>
    <sheet name="426" sheetId="124" r:id="rId124"/>
    <sheet name="427" sheetId="125" r:id="rId125"/>
    <sheet name="428" sheetId="126" r:id="rId126"/>
    <sheet name="429" sheetId="127" r:id="rId127"/>
    <sheet name="430" sheetId="128" r:id="rId128"/>
    <sheet name="431" sheetId="129" r:id="rId129"/>
    <sheet name="432" sheetId="130" r:id="rId130"/>
    <sheet name="433" sheetId="131" r:id="rId131"/>
    <sheet name="434" sheetId="132" r:id="rId132"/>
    <sheet name="435" sheetId="133" r:id="rId133"/>
    <sheet name="436" sheetId="134" r:id="rId134"/>
    <sheet name="437" sheetId="135" r:id="rId135"/>
    <sheet name="438" sheetId="136" r:id="rId136"/>
    <sheet name="439" sheetId="137" r:id="rId137"/>
    <sheet name="440" sheetId="138" r:id="rId138"/>
    <sheet name="441" sheetId="139" r:id="rId139"/>
    <sheet name="442" sheetId="140" r:id="rId140"/>
    <sheet name="443" sheetId="141" r:id="rId141"/>
    <sheet name="444" sheetId="142" r:id="rId142"/>
    <sheet name="445" sheetId="143" r:id="rId143"/>
    <sheet name="446" sheetId="144" r:id="rId144"/>
    <sheet name="447" sheetId="145" r:id="rId145"/>
    <sheet name="448" sheetId="146" r:id="rId146"/>
    <sheet name="449" sheetId="147" r:id="rId147"/>
    <sheet name="450" sheetId="148" r:id="rId148"/>
    <sheet name="451" sheetId="149" r:id="rId149"/>
    <sheet name="452" sheetId="150" r:id="rId150"/>
    <sheet name="453" sheetId="151" r:id="rId151"/>
    <sheet name="454" sheetId="152" r:id="rId152"/>
    <sheet name="455" sheetId="153" r:id="rId153"/>
    <sheet name="456" sheetId="154" r:id="rId154"/>
    <sheet name="457" sheetId="155" r:id="rId155"/>
    <sheet name="458" sheetId="156" r:id="rId156"/>
    <sheet name="459" sheetId="157" r:id="rId157"/>
    <sheet name="460" sheetId="158" r:id="rId158"/>
    <sheet name="461" sheetId="159" r:id="rId159"/>
    <sheet name="462" sheetId="160" r:id="rId160"/>
    <sheet name="463" sheetId="161" r:id="rId161"/>
    <sheet name="464" sheetId="162" r:id="rId162"/>
    <sheet name="465" sheetId="163" r:id="rId163"/>
    <sheet name="466" sheetId="164" r:id="rId164"/>
    <sheet name="467" sheetId="165" r:id="rId165"/>
    <sheet name="468" sheetId="166" r:id="rId166"/>
    <sheet name="469" sheetId="167" r:id="rId167"/>
    <sheet name="470" sheetId="168" r:id="rId168"/>
    <sheet name="471" sheetId="169" r:id="rId169"/>
    <sheet name="472" sheetId="170" r:id="rId170"/>
    <sheet name="473" sheetId="171" r:id="rId171"/>
    <sheet name="474" sheetId="172" r:id="rId172"/>
    <sheet name="475" sheetId="173" r:id="rId173"/>
    <sheet name="476" sheetId="174" r:id="rId174"/>
    <sheet name="477" sheetId="175" r:id="rId175"/>
    <sheet name="478" sheetId="176" r:id="rId176"/>
    <sheet name="479" sheetId="177" r:id="rId177"/>
    <sheet name="480" sheetId="178" r:id="rId178"/>
    <sheet name="481" sheetId="179" r:id="rId179"/>
    <sheet name="482" sheetId="180" r:id="rId180"/>
    <sheet name="483" sheetId="181" r:id="rId181"/>
    <sheet name="484" sheetId="182" r:id="rId182"/>
    <sheet name="485" sheetId="183" r:id="rId183"/>
    <sheet name="486" sheetId="184" r:id="rId184"/>
    <sheet name="487" sheetId="185" r:id="rId185"/>
    <sheet name="488" sheetId="186" r:id="rId186"/>
    <sheet name="489" sheetId="187" r:id="rId187"/>
    <sheet name="490" sheetId="188" r:id="rId188"/>
    <sheet name="491" sheetId="189" r:id="rId189"/>
    <sheet name="492" sheetId="190" r:id="rId190"/>
    <sheet name="493" sheetId="191" r:id="rId191"/>
    <sheet name="494" sheetId="192" r:id="rId192"/>
    <sheet name="495" sheetId="193" r:id="rId193"/>
    <sheet name="496" sheetId="194" r:id="rId194"/>
    <sheet name="497" sheetId="195" r:id="rId195"/>
    <sheet name="498" sheetId="196" r:id="rId196"/>
    <sheet name="499" sheetId="197" r:id="rId197"/>
    <sheet name="500" sheetId="198" r:id="rId198"/>
    <sheet name="501" sheetId="199" r:id="rId199"/>
    <sheet name="502" sheetId="200" r:id="rId200"/>
    <sheet name="503" sheetId="201" r:id="rId201"/>
    <sheet name="504" sheetId="202" r:id="rId202"/>
    <sheet name="505" sheetId="203" r:id="rId203"/>
    <sheet name="506" sheetId="204" r:id="rId204"/>
    <sheet name="507" sheetId="205" r:id="rId205"/>
    <sheet name="508" sheetId="206" r:id="rId206"/>
    <sheet name="509" sheetId="207" r:id="rId207"/>
    <sheet name="510" sheetId="208" r:id="rId208"/>
    <sheet name="511" sheetId="209" r:id="rId209"/>
    <sheet name="512" sheetId="210" r:id="rId210"/>
    <sheet name="513" sheetId="211" r:id="rId211"/>
    <sheet name="514" sheetId="212" r:id="rId212"/>
    <sheet name="515" sheetId="213" r:id="rId213"/>
    <sheet name="516" sheetId="214" r:id="rId214"/>
    <sheet name="517" sheetId="215" r:id="rId215"/>
    <sheet name="518" sheetId="216" r:id="rId216"/>
    <sheet name="519" sheetId="217" r:id="rId217"/>
    <sheet name="520" sheetId="218" r:id="rId218"/>
    <sheet name="521" sheetId="219" r:id="rId219"/>
    <sheet name="522" sheetId="220" r:id="rId220"/>
    <sheet name="523" sheetId="221" r:id="rId221"/>
    <sheet name="524" sheetId="222" r:id="rId222"/>
    <sheet name="525" sheetId="223" r:id="rId223"/>
    <sheet name="526" sheetId="224" r:id="rId224"/>
    <sheet name="527" sheetId="225" r:id="rId225"/>
    <sheet name="528" sheetId="226" r:id="rId226"/>
    <sheet name="529" sheetId="227" r:id="rId227"/>
    <sheet name="530" sheetId="228" r:id="rId228"/>
    <sheet name="531" sheetId="229" r:id="rId229"/>
    <sheet name="532" sheetId="230" r:id="rId230"/>
    <sheet name="533" sheetId="231" r:id="rId231"/>
    <sheet name="534" sheetId="232" r:id="rId232"/>
    <sheet name="535" sheetId="233" r:id="rId233"/>
    <sheet name="536" sheetId="234" r:id="rId234"/>
    <sheet name="537" sheetId="235" r:id="rId235"/>
    <sheet name="538" sheetId="236" r:id="rId236"/>
    <sheet name="539" sheetId="237" r:id="rId237"/>
    <sheet name="540" sheetId="238" r:id="rId238"/>
    <sheet name="541" sheetId="239" r:id="rId239"/>
    <sheet name="542" sheetId="240" r:id="rId240"/>
    <sheet name="543" sheetId="241" r:id="rId241"/>
    <sheet name="544" sheetId="242" r:id="rId242"/>
    <sheet name="545" sheetId="243" r:id="rId243"/>
    <sheet name="546" sheetId="244" r:id="rId244"/>
    <sheet name="547" sheetId="245" r:id="rId245"/>
    <sheet name="548" sheetId="246" r:id="rId246"/>
    <sheet name="549" sheetId="247" r:id="rId247"/>
    <sheet name="550" sheetId="248" r:id="rId248"/>
    <sheet name="551" sheetId="249" r:id="rId249"/>
    <sheet name="552" sheetId="250" r:id="rId250"/>
    <sheet name="553" sheetId="251" r:id="rId251"/>
    <sheet name="554" sheetId="252" r:id="rId252"/>
    <sheet name="555" sheetId="253" r:id="rId253"/>
    <sheet name="556" sheetId="254" r:id="rId254"/>
    <sheet name="557" sheetId="255" r:id="rId255"/>
    <sheet name="558" sheetId="256" r:id="rId256"/>
    <sheet name="559" sheetId="257" r:id="rId257"/>
    <sheet name="560" sheetId="258" r:id="rId258"/>
    <sheet name="561" sheetId="259" r:id="rId259"/>
    <sheet name="562" sheetId="260" r:id="rId260"/>
    <sheet name="563" sheetId="261" r:id="rId261"/>
    <sheet name="564" sheetId="262" r:id="rId262"/>
    <sheet name="565" sheetId="263" r:id="rId263"/>
    <sheet name="566" sheetId="264" r:id="rId264"/>
    <sheet name="567" sheetId="265" r:id="rId265"/>
    <sheet name="568" sheetId="266" r:id="rId266"/>
    <sheet name="569" sheetId="267" r:id="rId267"/>
    <sheet name="570" sheetId="268" r:id="rId268"/>
    <sheet name="571" sheetId="269" r:id="rId269"/>
    <sheet name="572" sheetId="270" r:id="rId270"/>
    <sheet name="573" sheetId="271" r:id="rId271"/>
    <sheet name="574" sheetId="272" r:id="rId272"/>
    <sheet name="575" sheetId="273" r:id="rId273"/>
    <sheet name="576" sheetId="274" r:id="rId274"/>
    <sheet name="577" sheetId="275" r:id="rId275"/>
    <sheet name="578" sheetId="276" r:id="rId276"/>
    <sheet name="579" sheetId="277" r:id="rId277"/>
    <sheet name="580" sheetId="278" r:id="rId278"/>
    <sheet name="581" sheetId="279" r:id="rId279"/>
    <sheet name="582" sheetId="280" r:id="rId280"/>
    <sheet name="583" sheetId="281" r:id="rId281"/>
    <sheet name="584" sheetId="282" r:id="rId282"/>
    <sheet name="585" sheetId="283" r:id="rId283"/>
    <sheet name="586" sheetId="284" r:id="rId284"/>
    <sheet name="587" sheetId="285" r:id="rId285"/>
    <sheet name="588" sheetId="286" r:id="rId286"/>
    <sheet name="589" sheetId="287" r:id="rId287"/>
    <sheet name="590" sheetId="288" r:id="rId288"/>
    <sheet name="591" sheetId="289" r:id="rId289"/>
    <sheet name="592" sheetId="290" r:id="rId290"/>
    <sheet name="593" sheetId="291" r:id="rId291"/>
    <sheet name="594" sheetId="292" r:id="rId292"/>
    <sheet name="595" sheetId="293" r:id="rId293"/>
    <sheet name="596" sheetId="294" r:id="rId294"/>
    <sheet name="597" sheetId="295" r:id="rId295"/>
    <sheet name="598" sheetId="296" r:id="rId296"/>
    <sheet name="599" sheetId="297" r:id="rId297"/>
    <sheet name="600" sheetId="298" r:id="rId298"/>
    <sheet name="601" sheetId="299" r:id="rId299"/>
    <sheet name="602" sheetId="300" r:id="rId300"/>
    <sheet name="603" sheetId="301" r:id="rId301"/>
    <sheet name="604" sheetId="302" r:id="rId302"/>
    <sheet name="605" sheetId="303" r:id="rId303"/>
  </sheets>
  <definedNames/>
  <calcPr fullCalcOnLoad="1"/>
</workbook>
</file>

<file path=xl/comments1.xml><?xml version="1.0" encoding="utf-8"?>
<comments xmlns="http://schemas.openxmlformats.org/spreadsheetml/2006/main">
  <authors>
    <author>Alex</author>
  </authors>
  <commentList>
    <comment ref="B274" authorId="0">
      <text>
        <r>
          <rPr>
            <b/>
            <sz val="9"/>
            <rFont val="Tahoma"/>
            <family val="2"/>
          </rPr>
          <t>убрала 5 р на англия 3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<sst xmlns="http://schemas.openxmlformats.org/spreadsheetml/2006/main" count="6907" uniqueCount="1155">
  <si>
    <t>ДАТА:</t>
  </si>
  <si>
    <t>Курс</t>
  </si>
  <si>
    <t>руб/долл</t>
  </si>
  <si>
    <t>НИК УЗ</t>
  </si>
  <si>
    <t>Стоимость заказа, $</t>
  </si>
  <si>
    <t>Вес</t>
  </si>
  <si>
    <t>Стоимость доставки, $</t>
  </si>
  <si>
    <t>ИТОГО, 
руб.</t>
  </si>
  <si>
    <t>Оплачено</t>
  </si>
  <si>
    <t>Долг</t>
  </si>
  <si>
    <t>я</t>
  </si>
  <si>
    <t>НИК</t>
  </si>
  <si>
    <t>В каждой закладке представлены расчеты стоимости заказов</t>
  </si>
  <si>
    <t>&amp;11</t>
  </si>
  <si>
    <t xml:space="preserve"> - Ася-</t>
  </si>
  <si>
    <t>Abesinka</t>
  </si>
  <si>
    <t>237, 298</t>
  </si>
  <si>
    <t>_aida_</t>
  </si>
  <si>
    <t>&lt;Вика&gt;</t>
  </si>
  <si>
    <t>27lyu</t>
  </si>
  <si>
    <t>abrikosina</t>
  </si>
  <si>
    <t>Alen@</t>
  </si>
  <si>
    <t>alexklmn</t>
  </si>
  <si>
    <t>40, 44</t>
  </si>
  <si>
    <t>Amarulla</t>
  </si>
  <si>
    <t>angrid</t>
  </si>
  <si>
    <t xml:space="preserve">Ansy  </t>
  </si>
  <si>
    <t>1, 7, 11, 12, 13, 59, 91, 95</t>
  </si>
  <si>
    <t>An@stasia</t>
  </si>
  <si>
    <t>Ann_T</t>
  </si>
  <si>
    <t>Any_Bany</t>
  </si>
  <si>
    <t xml:space="preserve">Asian_butterfly </t>
  </si>
  <si>
    <t>acsf</t>
  </si>
  <si>
    <t>Any0318</t>
  </si>
  <si>
    <t>Arizona</t>
  </si>
  <si>
    <t>Aussie</t>
  </si>
  <si>
    <t>Bast</t>
  </si>
  <si>
    <t>Beatrix</t>
  </si>
  <si>
    <t>Bellisa</t>
  </si>
  <si>
    <t>60, 175</t>
  </si>
  <si>
    <t>bella d`estate</t>
  </si>
  <si>
    <t>Bittersweet</t>
  </si>
  <si>
    <t>Bizkit</t>
  </si>
  <si>
    <t>BrnNsk</t>
  </si>
  <si>
    <t>Bulani</t>
  </si>
  <si>
    <t>196, 198</t>
  </si>
  <si>
    <t>Boolochka</t>
  </si>
  <si>
    <t>Catberry</t>
  </si>
  <si>
    <t>19, 21, 41, 43, 46, 128, 172, 176, 194, 205</t>
  </si>
  <si>
    <t>Cappuccino</t>
  </si>
  <si>
    <t>Celika</t>
  </si>
  <si>
    <t>Cherryta</t>
  </si>
  <si>
    <t>Da_rya</t>
  </si>
  <si>
    <t>Di_Na</t>
  </si>
  <si>
    <t>Djessika</t>
  </si>
  <si>
    <t>Dgenny</t>
  </si>
  <si>
    <t>Domino</t>
  </si>
  <si>
    <t>Doriana</t>
  </si>
  <si>
    <t>Drugok</t>
  </si>
  <si>
    <t>elkina</t>
  </si>
  <si>
    <t>2, 51,52, 82, 121</t>
  </si>
  <si>
    <t>elenn</t>
  </si>
  <si>
    <t>Elena Z</t>
  </si>
  <si>
    <t>Elenushka</t>
  </si>
  <si>
    <t>EnotOxx</t>
  </si>
  <si>
    <t>Eseniya</t>
  </si>
  <si>
    <t>evgeniya2012</t>
  </si>
  <si>
    <t>284.1, 286, 292</t>
  </si>
  <si>
    <t>Extra</t>
  </si>
  <si>
    <t>Figura</t>
  </si>
  <si>
    <t>FISTASHKA*****</t>
  </si>
  <si>
    <t>f.irina</t>
  </si>
  <si>
    <t>286, 288, 296</t>
  </si>
  <si>
    <t>Fox103</t>
  </si>
  <si>
    <t>Frence</t>
  </si>
  <si>
    <t>GalunjaP</t>
  </si>
  <si>
    <t>Gardeya</t>
  </si>
  <si>
    <t>Green eyes</t>
  </si>
  <si>
    <t>159, 170</t>
  </si>
  <si>
    <t xml:space="preserve">hellcat222  </t>
  </si>
  <si>
    <t>4, 7, 11, 12, 30, 35, 82, 89, 95, 99, 113, 114, 150, 162, 184, 203, 205, 215, 232</t>
  </si>
  <si>
    <t>helenlaw</t>
  </si>
  <si>
    <t>67, 68, 86, 87, 105, 107, 108</t>
  </si>
  <si>
    <t xml:space="preserve">Helen_D  </t>
  </si>
  <si>
    <t>Hibiskus</t>
  </si>
  <si>
    <t>112, 142, 163, 168, 194</t>
  </si>
  <si>
    <t>Ir_86</t>
  </si>
  <si>
    <t xml:space="preserve">Ingrid  </t>
  </si>
  <si>
    <t>Irynya</t>
  </si>
  <si>
    <t>iwonna…</t>
  </si>
  <si>
    <t>Janey</t>
  </si>
  <si>
    <t>31, 33, 45, 46, 54, 226</t>
  </si>
  <si>
    <t>janechka</t>
  </si>
  <si>
    <t>julary</t>
  </si>
  <si>
    <t>jully</t>
  </si>
  <si>
    <t>JulyaS</t>
  </si>
  <si>
    <t>katyonash</t>
  </si>
  <si>
    <t>142, 147, 185, 187</t>
  </si>
  <si>
    <t>Kathrin2009</t>
  </si>
  <si>
    <t>KisenkaYa</t>
  </si>
  <si>
    <t>Kniga2012</t>
  </si>
  <si>
    <t>koopri</t>
  </si>
  <si>
    <t>10, 12, 74, 75</t>
  </si>
  <si>
    <t>ksaila</t>
  </si>
  <si>
    <t>Ksjunik</t>
  </si>
  <si>
    <t>lanycek</t>
  </si>
  <si>
    <t>LaPetite</t>
  </si>
  <si>
    <t>leya</t>
  </si>
  <si>
    <t>LilGlavbuh</t>
  </si>
  <si>
    <t>Lira1405</t>
  </si>
  <si>
    <t xml:space="preserve">luddy </t>
  </si>
  <si>
    <t>LuckyNatali</t>
  </si>
  <si>
    <t>lyuna</t>
  </si>
  <si>
    <t>13, 21</t>
  </si>
  <si>
    <t>Lyuda_Lyuda  </t>
  </si>
  <si>
    <t>83, 200, 297</t>
  </si>
  <si>
    <t>MamaLizo4ki</t>
  </si>
  <si>
    <t>Marihuanna</t>
  </si>
  <si>
    <t>may-lyudmila</t>
  </si>
  <si>
    <t>73, 129, 144, 145, 168</t>
  </si>
  <si>
    <t>marusya7</t>
  </si>
  <si>
    <t>marty2002</t>
  </si>
  <si>
    <t>meze</t>
  </si>
  <si>
    <t>mendilin</t>
  </si>
  <si>
    <t>104, 109, 145</t>
  </si>
  <si>
    <t>Mgnovenie</t>
  </si>
  <si>
    <t>Mo_Lena</t>
  </si>
  <si>
    <t xml:space="preserve">momo5000  </t>
  </si>
  <si>
    <t>50, 54, 57</t>
  </si>
  <si>
    <t>more-more</t>
  </si>
  <si>
    <t>Morrigan</t>
  </si>
  <si>
    <t>Moskoun</t>
  </si>
  <si>
    <t>165, 180, 182, 185, 261, 270</t>
  </si>
  <si>
    <t>MotherSon</t>
  </si>
  <si>
    <t>224, 233</t>
  </si>
  <si>
    <t>musy100</t>
  </si>
  <si>
    <t>Nastay</t>
  </si>
  <si>
    <t>Nastenka82</t>
  </si>
  <si>
    <t>*Natusik*</t>
  </si>
  <si>
    <t>Nailya_Y</t>
  </si>
  <si>
    <t>nadia82</t>
  </si>
  <si>
    <t>Natali37</t>
  </si>
  <si>
    <t>NiceBerry</t>
  </si>
  <si>
    <t>Nika751</t>
  </si>
  <si>
    <t>NikulinaN</t>
  </si>
  <si>
    <t>240, 259</t>
  </si>
  <si>
    <t>nadrugoiplanete</t>
  </si>
  <si>
    <t>215, 279</t>
  </si>
  <si>
    <t>nafanya54</t>
  </si>
  <si>
    <t>nura180</t>
  </si>
  <si>
    <t>Onlinekate</t>
  </si>
  <si>
    <t>olishna72</t>
  </si>
  <si>
    <t>Olga_Kir</t>
  </si>
  <si>
    <t>98, 115, 128</t>
  </si>
  <si>
    <t>oksy82</t>
  </si>
  <si>
    <t>orhideya-j</t>
  </si>
  <si>
    <t>oxygen2610</t>
  </si>
  <si>
    <t>parus</t>
  </si>
  <si>
    <t>Radha</t>
  </si>
  <si>
    <t>rainie</t>
  </si>
  <si>
    <t>49, 80, 102, 116, 149, 184, 183</t>
  </si>
  <si>
    <t>RaccoonCoon</t>
  </si>
  <si>
    <t>122, 137</t>
  </si>
  <si>
    <t>RitaBodita</t>
  </si>
  <si>
    <t>Romanechka</t>
  </si>
  <si>
    <t>~Rosette~</t>
  </si>
  <si>
    <t>rozalia</t>
  </si>
  <si>
    <t>sann</t>
  </si>
  <si>
    <t>sewa11</t>
  </si>
  <si>
    <t>shsh</t>
  </si>
  <si>
    <t>solushka</t>
  </si>
  <si>
    <t>Song</t>
  </si>
  <si>
    <t>Sophi</t>
  </si>
  <si>
    <t>165, 168, 170, 207</t>
  </si>
  <si>
    <t>sorok-i</t>
  </si>
  <si>
    <t>Stacy</t>
  </si>
  <si>
    <t>Svetlada</t>
  </si>
  <si>
    <t xml:space="preserve">SvetlanKa777  </t>
  </si>
  <si>
    <t>Svetik_nv</t>
  </si>
  <si>
    <t>*SvetOK*</t>
  </si>
  <si>
    <t>sunny_julianna</t>
  </si>
  <si>
    <t xml:space="preserve">Tanitta2009 </t>
  </si>
  <si>
    <t>Ternura</t>
  </si>
  <si>
    <t>tnm1980</t>
  </si>
  <si>
    <t>torokova123</t>
  </si>
  <si>
    <t>trumea</t>
  </si>
  <si>
    <t>Tusiya</t>
  </si>
  <si>
    <t>99, 100</t>
  </si>
  <si>
    <t>ZAliM</t>
  </si>
  <si>
    <t>zannoza</t>
  </si>
  <si>
    <t>Zhannusya</t>
  </si>
  <si>
    <t>zhemapel-ka</t>
  </si>
  <si>
    <t>Zina30-78</t>
  </si>
  <si>
    <t>198, 234</t>
  </si>
  <si>
    <t>zolotkat</t>
  </si>
  <si>
    <t>unamela</t>
  </si>
  <si>
    <t>161, 166</t>
  </si>
  <si>
    <t>Ver511</t>
  </si>
  <si>
    <t>Vikus'ka</t>
  </si>
  <si>
    <t>Vlada_13</t>
  </si>
  <si>
    <t>Yana_7</t>
  </si>
  <si>
    <t>yulia_olimpia</t>
  </si>
  <si>
    <t>180, 198, 200</t>
  </si>
  <si>
    <t>YLIA81</t>
  </si>
  <si>
    <t>Абадусь</t>
  </si>
  <si>
    <t>Айринка</t>
  </si>
  <si>
    <t>Анэстас</t>
  </si>
  <si>
    <t>анютка.4713</t>
  </si>
  <si>
    <t>38, 101, 192</t>
  </si>
  <si>
    <t>Анютко</t>
  </si>
  <si>
    <t>Анюточка8605</t>
  </si>
  <si>
    <t>АняБ</t>
  </si>
  <si>
    <t>260, 263, 294</t>
  </si>
  <si>
    <t>АннаFigura4</t>
  </si>
  <si>
    <t>Бабочка717</t>
  </si>
  <si>
    <t>Велька</t>
  </si>
  <si>
    <t>Верю в чудо</t>
  </si>
  <si>
    <t>Веро4ка</t>
  </si>
  <si>
    <t>Висконти</t>
  </si>
  <si>
    <t>Гленвитол</t>
  </si>
  <si>
    <t>Госпожа УДАЧА</t>
  </si>
  <si>
    <t>Дашулькина мама</t>
  </si>
  <si>
    <t>273, 279, 281, 283, 292</t>
  </si>
  <si>
    <t>Дождь</t>
  </si>
  <si>
    <t>Дорагуша</t>
  </si>
  <si>
    <t>Жасмин77</t>
  </si>
  <si>
    <t>Зайцы</t>
  </si>
  <si>
    <t>Евгения-ЕВА</t>
  </si>
  <si>
    <t>Елена Скорик</t>
  </si>
  <si>
    <t>Йожи</t>
  </si>
  <si>
    <t>Каролiнка</t>
  </si>
  <si>
    <t>Катеринка86</t>
  </si>
  <si>
    <t>катрунасия</t>
  </si>
  <si>
    <t>117, 235</t>
  </si>
  <si>
    <t>Кофейная барышня</t>
  </si>
  <si>
    <t>Ленчик1</t>
  </si>
  <si>
    <t>133, 204</t>
  </si>
  <si>
    <t>Ленуся75</t>
  </si>
  <si>
    <t>3, 6, 8, 21, 22, 24, 27, 36, 39, 40, 76</t>
  </si>
  <si>
    <t>Лиана123</t>
  </si>
  <si>
    <t>203, 230,299</t>
  </si>
  <si>
    <t>Лис-и4-ка</t>
  </si>
  <si>
    <t>3, 6, 24, 38, 51, 116, 139,243, 256</t>
  </si>
  <si>
    <t>Лисенок М</t>
  </si>
  <si>
    <t>ляМУРка</t>
  </si>
  <si>
    <t>Магнолия</t>
  </si>
  <si>
    <t>214, 215</t>
  </si>
  <si>
    <t>Мама Ита</t>
  </si>
  <si>
    <t>85, 131, 254</t>
  </si>
  <si>
    <t>Мама Миа</t>
  </si>
  <si>
    <t>159, 161, 172, 177, 181, 207</t>
  </si>
  <si>
    <t>МариЖа</t>
  </si>
  <si>
    <t>Марина Ларина</t>
  </si>
  <si>
    <t>Марьяна Алексеевна</t>
  </si>
  <si>
    <t>Медведица</t>
  </si>
  <si>
    <t>Н@тали</t>
  </si>
  <si>
    <t>наташа1</t>
  </si>
  <si>
    <t>10, 43</t>
  </si>
  <si>
    <t>наташа2</t>
  </si>
  <si>
    <t>НастЯЯЯ</t>
  </si>
  <si>
    <t>20, 29, 57, 71, 72, 109, 117</t>
  </si>
  <si>
    <t>натюрморт</t>
  </si>
  <si>
    <t>40, 46, 72</t>
  </si>
  <si>
    <t>нашка</t>
  </si>
  <si>
    <t>*Неженка*</t>
  </si>
  <si>
    <t>Нефертити</t>
  </si>
  <si>
    <t>олёк</t>
  </si>
  <si>
    <t>Ольга_тм</t>
  </si>
  <si>
    <t>Оля&amp;Никита</t>
  </si>
  <si>
    <t>Ольга975</t>
  </si>
  <si>
    <t>Приорат Диора</t>
  </si>
  <si>
    <t>Разведка2004</t>
  </si>
  <si>
    <t>рина-марина</t>
  </si>
  <si>
    <t>руф</t>
  </si>
  <si>
    <t>семицветик1</t>
  </si>
  <si>
    <t>22, 31, 46, 53, 76, 79, 102, 116, 117,127, 224</t>
  </si>
  <si>
    <t>_серьезная</t>
  </si>
  <si>
    <t>Сини4ка</t>
  </si>
  <si>
    <t>Снежинка_82</t>
  </si>
  <si>
    <t>137, 151</t>
  </si>
  <si>
    <t>Стюардесса</t>
  </si>
  <si>
    <t>Сюша</t>
  </si>
  <si>
    <t>6, 8</t>
  </si>
  <si>
    <t>Татка42</t>
  </si>
  <si>
    <t>томасян</t>
  </si>
  <si>
    <t>Фаворитка</t>
  </si>
  <si>
    <t>фантазия1</t>
  </si>
  <si>
    <t>Юл83</t>
  </si>
  <si>
    <t>Юляskа</t>
  </si>
  <si>
    <t>53, 55, 60, 86</t>
  </si>
  <si>
    <t>Улий</t>
  </si>
  <si>
    <t>131, 148, 282</t>
  </si>
  <si>
    <t>ШерХан</t>
  </si>
  <si>
    <t>Я Н А</t>
  </si>
  <si>
    <t>3, 11, 21, 23</t>
  </si>
  <si>
    <t>яшеничка</t>
  </si>
  <si>
    <t>Расчет смотрите в закладках с номерами страниц: 1, 2… и тп.</t>
  </si>
  <si>
    <t>закладки с расчетами
(номер закладки - номер выкупа)</t>
  </si>
  <si>
    <t xml:space="preserve">баланс СП 300-...
долг (-), депозит </t>
  </si>
  <si>
    <t xml:space="preserve">баланс СП 1-299
долг (-), депозит
ЖМИ </t>
  </si>
  <si>
    <t>Выкуп 31.12.14</t>
  </si>
  <si>
    <t>Tanitta2009</t>
  </si>
  <si>
    <r>
      <t xml:space="preserve">39, 44, 65, 83, 85, 94, 164, 255, </t>
    </r>
    <r>
      <rPr>
        <sz val="11"/>
        <color indexed="12"/>
        <rFont val="Calibri"/>
        <family val="2"/>
      </rPr>
      <t>301</t>
    </r>
  </si>
  <si>
    <r>
      <t xml:space="preserve">ИТОГО
</t>
    </r>
    <r>
      <rPr>
        <b/>
        <sz val="14"/>
        <color indexed="12"/>
        <rFont val="Calibri"/>
        <family val="2"/>
      </rPr>
      <t>(сумма столбца В и С)</t>
    </r>
  </si>
  <si>
    <t>Выкуп 10.01.2015</t>
  </si>
  <si>
    <t>perepelka</t>
  </si>
  <si>
    <t>Di Na</t>
  </si>
  <si>
    <t>не было:</t>
  </si>
  <si>
    <t>http://ru.iherb.com/Sundesa-Blender-Bottle-with-Blender-Ball-Color-Green-28-oz-Bottle/23575 -1шт </t>
  </si>
  <si>
    <t>299, 302</t>
  </si>
  <si>
    <r>
      <t>74, 89, 101, 198, 199</t>
    </r>
    <r>
      <rPr>
        <sz val="11"/>
        <color indexed="12"/>
        <rFont val="Calibri"/>
        <family val="2"/>
      </rPr>
      <t>, 303</t>
    </r>
  </si>
  <si>
    <r>
      <t xml:space="preserve">262, 284, </t>
    </r>
    <r>
      <rPr>
        <sz val="11"/>
        <color indexed="12"/>
        <rFont val="Calibri"/>
        <family val="2"/>
      </rPr>
      <t>303</t>
    </r>
  </si>
  <si>
    <t>Выкуп 18.01.2015</t>
  </si>
  <si>
    <t>Выкуп 19.01.2015</t>
  </si>
  <si>
    <t xml:space="preserve"> KisenkaYa</t>
  </si>
  <si>
    <t>MISS JM</t>
  </si>
  <si>
    <t>Томасян</t>
  </si>
  <si>
    <t>Клевер удачи</t>
  </si>
  <si>
    <r>
      <t>289,</t>
    </r>
    <r>
      <rPr>
        <sz val="11"/>
        <color indexed="12"/>
        <rFont val="Calibri"/>
        <family val="2"/>
      </rPr>
      <t xml:space="preserve"> 303, 304</t>
    </r>
  </si>
  <si>
    <r>
      <t>250, 289,</t>
    </r>
    <r>
      <rPr>
        <sz val="11"/>
        <color indexed="12"/>
        <rFont val="Calibri"/>
        <family val="2"/>
      </rPr>
      <t xml:space="preserve"> 304</t>
    </r>
  </si>
  <si>
    <t>Выкуп 22.01.2015</t>
  </si>
  <si>
    <t>Savanna</t>
  </si>
  <si>
    <t>http://ru.iherb.com/Real-Techniques-by-Samantha-Chapman-Your-Finish-Perfected-Setting-Brush/42483</t>
  </si>
  <si>
    <t>305, 306</t>
  </si>
  <si>
    <t>Выкуп 28.01.2015</t>
  </si>
  <si>
    <t>Выкуп 29.01.2015</t>
  </si>
  <si>
    <t>Нашка</t>
  </si>
  <si>
    <t>http://ru.iherb.com/Palmer-s-Cocoa-Butter-Formula-for-Dry-Itchy-Skin-5-1-fl-oz-150-ml/26932 </t>
  </si>
  <si>
    <t>77 р оплата долга из депозита</t>
  </si>
  <si>
    <t>60 р перенесла на джим 27</t>
  </si>
  <si>
    <t>Выкуп 04.02.2015</t>
  </si>
  <si>
    <t>luddy</t>
  </si>
  <si>
    <t>Neira</t>
  </si>
  <si>
    <t>libenmamhen</t>
  </si>
  <si>
    <t>Выкуп 10.02.2015</t>
  </si>
  <si>
    <t>Olishna72</t>
  </si>
  <si>
    <t>Руф</t>
  </si>
  <si>
    <t>Татьяна</t>
  </si>
  <si>
    <t xml:space="preserve">Solushka  </t>
  </si>
  <si>
    <t>Выкуп 15.02.2015</t>
  </si>
  <si>
    <t>inna 171</t>
  </si>
  <si>
    <t>libenmamhen2</t>
  </si>
  <si>
    <t>libenmamhen3</t>
  </si>
  <si>
    <t>Выкуп 19.02.2015</t>
  </si>
  <si>
    <t>Выкуп 20.02.2015</t>
  </si>
  <si>
    <t>SvetOchey</t>
  </si>
  <si>
    <t>Polya</t>
  </si>
  <si>
    <t>Tanul'ka</t>
  </si>
  <si>
    <t>LaikA</t>
  </si>
  <si>
    <t>314, 316</t>
  </si>
  <si>
    <t>Выкуп 24.02.2015</t>
  </si>
  <si>
    <t>Русьимпорт</t>
  </si>
  <si>
    <t>http://www.iherb.com/Now-Foods-Kid-Vits-Berry-Blast-120-Chewables/5140?at=0&amp;rcode=VUT178</t>
  </si>
  <si>
    <t>Не было в наличии:</t>
  </si>
  <si>
    <t>Выкуп 09.03.2015</t>
  </si>
  <si>
    <t>ОКР</t>
  </si>
  <si>
    <t xml:space="preserve"> -Ася-</t>
  </si>
  <si>
    <t>Машуля1405</t>
  </si>
  <si>
    <t>Счастливчик Мэри</t>
  </si>
  <si>
    <t>Бета</t>
  </si>
  <si>
    <t>MamaO</t>
  </si>
  <si>
    <r>
      <t>15, 16, 21, 25, 28, 32, 34, 35, 40, 54, 58, 61, 66, 69, 75, 112, 142, 143, 169, 198, 200, 202, 234, 235, 241,257, 273-274,</t>
    </r>
    <r>
      <rPr>
        <sz val="11"/>
        <color indexed="12"/>
        <rFont val="Calibri"/>
        <family val="2"/>
      </rPr>
      <t xml:space="preserve"> 320</t>
    </r>
  </si>
  <si>
    <t>Выкуп 12.03.2015</t>
  </si>
  <si>
    <t>GEMKA83</t>
  </si>
  <si>
    <r>
      <t>красным</t>
    </r>
    <r>
      <rPr>
        <i/>
        <sz val="11"/>
        <color indexed="8"/>
        <rFont val="Calibri"/>
        <family val="2"/>
      </rPr>
      <t xml:space="preserve"> выделены закладки, соответствующие полученным номерам посылок</t>
    </r>
  </si>
  <si>
    <t>Выкуп 17.03.2015</t>
  </si>
  <si>
    <t>Саблезубая Тигра</t>
  </si>
  <si>
    <t>lepola</t>
  </si>
  <si>
    <r>
      <t>269,</t>
    </r>
    <r>
      <rPr>
        <sz val="11"/>
        <color indexed="12"/>
        <rFont val="Calibri"/>
        <family val="2"/>
      </rPr>
      <t xml:space="preserve"> 323</t>
    </r>
  </si>
  <si>
    <r>
      <t>254, 288,</t>
    </r>
    <r>
      <rPr>
        <sz val="11"/>
        <color indexed="12"/>
        <rFont val="Calibri"/>
        <family val="2"/>
      </rPr>
      <t xml:space="preserve"> 304, 323</t>
    </r>
  </si>
  <si>
    <t>14 р перенесла с джим 28</t>
  </si>
  <si>
    <t>Выкуп 20.03.2015</t>
  </si>
  <si>
    <t>Sorok-i</t>
  </si>
  <si>
    <t>RomanenkoOA</t>
  </si>
  <si>
    <r>
      <t xml:space="preserve">55, 60, 65, 99, 100, </t>
    </r>
    <r>
      <rPr>
        <sz val="11"/>
        <color indexed="12"/>
        <rFont val="Calibri"/>
        <family val="2"/>
      </rPr>
      <t>325</t>
    </r>
  </si>
  <si>
    <r>
      <t xml:space="preserve">271, 281, 288, </t>
    </r>
    <r>
      <rPr>
        <sz val="11"/>
        <color indexed="12"/>
        <rFont val="Calibri"/>
        <family val="2"/>
      </rPr>
      <t>325</t>
    </r>
  </si>
  <si>
    <t>Выкуп 26.03.2015</t>
  </si>
  <si>
    <t>Алина 07</t>
  </si>
  <si>
    <t xml:space="preserve">Саблезубая Тигра </t>
  </si>
  <si>
    <r>
      <t xml:space="preserve">93, </t>
    </r>
    <r>
      <rPr>
        <sz val="11"/>
        <color indexed="12"/>
        <rFont val="Calibri"/>
        <family val="2"/>
      </rPr>
      <t>308, 326</t>
    </r>
  </si>
  <si>
    <t>Выкуп 28.03.2015</t>
  </si>
  <si>
    <t>Майк@</t>
  </si>
  <si>
    <t>Gugushonok</t>
  </si>
  <si>
    <t>валериЯ80</t>
  </si>
  <si>
    <t>marsG</t>
  </si>
  <si>
    <t>759 р перенесла с СП1 по косметике</t>
  </si>
  <si>
    <t>Выкуп 30.03.2015</t>
  </si>
  <si>
    <t>Чеширская Кошка</t>
  </si>
  <si>
    <t xml:space="preserve">Йожи </t>
  </si>
  <si>
    <t>Ирина 83</t>
  </si>
  <si>
    <t>Выкуп 02.04.2015</t>
  </si>
  <si>
    <t>Выкуп 03.04.2015</t>
  </si>
  <si>
    <t>futurebiotics</t>
  </si>
  <si>
    <t>Doctor-s-Best-Best</t>
  </si>
  <si>
    <t>Франжипани</t>
  </si>
  <si>
    <t>Olga_1983</t>
  </si>
  <si>
    <t>330-333</t>
  </si>
  <si>
    <r>
      <t xml:space="preserve">79, 121, 152, </t>
    </r>
    <r>
      <rPr>
        <sz val="11"/>
        <color indexed="12"/>
        <rFont val="Calibri"/>
        <family val="2"/>
      </rPr>
      <t>336</t>
    </r>
  </si>
  <si>
    <r>
      <t xml:space="preserve">238, 257, 272, 274, </t>
    </r>
    <r>
      <rPr>
        <sz val="11"/>
        <color indexed="12"/>
        <rFont val="Calibri"/>
        <family val="2"/>
      </rPr>
      <t>307, 328, 336</t>
    </r>
  </si>
  <si>
    <t>Выкуп 06.04.2015</t>
  </si>
  <si>
    <t>Мама Фета</t>
  </si>
  <si>
    <t>Elenka1983</t>
  </si>
  <si>
    <r>
      <t xml:space="preserve">289, </t>
    </r>
    <r>
      <rPr>
        <sz val="11"/>
        <color indexed="12"/>
        <rFont val="Calibri"/>
        <family val="2"/>
      </rPr>
      <t>338</t>
    </r>
  </si>
  <si>
    <r>
      <t>263, 293,</t>
    </r>
    <r>
      <rPr>
        <sz val="11"/>
        <color indexed="12"/>
        <rFont val="Calibri"/>
        <family val="2"/>
      </rPr>
      <t xml:space="preserve"> 339</t>
    </r>
  </si>
  <si>
    <t>10 р убрала за межгород</t>
  </si>
  <si>
    <t>убрала 750 за мыло из наличия и 165 вернула на карту 08.04.15</t>
  </si>
  <si>
    <t>Выкуп 09.04.2015</t>
  </si>
  <si>
    <t>olesya79</t>
  </si>
  <si>
    <t>Мама Бони</t>
  </si>
  <si>
    <t>Jokondich29</t>
  </si>
  <si>
    <t>Victoria-R</t>
  </si>
  <si>
    <t>28mes</t>
  </si>
  <si>
    <t>UltraViolettt</t>
  </si>
  <si>
    <t>Выкуп 10.04.2015</t>
  </si>
  <si>
    <t>Выкуп 12.04.2015</t>
  </si>
  <si>
    <t>Айвори</t>
  </si>
  <si>
    <t>не было</t>
  </si>
  <si>
    <t>http://ru.iherb.com/FutureBiotics-VitOmegaMen-Mega-Multi-Flax-90-Veggie-Tabs/7299 $13.41</t>
  </si>
  <si>
    <t>http://ru.iherb.com/Optimum-Nutrition-100-Whey-Gold-Standard-Double-Rich-Chocolate-2-lb-909-g/27497 </t>
  </si>
  <si>
    <t>http://ru.iherb.com/Desert-Essence-Travel-Size-Coconut-Hand-and-Body-Lotion-1-5-fl-oz-44-ml/59342#p=1&amp;oos=0&amp;disc=0&amp;lc=ru-RU&amp;w=desert%20essence&amp;rc=109&amp;sr=4&amp;ic=3</t>
  </si>
  <si>
    <r>
      <t xml:space="preserve">291, 299, </t>
    </r>
    <r>
      <rPr>
        <sz val="11"/>
        <color indexed="12"/>
        <rFont val="Calibri"/>
        <family val="2"/>
      </rPr>
      <t>301, 302, 303, 345</t>
    </r>
  </si>
  <si>
    <t>Выкуп 17.04.2015</t>
  </si>
  <si>
    <t>sas1974</t>
  </si>
  <si>
    <t xml:space="preserve">ZAliM  </t>
  </si>
  <si>
    <r>
      <t xml:space="preserve">243, 265, </t>
    </r>
    <r>
      <rPr>
        <sz val="11"/>
        <color indexed="12"/>
        <rFont val="Calibri"/>
        <family val="2"/>
      </rPr>
      <t>347</t>
    </r>
  </si>
  <si>
    <t>342, 348</t>
  </si>
  <si>
    <t>Выкуп 19.04.2015</t>
  </si>
  <si>
    <t>Elison</t>
  </si>
  <si>
    <t>Uliana13</t>
  </si>
  <si>
    <t>ЛенаЗЗЗ</t>
  </si>
  <si>
    <t>Камелия</t>
  </si>
  <si>
    <t>TanyaSonya</t>
  </si>
  <si>
    <t>http://ru.iherb.com/iHerb-Promotional-Materials-Day-Night-Pill-Organizer/57481 </t>
  </si>
  <si>
    <r>
      <t xml:space="preserve">237,239, 256, </t>
    </r>
    <r>
      <rPr>
        <sz val="11"/>
        <color indexed="12"/>
        <rFont val="Calibri"/>
        <family val="2"/>
      </rPr>
      <t>300, 308, 349</t>
    </r>
  </si>
  <si>
    <t>убрала в счет кокон 59</t>
  </si>
  <si>
    <t>321, 338</t>
  </si>
  <si>
    <t>Выкуп 23.04.2015</t>
  </si>
  <si>
    <t>vfkbyf</t>
  </si>
  <si>
    <t>elena_serdyuk</t>
  </si>
  <si>
    <t>350, 352</t>
  </si>
  <si>
    <t>29 р убрала на оплату долга посредник англия 4</t>
  </si>
  <si>
    <t>Выкуп 25.04.2015</t>
  </si>
  <si>
    <t>Nata Morozova</t>
  </si>
  <si>
    <r>
      <t>46, 120, 128, 138, 145, 212</t>
    </r>
    <r>
      <rPr>
        <sz val="11"/>
        <color indexed="48"/>
        <rFont val="Calibri"/>
        <family val="2"/>
      </rPr>
      <t>, 353</t>
    </r>
  </si>
  <si>
    <t>Выкуп 28.04.2015</t>
  </si>
  <si>
    <t>Выкуп 29.04.2015</t>
  </si>
  <si>
    <t>Не было</t>
  </si>
  <si>
    <t>http://ru.iherb.com/Blum-Naturals-Oil-Absorbing-Facial-Tissues-50-Sheets/30588 </t>
  </si>
  <si>
    <t>GLAN</t>
  </si>
  <si>
    <t>Yulia Plotnikova</t>
  </si>
  <si>
    <t>317, 355</t>
  </si>
  <si>
    <t>Выкуп 30.04.2015</t>
  </si>
  <si>
    <t>Маша и Полина</t>
  </si>
  <si>
    <t>Helen_D</t>
  </si>
  <si>
    <t>Шмак</t>
  </si>
  <si>
    <t xml:space="preserve">tnm1980  </t>
  </si>
  <si>
    <t>Яшеничка</t>
  </si>
  <si>
    <t>Windless</t>
  </si>
  <si>
    <r>
      <t xml:space="preserve">82, 96, 103, 133, 203, 216, 222, 237, </t>
    </r>
    <r>
      <rPr>
        <sz val="11"/>
        <color indexed="12"/>
        <rFont val="Calibri"/>
        <family val="2"/>
      </rPr>
      <t>307, 357</t>
    </r>
  </si>
  <si>
    <r>
      <t>290, 296,</t>
    </r>
    <r>
      <rPr>
        <sz val="11"/>
        <color indexed="12"/>
        <rFont val="Calibri"/>
        <family val="2"/>
      </rPr>
      <t xml:space="preserve"> 357</t>
    </r>
  </si>
  <si>
    <t>315, 316, 357</t>
  </si>
  <si>
    <r>
      <t xml:space="preserve">146, 292, 294, 296, </t>
    </r>
    <r>
      <rPr>
        <sz val="11"/>
        <color indexed="12"/>
        <rFont val="Calibri"/>
        <family val="2"/>
      </rPr>
      <t>358</t>
    </r>
  </si>
  <si>
    <t>34 р перенесла с переплаты по посредник сша 5</t>
  </si>
  <si>
    <t>Выкуп 06.05.2015</t>
  </si>
  <si>
    <t xml:space="preserve">LilGlavbuh  </t>
  </si>
  <si>
    <r>
      <t xml:space="preserve">93, </t>
    </r>
    <r>
      <rPr>
        <sz val="11"/>
        <color indexed="12"/>
        <rFont val="Calibri"/>
        <family val="2"/>
      </rPr>
      <t>360</t>
    </r>
  </si>
  <si>
    <t>66 р перенесла с переплаты фарма 27</t>
  </si>
  <si>
    <t>Выкуп 08.05.2015</t>
  </si>
  <si>
    <t>Настеньк@</t>
  </si>
  <si>
    <t>санатик</t>
  </si>
  <si>
    <t>Выкуп 12.05.2015</t>
  </si>
  <si>
    <t>Yanama</t>
  </si>
  <si>
    <t>Prasol'ka</t>
  </si>
  <si>
    <t>ibakutis</t>
  </si>
  <si>
    <t>352, 363</t>
  </si>
  <si>
    <r>
      <t xml:space="preserve">272, </t>
    </r>
    <r>
      <rPr>
        <sz val="11"/>
        <color indexed="12"/>
        <rFont val="Calibri"/>
        <family val="2"/>
      </rPr>
      <t>359, 364</t>
    </r>
  </si>
  <si>
    <t>Выкуп 13.05.2015</t>
  </si>
  <si>
    <t>Выкуп 15.05.2015</t>
  </si>
  <si>
    <t>Выкуп 17.05.2015</t>
  </si>
  <si>
    <t>Аня-N</t>
  </si>
  <si>
    <t>Katenagri</t>
  </si>
  <si>
    <t>Хабиба</t>
  </si>
  <si>
    <t>Мадам Диванова</t>
  </si>
  <si>
    <t>Ируся</t>
  </si>
  <si>
    <t>363, 369</t>
  </si>
  <si>
    <t>10 р убрала на сверку кокон 62.</t>
  </si>
  <si>
    <t>Выкуп 19.05.2015</t>
  </si>
  <si>
    <t>Ksaila</t>
  </si>
  <si>
    <t>http://ru.iherb.com/Rainbow-Light-Nutri-Stars-Food-Based-Multivitamin-Fruit-Punch-Flavor-120-Chewable-Tablets/4628?at=0&amp;rcode=VUT178</t>
  </si>
  <si>
    <t>2 шт</t>
  </si>
  <si>
    <r>
      <t>55, 62, 120, 123, 216</t>
    </r>
    <r>
      <rPr>
        <sz val="11"/>
        <color indexed="12"/>
        <rFont val="Calibri"/>
        <family val="2"/>
      </rPr>
      <t>, 372</t>
    </r>
  </si>
  <si>
    <t>Выкуп 23.05.2015</t>
  </si>
  <si>
    <t xml:space="preserve">Настойчивая </t>
  </si>
  <si>
    <t>309, 312, 313, 319, 343, 354, 361, 366, 370, 371, 373, 375</t>
  </si>
  <si>
    <t>371, 374</t>
  </si>
  <si>
    <t>Выкуп 26.05.2015</t>
  </si>
  <si>
    <t>pono444ka</t>
  </si>
  <si>
    <t>Solushka</t>
  </si>
  <si>
    <t>Libertine</t>
  </si>
  <si>
    <t>smeli</t>
  </si>
  <si>
    <t>VaLiyShka N.</t>
  </si>
  <si>
    <t>347, 378</t>
  </si>
  <si>
    <t>83 р перенесла с депозита посредник 5</t>
  </si>
  <si>
    <t>Выкуп 29.05.2015</t>
  </si>
  <si>
    <t>sibiryachka</t>
  </si>
  <si>
    <t>Иринка2804</t>
  </si>
  <si>
    <t>Настюля</t>
  </si>
  <si>
    <t>Матрена</t>
  </si>
  <si>
    <t>http://www.iherb.com/Rainbow-Light-Just-Once-Women-s-One-Food-Based-Multivitamin-30-Tablets/40970</t>
  </si>
  <si>
    <t>51, 57, 62, 65, 66, 67, 68, 70, 79, 84,88, 90, 91, 92, 96, 97, 101, 117, 119, 128, 163, 170, 199, 200, 203, 204, 216, 380</t>
  </si>
  <si>
    <t>Выкуп 31.05.2015</t>
  </si>
  <si>
    <t>Выкуп 01.06.2015</t>
  </si>
  <si>
    <t>Inna.K.</t>
  </si>
  <si>
    <t>http://www.iherb.com/product-reviews/NutriBiotic-Skin-Cleanser-Fragrance-Free-Non-Soap-16-fl-oz-473-ml/13314/?p=1&amp;revl=ru умывалка 5.39</t>
  </si>
  <si>
    <t>http://ru.iherb.com/product-reviews/All-Terrain-Mickey-and-Minnie-Mouse-KidSport-Spray-SPF-30-Fragrance-Free-3-0-fl-oz-90-ml/53425</t>
  </si>
  <si>
    <t>С_Нина</t>
  </si>
  <si>
    <t>компенсация</t>
  </si>
  <si>
    <t>80 р перенесла в счет оплаты шампуня 02.06.15</t>
  </si>
  <si>
    <t>7 р перенесла со сверки саса 9</t>
  </si>
  <si>
    <t>Выкуп 10.06.2015</t>
  </si>
  <si>
    <t>Freylin</t>
  </si>
  <si>
    <r>
      <t xml:space="preserve">22, 24, 29, 32, 50, 53, 69, 70, 78, 79, 107, 137, 168, 173, 199, 222, 251, 262, 281, 298, </t>
    </r>
    <r>
      <rPr>
        <sz val="11"/>
        <color indexed="62"/>
        <rFont val="Calibri"/>
        <family val="2"/>
      </rPr>
      <t>386</t>
    </r>
  </si>
  <si>
    <t>Выкуп 12.06.2015</t>
  </si>
  <si>
    <t>olyasha85</t>
  </si>
  <si>
    <t>http://ru.iherb.com/product-reviews/NutriBiotic-Skin-Cleanser-Fresh-Fruit-Non-Soap-16-fl-oz-473-ml/4712/?p=1 </t>
  </si>
  <si>
    <t>Nfyz</t>
  </si>
  <si>
    <t>25 р убрала с депозита за межгород май 2015</t>
  </si>
  <si>
    <t>10 р перебросила на кокон 66</t>
  </si>
  <si>
    <t>Выкуп 14.06.2015</t>
  </si>
  <si>
    <t>http://www.iherb.com/Weiman-Leather-Cleaner-Conditioner-12-fl-oz-355-ml/26915</t>
  </si>
  <si>
    <t>Выкуп 15.06.2015</t>
  </si>
  <si>
    <t>Ольга Олейник</t>
  </si>
  <si>
    <t>я (Свете)</t>
  </si>
  <si>
    <t>20 р убрала за межгород 17.05.15</t>
  </si>
  <si>
    <t>Выкуп 24.06.2015</t>
  </si>
  <si>
    <t>Котя84</t>
  </si>
  <si>
    <t>Arlene</t>
  </si>
  <si>
    <t>noparapone</t>
  </si>
  <si>
    <t>не было в наличии</t>
  </si>
  <si>
    <t>http://www.iherb.com/Gummi-King-DHA-Omega-3-Gummi-for-Kids-60-Gummies/34013</t>
  </si>
  <si>
    <t>http://www.iherb.com/E-L-F-Cosmetics-Studio-32-Piece-Eyeshadow-Palette-0-99-oz-28-g/48215 </t>
  </si>
  <si>
    <t>эту позицию сняли с продаж!</t>
  </si>
  <si>
    <t>Выкуп 02.07.2015</t>
  </si>
  <si>
    <t>http://ru.iherb.com/Honeybee-Gardens-Pressed-Mineral-Powder-Malibu-0-26-oz-7-5-g/35160</t>
  </si>
  <si>
    <t>Настойчивая</t>
  </si>
  <si>
    <t>http://ru.iherb.com/iHerb-Promotional-Materials-Day-Night-Pill-Organizer/57481</t>
  </si>
  <si>
    <t>374, 394</t>
  </si>
  <si>
    <t>329, 336, 342, 345, 348, 394</t>
  </si>
  <si>
    <t>14 р перенесла с кокона</t>
  </si>
  <si>
    <t>Выкуп 07.07.2015</t>
  </si>
  <si>
    <t>Выкуп 06.07.2015</t>
  </si>
  <si>
    <t>Kamilka)</t>
  </si>
  <si>
    <t>Рина-Марина</t>
  </si>
  <si>
    <t>http://ru.iherb.com/Andalou-Naturals-Cleansing-Foam-1000-Roses-Sensitive-5-5-fl-oz-163-ml/55609</t>
  </si>
  <si>
    <t>http://ru.iherb.com/Giovanni-Smooth-As-Silk-Deeper-Moisture-Conditioner-8-5-fl-oz-250-ml/6403</t>
  </si>
  <si>
    <t>Выкуп 12.07.2015</t>
  </si>
  <si>
    <t>http://www.iherb.com/E-L-F-Cosmetics-Ultimate-Look-Brown-11-Piece-Set/48683 </t>
  </si>
  <si>
    <t>эту позицию сняли давно с продаж.</t>
  </si>
  <si>
    <t>Выкуп 14.07.2015</t>
  </si>
  <si>
    <t>esera</t>
  </si>
  <si>
    <r>
      <t xml:space="preserve">180, 197, 232, 274, 281, </t>
    </r>
    <r>
      <rPr>
        <sz val="11"/>
        <color indexed="12"/>
        <rFont val="Calibri"/>
        <family val="2"/>
      </rPr>
      <t>389, 400</t>
    </r>
  </si>
  <si>
    <r>
      <t xml:space="preserve">235, </t>
    </r>
    <r>
      <rPr>
        <sz val="11"/>
        <color indexed="56"/>
        <rFont val="Calibri"/>
        <family val="2"/>
      </rPr>
      <t xml:space="preserve">365, </t>
    </r>
    <r>
      <rPr>
        <sz val="11"/>
        <color indexed="30"/>
        <rFont val="Calibri"/>
        <family val="2"/>
      </rPr>
      <t>400</t>
    </r>
  </si>
  <si>
    <t>Выкуп 21.07.2015</t>
  </si>
  <si>
    <t>Betavik</t>
  </si>
  <si>
    <t>166 р отметила возврат за витамины</t>
  </si>
  <si>
    <t xml:space="preserve">Elenn  </t>
  </si>
  <si>
    <r>
      <t xml:space="preserve">282, </t>
    </r>
    <r>
      <rPr>
        <sz val="11"/>
        <color indexed="12"/>
        <rFont val="Calibri"/>
        <family val="2"/>
      </rPr>
      <t>325, 401</t>
    </r>
  </si>
  <si>
    <t>395, 401</t>
  </si>
  <si>
    <r>
      <t xml:space="preserve">218, 237, 260, </t>
    </r>
    <r>
      <rPr>
        <sz val="11"/>
        <color indexed="12"/>
        <rFont val="Calibri"/>
        <family val="2"/>
      </rPr>
      <t>316, 323, 369, 396, 401</t>
    </r>
  </si>
  <si>
    <t>115, 118, 119, 120, 122, 133, 173, 172, 180, 185, 189, 200, 201, 207, 251, 402</t>
  </si>
  <si>
    <t>Выкуп 24.07.2015</t>
  </si>
  <si>
    <t xml:space="preserve">Mорула  </t>
  </si>
  <si>
    <t>Mорула</t>
  </si>
  <si>
    <t>30 р убрала в счет змеиного крема 13.07.15 и прибавила депозит 439 р (возврат сайта)</t>
  </si>
  <si>
    <t>Выкуп 28.07.2015</t>
  </si>
  <si>
    <t>11 р перенесла на кокон 72</t>
  </si>
  <si>
    <t>Выкуп 02.08.2015</t>
  </si>
  <si>
    <t>coraolive</t>
  </si>
  <si>
    <t>grace kelly</t>
  </si>
  <si>
    <t>http://ru.iherb.com/Acure-Organics-Shampoo-Lemongrass-Argan-Stem-Cell-8-fl-oz-235-ml/40491</t>
  </si>
  <si>
    <t>http://ru.iherb.com/Nelson-Bach-USA-Pure-Clear-Acne-Treatment-Gel-Step-4-1-oz-30-g/6744 </t>
  </si>
  <si>
    <t>320, 407</t>
  </si>
  <si>
    <t>Выкуп 09.08.2015</t>
  </si>
  <si>
    <t>замена</t>
  </si>
  <si>
    <t>Олька1978</t>
  </si>
  <si>
    <t>Svetasvet</t>
  </si>
  <si>
    <t>70 р отметила в счет оплаты бальзама биодерма 21.07.15</t>
  </si>
  <si>
    <r>
      <t>198,</t>
    </r>
    <r>
      <rPr>
        <sz val="11"/>
        <color indexed="12"/>
        <rFont val="Calibri"/>
        <family val="2"/>
      </rPr>
      <t xml:space="preserve"> 389, 410</t>
    </r>
  </si>
  <si>
    <t>Выкуп 14.08.2015</t>
  </si>
  <si>
    <t> Svetik_nv</t>
  </si>
  <si>
    <t>valensa</t>
  </si>
  <si>
    <t>MaryBell</t>
  </si>
  <si>
    <t>KatyaKatya</t>
  </si>
  <si>
    <t>http://www.iherb.com/Nature-s-Plus-Source-of-Life-Animal-Parade-Kids-Immune-Booster-Natural-Tropical-Berry-Flavor-90-Animals/21161</t>
  </si>
  <si>
    <r>
      <t xml:space="preserve">275, 281, </t>
    </r>
    <r>
      <rPr>
        <sz val="11"/>
        <color indexed="12"/>
        <rFont val="Calibri"/>
        <family val="2"/>
      </rPr>
      <t>347, 402, 411</t>
    </r>
  </si>
  <si>
    <t>Выкуп 19.08.2015</t>
  </si>
  <si>
    <t>http://ru.iherb.com/Aroma-Naturals-Vitamin-C-Lotion-Amazing-C-A-E-1-oz-30-g/49604</t>
  </si>
  <si>
    <t>http://www.iherb.com/Reviva-Labs-Pomegranate-Lactic-Acid-Peptide-Botanical-Exfoliant-2-oz-55-g/16654</t>
  </si>
  <si>
    <t>Ziмушка</t>
  </si>
  <si>
    <t>Выкуп 24.08.2015</t>
  </si>
  <si>
    <t>http://www.iherb.com/Now-Foods-Solutions-Shea-Butter-Lotion-4-fl-oz-118-ml/6690</t>
  </si>
  <si>
    <t>http://www.iherb.com/EcoTools-Bamboo-Nail-Brush-1-Brush/25462</t>
  </si>
  <si>
    <t>http://ru.iherb.com/Nature-s-Plus-Source-of-Life-Animal-Parade-Kids-Immune-Booster-Natural-Tropical-Berry-Flavor-90-Animals/21161</t>
  </si>
  <si>
    <t>39 р перенесла на фармашоп 30</t>
  </si>
  <si>
    <t>Выкуп 31.08.2015</t>
  </si>
  <si>
    <t>Выкуп 01.09.2015</t>
  </si>
  <si>
    <t>sonya-zasonya</t>
  </si>
  <si>
    <t>325, 327, 338, 346, 349, 353, 355, 364, 370, 383, 387, 410, 418</t>
  </si>
  <si>
    <t>137, 147, 418</t>
  </si>
  <si>
    <t>Выкуп 07.09.2015</t>
  </si>
  <si>
    <t>Бедешка</t>
  </si>
  <si>
    <t>http://ru.iherb.com/E-L-F-Cosmetics-Lengthening-Defining-Mascara-Black-0-08-fl-oz-2-5-ml/53218</t>
  </si>
  <si>
    <t>http://ru.iherb.com/Bee-Naturals-Ultimate-Foot-Creme-4-oz/42825</t>
  </si>
  <si>
    <t>Выкуп 15.09.2015</t>
  </si>
  <si>
    <t>Natti09</t>
  </si>
  <si>
    <t>http://ru.iherb.com/Alba-Botanica-Hawaiian-Deep-Conditioning-Minute-Mask-5-5-oz-156-g/58538</t>
  </si>
  <si>
    <t>ИрисКис</t>
  </si>
  <si>
    <t>http://www.iherb.com/E-L-F-Cosmetics-Clarifying-Pressed-Powder-Apricot-Beige-0-18-oz-5-g/53209</t>
  </si>
  <si>
    <t>arunrie</t>
  </si>
  <si>
    <t>таня-с</t>
  </si>
  <si>
    <t xml:space="preserve">submax  </t>
  </si>
  <si>
    <t>ЪЪЪолюняЪЪЪ</t>
  </si>
  <si>
    <t>submax</t>
  </si>
  <si>
    <r>
      <t>53, 54, 78, 88, 118, 264, 299,</t>
    </r>
    <r>
      <rPr>
        <sz val="11"/>
        <color indexed="12"/>
        <rFont val="Calibri"/>
        <family val="2"/>
      </rPr>
      <t xml:space="preserve"> 324, 374, 425</t>
    </r>
  </si>
  <si>
    <t>Выкуп 16.09.2015</t>
  </si>
  <si>
    <t>Коляша</t>
  </si>
  <si>
    <t>Смелая</t>
  </si>
  <si>
    <t>http://ru.iherb.com/California-Gold-Nutrition-LactoBif-Probiotics-5-Billion-CFU-60-Veggie-Caps/64006</t>
  </si>
  <si>
    <t>Выкуп 20.09.2015</t>
  </si>
  <si>
    <t>http://ru.iherb.com/Advance-Physician-Formulas-Inc-Indole-3-Carbinol-200-mg-60-Capsules/54591?rcode=VUT178</t>
  </si>
  <si>
    <t>http://ru.iherb.com/Nature-s-Plus-Source-of-Life-Animal-Parade-Gold-Children-s-Chewable-Multi-Vitamin-Mineral-Supplement-Natural-Assorted-Flavors-120-Animals/40504</t>
  </si>
  <si>
    <t>LenaSnegurka</t>
  </si>
  <si>
    <t>elena36</t>
  </si>
  <si>
    <t>Lel</t>
  </si>
  <si>
    <t>327, 329, 340, 345, 350, 358, 359, 365, 368, 371, 380, 385, 428</t>
  </si>
  <si>
    <t>Выкуп 23.09.2015</t>
  </si>
  <si>
    <t>14 р отдала с заказом 28.09.15</t>
  </si>
  <si>
    <t>Выкуп 28.09.2015</t>
  </si>
  <si>
    <t>Калатея</t>
  </si>
  <si>
    <t>Vasilina24</t>
  </si>
  <si>
    <t>penguin</t>
  </si>
  <si>
    <t>NATAVIRTA</t>
  </si>
  <si>
    <t>http://ru.iherb.com/NutriBiotic-Everyday-Clean-Shampoo-Botanical-Blend-10-fl-oz-296-ml/22392</t>
  </si>
  <si>
    <t>*Бантик*</t>
  </si>
  <si>
    <t>354 р убрала в счет наличия</t>
  </si>
  <si>
    <t>Оранжевая ромашка</t>
  </si>
  <si>
    <t>Выкуп 30.09.2015</t>
  </si>
  <si>
    <t>http://ru.iherb.com/Giovanni-2chic-Ultra-Sleek-Conditioner-Brazilian-Keratin-Argan-Oil-8-5-fl-oz-250-ml/43354</t>
  </si>
  <si>
    <t>Выкуп 03.10.2015</t>
  </si>
  <si>
    <t>АВЕДИНА</t>
  </si>
  <si>
    <t>Мама Бони ч1</t>
  </si>
  <si>
    <t>Мама Бони ч2</t>
  </si>
  <si>
    <t>http://ru.iherb.com/NatraBio-Children-s-Cough-Syrup-Yummy-Cherry-Berry-Flavor-4-fl-oz-120-ml/6655</t>
  </si>
  <si>
    <t>ASIAT</t>
  </si>
  <si>
    <t>340, 436</t>
  </si>
  <si>
    <t>192 р депозит отметила за протекшее масло</t>
  </si>
  <si>
    <t>Выкуп 07.10.2015</t>
  </si>
  <si>
    <t>torokova123 1 ч</t>
  </si>
  <si>
    <t>torokova123 2 ч</t>
  </si>
  <si>
    <t>Elena090</t>
  </si>
  <si>
    <t>aLenka_1009</t>
  </si>
  <si>
    <r>
      <t xml:space="preserve">202, </t>
    </r>
    <r>
      <rPr>
        <sz val="11"/>
        <color indexed="12"/>
        <rFont val="Calibri"/>
        <family val="2"/>
      </rPr>
      <t>432, 439</t>
    </r>
  </si>
  <si>
    <t>432, 436, 439, 440</t>
  </si>
  <si>
    <t>1 р убрпала в счет долга джим 36</t>
  </si>
  <si>
    <t>Выкуп 11.10.2015</t>
  </si>
  <si>
    <t>Выкуп 13.10.2015</t>
  </si>
  <si>
    <t>Вероничка13</t>
  </si>
  <si>
    <t>Стройняшка</t>
  </si>
  <si>
    <t>НЕ БЫЛО</t>
  </si>
  <si>
    <t>23 р перенесла на англия 5</t>
  </si>
  <si>
    <t>10 р убрала за межгорож перекид</t>
  </si>
  <si>
    <t>Выкуп 16.10.2015</t>
  </si>
  <si>
    <t>Zoika</t>
  </si>
  <si>
    <t>320, 324, 327, 344, 349, 353, 356, 406, 434, 443</t>
  </si>
  <si>
    <t>Выкуп 19.10.2015</t>
  </si>
  <si>
    <t>britva</t>
  </si>
  <si>
    <t>Yulchikk</t>
  </si>
  <si>
    <t>Выкуп 27.10.2015</t>
  </si>
  <si>
    <t>AmoreFem</t>
  </si>
  <si>
    <t>перезаказ</t>
  </si>
  <si>
    <t>Alika s</t>
  </si>
  <si>
    <t>Настя Пух</t>
  </si>
  <si>
    <t>Olchik.goa</t>
  </si>
  <si>
    <t>Nadezda007</t>
  </si>
  <si>
    <r>
      <t xml:space="preserve">207, 272, </t>
    </r>
    <r>
      <rPr>
        <sz val="11"/>
        <color indexed="12"/>
        <rFont val="Calibri"/>
        <family val="2"/>
      </rPr>
      <t>302, 320, 371, 407, 408, 411, 448</t>
    </r>
  </si>
  <si>
    <t>Выкуп 03.11.2015</t>
  </si>
  <si>
    <t>http://www.iherb.com/21st-Century-Health-Care-Zoo-Friends-Complete-Children-s-Multivitamin-Multimineral-60-Chewable-Tablets/43853</t>
  </si>
  <si>
    <r>
      <t xml:space="preserve">275-278, </t>
    </r>
    <r>
      <rPr>
        <sz val="11"/>
        <color indexed="12"/>
        <rFont val="Calibri"/>
        <family val="2"/>
      </rPr>
      <t>448, 449</t>
    </r>
  </si>
  <si>
    <t>Выкуп 07.11.2015</t>
  </si>
  <si>
    <t>Pirognoe</t>
  </si>
  <si>
    <t>http://www.iherb.com/earth-science-active-age-defense-i-cream-nourishing-eye-care-5-oz-14-g/27414</t>
  </si>
  <si>
    <t>240, 454</t>
  </si>
  <si>
    <t>428, 442, 453</t>
  </si>
  <si>
    <t>Выкуп 09.11.2015</t>
  </si>
  <si>
    <t>Мама Полечки</t>
  </si>
  <si>
    <t>85, 133, 167, 219-220, 375, 457</t>
  </si>
  <si>
    <t>Выкуп 14.11.2015</t>
  </si>
  <si>
    <t>ТАТАЛУ</t>
  </si>
  <si>
    <t>torokova123 оксане</t>
  </si>
  <si>
    <t>torokova123 ире</t>
  </si>
  <si>
    <t>428, 458</t>
  </si>
  <si>
    <t>Выкуп 19.11.2015</t>
  </si>
  <si>
    <t>титовна</t>
  </si>
  <si>
    <t>BlueAngel</t>
  </si>
  <si>
    <t>177, 186, 187, 291, 294, 463</t>
  </si>
  <si>
    <r>
      <t>265,267, 286, 287, 288, 295,</t>
    </r>
    <r>
      <rPr>
        <sz val="11"/>
        <color indexed="12"/>
        <rFont val="Calibri"/>
        <family val="2"/>
      </rPr>
      <t xml:space="preserve"> 308, 350, 463</t>
    </r>
  </si>
  <si>
    <t>Выкуп 22.11.2015</t>
  </si>
  <si>
    <t>Выкуп 24.11.2015</t>
  </si>
  <si>
    <t>Надежда1107</t>
  </si>
  <si>
    <t>Lalila</t>
  </si>
  <si>
    <t>http://www.iherb.com/Shea-Moisture-Mommy-Stretch-Mark-Butter-Cream-6-oz-170-g/63804</t>
  </si>
  <si>
    <t>Светлаяна</t>
  </si>
  <si>
    <t>Ольга Новосибирск</t>
  </si>
  <si>
    <t>Выкуп 29.11.2015</t>
  </si>
  <si>
    <t>MarmeladkaNSK</t>
  </si>
  <si>
    <t>НеСветлая</t>
  </si>
  <si>
    <t>401, 408, 415, 421, 423, 446, 466</t>
  </si>
  <si>
    <t>431, 467</t>
  </si>
  <si>
    <r>
      <t>214,</t>
    </r>
    <r>
      <rPr>
        <sz val="11"/>
        <color indexed="12"/>
        <rFont val="Calibri"/>
        <family val="2"/>
      </rPr>
      <t xml:space="preserve"> 329, 338, 433, 436, 467</t>
    </r>
  </si>
  <si>
    <t>434, 460, 467</t>
  </si>
  <si>
    <t>Выкуп 02.12.2015</t>
  </si>
  <si>
    <t>Macovsky</t>
  </si>
  <si>
    <t>AstiMartini</t>
  </si>
  <si>
    <t>NatZai</t>
  </si>
  <si>
    <t>http://ru.iherb.com/MRM-CoQ-10-100-mg-60-Softgels/22808 </t>
  </si>
  <si>
    <t>http://ru.iherb.com/MRM-Flax-Oil-1000-mg-90-Softgels/41352</t>
  </si>
  <si>
    <t>http://ru.iherb.com/Bluebonnet-Nutri...lb-450-g/12804</t>
  </si>
  <si>
    <t>Выкуп 08.12.2015</t>
  </si>
  <si>
    <t>Оплата до 10 декабря об оплате пишите в форму оплат из 1 поста</t>
  </si>
  <si>
    <t>http://ru.iherb.com/Starwest-Botanicals-Flower-Waters-Roman-Chamomile-4-fl-oz-118-ml/22495</t>
  </si>
  <si>
    <t>Выкуп 12.12.2015</t>
  </si>
  <si>
    <t>Rikka</t>
  </si>
  <si>
    <t>Lotos</t>
  </si>
  <si>
    <r>
      <t>17, 19, 20, 21, 23, 36, 37, 58, 98, 172, 190, 194, 213, 267, 279, 288, 292,</t>
    </r>
    <r>
      <rPr>
        <sz val="11"/>
        <color indexed="12"/>
        <rFont val="Calibri"/>
        <family val="2"/>
      </rPr>
      <t xml:space="preserve"> 319, 389, 474</t>
    </r>
  </si>
  <si>
    <t>425, 426, 474</t>
  </si>
  <si>
    <t>376, 474</t>
  </si>
  <si>
    <t>52, 175, 475</t>
  </si>
  <si>
    <t>Выкуп 16.12.2015</t>
  </si>
  <si>
    <t>fuzz</t>
  </si>
  <si>
    <t>EVE_8</t>
  </si>
  <si>
    <t>ТанюсикSt</t>
  </si>
  <si>
    <t>369, 377, 387, 406, 407, 418, 425, 426, 433, 436, 458, 475, 476</t>
  </si>
  <si>
    <t>327, 346, 347, 349, 407, 447, 476</t>
  </si>
  <si>
    <t>Выкуп 23.12.2015</t>
  </si>
  <si>
    <r>
      <t xml:space="preserve">161, 251, </t>
    </r>
    <r>
      <rPr>
        <sz val="11"/>
        <color indexed="30"/>
        <rFont val="Calibri"/>
        <family val="2"/>
      </rPr>
      <t>342, 353, 477</t>
    </r>
  </si>
  <si>
    <t>Выкуп 30.12.2015</t>
  </si>
  <si>
    <t>karat_moon</t>
  </si>
  <si>
    <t>427, 479</t>
  </si>
  <si>
    <t>Выкуп 06.01.2016</t>
  </si>
  <si>
    <t>Мусенок любящий Печенье</t>
  </si>
  <si>
    <t>474, 481</t>
  </si>
  <si>
    <t>357, 364, 391, 482</t>
  </si>
  <si>
    <t>Выкуп 10.01.2016</t>
  </si>
  <si>
    <t>Raduga54</t>
  </si>
  <si>
    <t>469, 484</t>
  </si>
  <si>
    <t>Выкуп 18.01.2016</t>
  </si>
  <si>
    <t>Lolly</t>
  </si>
  <si>
    <t>Баядерка</t>
  </si>
  <si>
    <t>Ольга2408</t>
  </si>
  <si>
    <t>субару  </t>
  </si>
  <si>
    <t>Natazzka</t>
  </si>
  <si>
    <t>субару</t>
  </si>
  <si>
    <t>Выкуп 25.01.2016</t>
  </si>
  <si>
    <t>Марфушенька</t>
  </si>
  <si>
    <t>http://ru.iherb.com/Vaxa-International-Extress-60-Veggie-Caps/10847 </t>
  </si>
  <si>
    <t>Выкуп 26.01.2016</t>
  </si>
  <si>
    <t>421, 488</t>
  </si>
  <si>
    <r>
      <t>237,</t>
    </r>
    <r>
      <rPr>
        <sz val="11"/>
        <color indexed="12"/>
        <rFont val="Calibri"/>
        <family val="2"/>
      </rPr>
      <t xml:space="preserve"> 320, 371, 488</t>
    </r>
  </si>
  <si>
    <t>322, 385, 447, 488</t>
  </si>
  <si>
    <r>
      <t>26, 27, 28,</t>
    </r>
    <r>
      <rPr>
        <sz val="11"/>
        <color indexed="10"/>
        <rFont val="Calibri"/>
        <family val="2"/>
      </rPr>
      <t xml:space="preserve"> </t>
    </r>
    <r>
      <rPr>
        <sz val="11"/>
        <color indexed="12"/>
        <rFont val="Calibri"/>
        <family val="2"/>
      </rPr>
      <t>318, 441, 485, 489</t>
    </r>
  </si>
  <si>
    <t>480, 489</t>
  </si>
  <si>
    <t>Выкуп 27.01.2016</t>
  </si>
  <si>
    <t>raud</t>
  </si>
  <si>
    <t>Выкуп 30.01.2016</t>
  </si>
  <si>
    <t>apple70</t>
  </si>
  <si>
    <t>323, 407, 427, 441, 492</t>
  </si>
  <si>
    <t>Выкуп 05.02.2016</t>
  </si>
  <si>
    <t>Ingrid</t>
  </si>
  <si>
    <t>Таня-Таня</t>
  </si>
  <si>
    <t>http://ru.iherb.com/Jason-Natural-Treatment-Shampoo-Dandruff-Relief-12-fl-oz-355-ml/6253</t>
  </si>
  <si>
    <t>TaTy-ana</t>
  </si>
  <si>
    <r>
      <t xml:space="preserve">284, </t>
    </r>
    <r>
      <rPr>
        <sz val="11"/>
        <color indexed="12"/>
        <rFont val="Calibri"/>
        <family val="2"/>
      </rPr>
      <t>304, 493</t>
    </r>
  </si>
  <si>
    <t>126, 497</t>
  </si>
  <si>
    <t>Выкуп 09.02.2016</t>
  </si>
  <si>
    <t>http://ru.iherb.com/Aquaphor-Lip-Repair-Immediate-Relief-Fragrance-Free-35-fl-oz-10-ml/45772</t>
  </si>
  <si>
    <t>http://ru.iherb.com/E-L-F-Cosmetics-Mineral-Eyeshadow-Primer-Sheer-15-oz-4-5-g/51584</t>
  </si>
  <si>
    <t>http://www.iherb.com/Thorne-Research-Calcium-Citramate-90-Veggie-Caps/18502</t>
  </si>
  <si>
    <t>491, 498</t>
  </si>
  <si>
    <r>
      <t xml:space="preserve">93, 94, 109, 111, 114, 163, 167, 169, 182, 202, 214,221, 226,231, 236, 258, 275, 283, 287, 294, 297, </t>
    </r>
    <r>
      <rPr>
        <sz val="11"/>
        <color indexed="12"/>
        <rFont val="Calibri"/>
        <family val="2"/>
      </rPr>
      <t>300, 302, 307, 308, 313, 316, 318, 322, 326, 341, 346, 351, 355, 360, 372, 382, 391, 392, 396, 401, 403, 412, 413, 418, 428, 430,444, 456, 465, 467, 474, 476, 479, 488, 496, 499</t>
    </r>
  </si>
  <si>
    <t>Выкуп 10.02.2016</t>
  </si>
  <si>
    <t>Оплата до 13 февраля об оплате пишите в форму оплат из 1 поста</t>
  </si>
  <si>
    <t>Н@стя</t>
  </si>
  <si>
    <t>Выкуп 17.02.2016</t>
  </si>
  <si>
    <t>Wpolosa</t>
  </si>
  <si>
    <t>Выкуп 22.02.2016</t>
  </si>
  <si>
    <t>Настяка</t>
  </si>
  <si>
    <r>
      <t>147, 151, 282, 288,</t>
    </r>
    <r>
      <rPr>
        <sz val="11"/>
        <color indexed="12"/>
        <rFont val="Calibri"/>
        <family val="2"/>
      </rPr>
      <t xml:space="preserve"> 348, 504</t>
    </r>
  </si>
  <si>
    <t>461, 464, 505</t>
  </si>
  <si>
    <r>
      <t>242,243, 267, 287, 288, 295, 297,</t>
    </r>
    <r>
      <rPr>
        <sz val="11"/>
        <color indexed="12"/>
        <rFont val="Calibri"/>
        <family val="2"/>
      </rPr>
      <t xml:space="preserve"> 352, 364, 505</t>
    </r>
  </si>
  <si>
    <r>
      <t xml:space="preserve">246, 268, </t>
    </r>
    <r>
      <rPr>
        <sz val="11"/>
        <color indexed="12"/>
        <rFont val="Calibri"/>
        <family val="2"/>
      </rPr>
      <t>450, 456, 476, 505</t>
    </r>
  </si>
  <si>
    <t>468, 506</t>
  </si>
  <si>
    <t>81 р перенесла из кокон90</t>
  </si>
  <si>
    <t>Выкуп 26.02.2016</t>
  </si>
  <si>
    <t>Mechta*</t>
  </si>
  <si>
    <t>Выкуп 29.02.2016</t>
  </si>
  <si>
    <t xml:space="preserve">BlueAngel  </t>
  </si>
  <si>
    <t>света</t>
  </si>
  <si>
    <t>462, 509</t>
  </si>
  <si>
    <t>Выкуп 05.03.2016</t>
  </si>
  <si>
    <t>leol</t>
  </si>
  <si>
    <r>
      <t xml:space="preserve">207, </t>
    </r>
    <r>
      <rPr>
        <sz val="11"/>
        <color indexed="12"/>
        <rFont val="Calibri"/>
        <family val="2"/>
      </rPr>
      <t>321, 510</t>
    </r>
  </si>
  <si>
    <t>407, 510</t>
  </si>
  <si>
    <t>464, 470, 510</t>
  </si>
  <si>
    <t>485, 488, 489, 491, 494, 495, 498, 502, 504, 508, 511</t>
  </si>
  <si>
    <t>381, 411, 419, 468, 506, 511</t>
  </si>
  <si>
    <t>344, 442, 475, 511</t>
  </si>
  <si>
    <t>71, 469, 477, 502, 512</t>
  </si>
  <si>
    <t>476, 503, 512</t>
  </si>
  <si>
    <t>341, 364, 386, 393, 396, 409, 416, 418, 421, 424, 431, 435, 444, 452, 478, 479, 481, 486, 496, 503, 508, 512</t>
  </si>
  <si>
    <t>340, 358, 414, 433, 435, 447, 450, 453, 460, 461, 464, 471, 475, 477, 480, 486, 489, 491, 499, 504, 512</t>
  </si>
  <si>
    <t>Выкуп 10.03.2016</t>
  </si>
  <si>
    <t>http://ru.iherb.com/Shea-Moisture-Baby-Calm-Comfort-Kit-W-Frankincense-Myrrh-4-Piece-Kit/63806</t>
  </si>
  <si>
    <t>438, 441, 453, 457, 468, 514</t>
  </si>
  <si>
    <t>Выкуп 11.03.2016</t>
  </si>
  <si>
    <t>KristinaYa</t>
  </si>
  <si>
    <t>Юлия_Жданова</t>
  </si>
  <si>
    <t>412, 515</t>
  </si>
  <si>
    <t>411, 499, 516</t>
  </si>
  <si>
    <t>Выкуп 16.03.2016</t>
  </si>
  <si>
    <t>Оплата до 19 марта об оплате пишите в форму оплат из 1 поста</t>
  </si>
  <si>
    <t>таня04</t>
  </si>
  <si>
    <t>татьяна дом актера</t>
  </si>
  <si>
    <t>Зверушка</t>
  </si>
  <si>
    <t>яня</t>
  </si>
  <si>
    <t>516, 517, 520</t>
  </si>
  <si>
    <t>363, 378, 520</t>
  </si>
  <si>
    <t>180, 186, 232, 517</t>
  </si>
  <si>
    <t>11, 37, 48, 222, 518</t>
  </si>
  <si>
    <t>Выкуп 18.03.2016</t>
  </si>
  <si>
    <t>435, 521</t>
  </si>
  <si>
    <t>485, 488, 489, 491, 494, 495, 498, 502, 504, 508, 511, 514, 521</t>
  </si>
  <si>
    <t>30 р отметила с переплаты наличия</t>
  </si>
  <si>
    <t>Выкуп 23.03.2016</t>
  </si>
  <si>
    <t>http://www.iherb.com/Dymatize-Nutrition-BCAA-Complex-2200-Branched-Chain-Amino-Acids-200-Caplets/25699 по спец. предложению </t>
  </si>
  <si>
    <t>nikushka</t>
  </si>
  <si>
    <r>
      <t xml:space="preserve">221, </t>
    </r>
    <r>
      <rPr>
        <sz val="11"/>
        <color indexed="12"/>
        <rFont val="Calibri"/>
        <family val="2"/>
      </rPr>
      <t>325, 328, 344, 378, 384, 387, 391, 399, 441, 522</t>
    </r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</si>
  <si>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309, 316, 319, 339, 340, 372, 381, 391, 404, 411, 412, 416, 429, 485, 522</t>
    </r>
  </si>
  <si>
    <t>339, 359, 362, 422, 425, 470, 479, 514, 522</t>
  </si>
  <si>
    <t>485, 488, 489, 491, 494, 495, 498, 502, 504, 508, 511, 514, 521, 522</t>
  </si>
  <si>
    <t>Выкуп 28.03.2016</t>
  </si>
  <si>
    <t>Ришуля</t>
  </si>
  <si>
    <t>Всездорово</t>
  </si>
  <si>
    <t>Анна Коваленко</t>
  </si>
  <si>
    <r>
      <t xml:space="preserve">133-136, 152-158, 160, 174, 175, 177, 211, 212, 240, 244, 245, 280, </t>
    </r>
    <r>
      <rPr>
        <sz val="11"/>
        <color indexed="12"/>
        <rFont val="Calibri"/>
        <family val="2"/>
      </rPr>
      <t>345, 387, 437, 441, 459, 461, 472, 523</t>
    </r>
  </si>
  <si>
    <t>342, 524</t>
  </si>
  <si>
    <t>425, 519, 524</t>
  </si>
  <si>
    <t>Выкуп 31.03.2016</t>
  </si>
  <si>
    <t>Зефирка</t>
  </si>
  <si>
    <r>
      <t>289, 291</t>
    </r>
    <r>
      <rPr>
        <sz val="11"/>
        <color indexed="12"/>
        <rFont val="Calibri"/>
        <family val="2"/>
      </rPr>
      <t>, 322, 341, 360, 425, 525</t>
    </r>
  </si>
  <si>
    <t>Выкуп 04.04.2016</t>
  </si>
  <si>
    <t xml:space="preserve">kami555  </t>
  </si>
  <si>
    <t>_Дарья_</t>
  </si>
  <si>
    <t>Tarico</t>
  </si>
  <si>
    <t>http://ru.iherb.com/Now-Foods-Sunflower-Lecithin-1200-mg-200-Softgels/23216</t>
  </si>
  <si>
    <t xml:space="preserve">meze  </t>
  </si>
  <si>
    <t>http://www.iherb.com/Now-Foods-Gotu-Kola-450-mg-100-Capsules/630</t>
  </si>
  <si>
    <t>378, 383, 527</t>
  </si>
  <si>
    <t>107, 108, 129-131, 143, 144, 149, 162, 169, 183, 208-210, 213, 223-225, 246, 249, 250, 252, 253, 254, 493, 498, 500, 528</t>
  </si>
  <si>
    <t>166, 528</t>
  </si>
  <si>
    <t>Выкуп 06.04.2016</t>
  </si>
  <si>
    <t>Выкуп 08.04.2016</t>
  </si>
  <si>
    <t>Вер@чк@</t>
  </si>
  <si>
    <t>24р перенесла с парфюм8</t>
  </si>
  <si>
    <t>Выкуп 13.04.2016</t>
  </si>
  <si>
    <t>Зеленая</t>
  </si>
  <si>
    <t>427, 437, 441,466, 513, 528, 531</t>
  </si>
  <si>
    <t>382, 531</t>
  </si>
  <si>
    <t>Выкуп 15.04.2016</t>
  </si>
  <si>
    <t>Love 85</t>
  </si>
  <si>
    <t>Выкуп 16.04.2016</t>
  </si>
  <si>
    <t>Марина фарланданская</t>
  </si>
  <si>
    <r>
      <t xml:space="preserve">221, </t>
    </r>
    <r>
      <rPr>
        <sz val="11"/>
        <color indexed="12"/>
        <rFont val="Calibri"/>
        <family val="2"/>
      </rPr>
      <t>325, 328, 344, 378, 384, 387, 391, 399, 441, 522, 526, 532</t>
    </r>
  </si>
  <si>
    <t>Выкуп 22.04.2016</t>
  </si>
  <si>
    <t>настяка</t>
  </si>
  <si>
    <t>Выкуп 24.04.2016</t>
  </si>
  <si>
    <t>Plazmacita</t>
  </si>
  <si>
    <r>
      <t>188,</t>
    </r>
    <r>
      <rPr>
        <sz val="11"/>
        <color indexed="30"/>
        <rFont val="Calibri"/>
        <family val="2"/>
      </rPr>
      <t xml:space="preserve"> </t>
    </r>
    <r>
      <rPr>
        <sz val="11"/>
        <color indexed="12"/>
        <rFont val="Calibri"/>
        <family val="2"/>
      </rPr>
      <t>340, 344, 364, 435, 441, 451, 469, 474, 487, 524, 534</t>
    </r>
  </si>
  <si>
    <r>
      <t xml:space="preserve">4, 5, 6, 8, 9, 14, 15, 18, 21, 22, 
25, 27, 28, 29, 31, 37, 38, 44, 45, 48, 53, 60, 61, 62, 64, 66, 78, </t>
    </r>
    <r>
      <rPr>
        <sz val="11"/>
        <color indexed="12"/>
        <rFont val="Calibri"/>
        <family val="2"/>
      </rPr>
      <t>300, 308, 325, 369, 374, 407, 426, 446, 475, 483, 535</t>
    </r>
  </si>
  <si>
    <t>Выкуп 27.04.2016</t>
  </si>
  <si>
    <t>385, 399, 432, 537</t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</si>
  <si>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309, 316, 319, 339, 340, 372, 381, 391, 404, 411, 412, 416, 429, 485, 522, 537</t>
    </r>
  </si>
  <si>
    <t>Выкуп 29.04.2016</t>
  </si>
  <si>
    <t>Svetlana601</t>
  </si>
  <si>
    <t>пАННАчка</t>
  </si>
  <si>
    <t>207, 537, 538</t>
  </si>
  <si>
    <t>531, 538</t>
  </si>
  <si>
    <t>Выкуп 02.05.2016</t>
  </si>
  <si>
    <t>ОлесяФД</t>
  </si>
  <si>
    <t>Jane26</t>
  </si>
  <si>
    <r>
      <t xml:space="preserve">103, 178, 191, 206,212, 214, 215, 243, 247, 254, 258, 284, 288, 298, </t>
    </r>
    <r>
      <rPr>
        <sz val="11"/>
        <color indexed="12"/>
        <rFont val="Calibri"/>
        <family val="2"/>
      </rPr>
      <t>302, 307, 309, 312, 340, 349, 352, 369, 383, 431, 447, 452, 501, 521, 526, 531, 532, 539</t>
    </r>
  </si>
  <si>
    <t>519, 539</t>
  </si>
  <si>
    <t>22 р оплачено 07.05.2016</t>
  </si>
  <si>
    <t>Выкуп 08.05.2016</t>
  </si>
  <si>
    <t>Kopeva</t>
  </si>
  <si>
    <t>Nata_dug</t>
  </si>
  <si>
    <t>*olko*</t>
  </si>
  <si>
    <t>500, 540</t>
  </si>
  <si>
    <t>Выкуп 13.05.2016</t>
  </si>
  <si>
    <t xml:space="preserve">MarmeladkaNSK  </t>
  </si>
  <si>
    <t>Alionka*</t>
  </si>
  <si>
    <t>http://ru.iherb.com/Carlson-Labs-Chelated-Calcium-250-mg-180-Tablets/12201</t>
  </si>
  <si>
    <t>Jully</t>
  </si>
  <si>
    <t>malvina88</t>
  </si>
  <si>
    <t>466, 541</t>
  </si>
  <si>
    <t>130, 217, 446, 515, 542</t>
  </si>
  <si>
    <t>Выкуп 18.05.2016</t>
  </si>
  <si>
    <t>МАГниТА</t>
  </si>
  <si>
    <t>340, 358, 414, 433, 435, 447, 450, 453, 460, 461, 464, 471, 475, 477, 480, 486, 489, 491, 499, 504, 512, 519, 526, 529, 531, 537, 540, 542, 543</t>
  </si>
  <si>
    <t>339, 359, 362, 422, 425, 470, 479, 514, 522, 539, 543</t>
  </si>
  <si>
    <t>517, 543</t>
  </si>
  <si>
    <t>перезаказ не отправленного</t>
  </si>
  <si>
    <r>
      <t>247, 257,</t>
    </r>
    <r>
      <rPr>
        <sz val="11"/>
        <color indexed="12"/>
        <rFont val="Calibri"/>
        <family val="2"/>
      </rPr>
      <t xml:space="preserve"> 471, 473, 543</t>
    </r>
  </si>
  <si>
    <r>
      <t xml:space="preserve">151, 165, 189, 192, </t>
    </r>
    <r>
      <rPr>
        <sz val="11"/>
        <color indexed="12"/>
        <rFont val="Calibri"/>
        <family val="2"/>
      </rPr>
      <t>368, 402, 427, 480, 543</t>
    </r>
  </si>
  <si>
    <t>542, 543</t>
  </si>
  <si>
    <t>205, 540, 543</t>
  </si>
  <si>
    <r>
      <t>79, 80,99,102,127, 147, 155, 159, 178, 182, 198, 214,</t>
    </r>
    <r>
      <rPr>
        <sz val="11"/>
        <color indexed="12"/>
        <rFont val="Calibri"/>
        <family val="2"/>
      </rPr>
      <t xml:space="preserve"> 316,323, 324, 326, 357, 362, 402, 414, 425, 435, 467, 480, 517, 540, 543</t>
    </r>
  </si>
  <si>
    <t>304, 309, 372, 399, 412, 421, 537, 544</t>
  </si>
  <si>
    <t>341, 364, 386, 393, 396, 409, 416, 418, 421, 424, 431, 435, 444, 452, 478, 479, 481, 486, 496, 503, 508, 512, 513, 523, 527, 544</t>
  </si>
  <si>
    <t>Выкуп 24.05.2016</t>
  </si>
  <si>
    <t>Жызель</t>
  </si>
  <si>
    <t>martat</t>
  </si>
  <si>
    <t>Выкуп 30.05.2016</t>
  </si>
  <si>
    <t>об оплате пишите в форму оплат из 1 поста</t>
  </si>
  <si>
    <t>http://iherb.com/himalaya-herbal-healthcare-koflet-20-lozenges/20964</t>
  </si>
  <si>
    <t>katenka84</t>
  </si>
  <si>
    <t>Выкуп 02.06.2016</t>
  </si>
  <si>
    <t>Юльчёна</t>
  </si>
  <si>
    <t>Vesyana</t>
  </si>
  <si>
    <t>Katerina$</t>
  </si>
  <si>
    <t>aLenka_1009  (часть 1)</t>
  </si>
  <si>
    <t>aLenka_1009  (часть 2)</t>
  </si>
  <si>
    <t>Evgeniyaiz</t>
  </si>
  <si>
    <t>lenuchka</t>
  </si>
  <si>
    <t>350, 403, 409, 422, 548</t>
  </si>
  <si>
    <t xml:space="preserve">Оплата до 10 июня </t>
  </si>
  <si>
    <t>Выкуп 08.06.2016</t>
  </si>
  <si>
    <t>Татьяна Академгородок</t>
  </si>
  <si>
    <t>Majesty</t>
  </si>
  <si>
    <t>549, 551</t>
  </si>
  <si>
    <t>Выкуп 12.06.2016</t>
  </si>
  <si>
    <t>Elenawell</t>
  </si>
  <si>
    <t>Выкуп 18.06.2016</t>
  </si>
  <si>
    <t xml:space="preserve">Оплата до 21 июня </t>
  </si>
  <si>
    <t>Маруся 2011</t>
  </si>
  <si>
    <t>Lilu242</t>
  </si>
  <si>
    <t>486, 554</t>
  </si>
  <si>
    <t>35, 64, 545, 554</t>
  </si>
  <si>
    <t>391, 398, 400, 532, 544, 554</t>
  </si>
  <si>
    <r>
      <t xml:space="preserve">151, 165, 189, 192, </t>
    </r>
    <r>
      <rPr>
        <sz val="11"/>
        <color indexed="12"/>
        <rFont val="Calibri"/>
        <family val="2"/>
      </rPr>
      <t>368, 402, 427, 480, 543,555</t>
    </r>
  </si>
  <si>
    <t>540, 555</t>
  </si>
  <si>
    <t>Выкуп 22.06.2016</t>
  </si>
  <si>
    <t>Solomeya</t>
  </si>
  <si>
    <t>Серебринка</t>
  </si>
  <si>
    <t>sIrэna</t>
  </si>
  <si>
    <t>541, 547, 556</t>
  </si>
  <si>
    <t>Выкуп 25.06.2016</t>
  </si>
  <si>
    <t>artik</t>
  </si>
  <si>
    <t>205, 540, 543, 558</t>
  </si>
  <si>
    <t>353, 557</t>
  </si>
  <si>
    <t>Выкуп 30.06.2016</t>
  </si>
  <si>
    <t xml:space="preserve">Victoria-R </t>
  </si>
  <si>
    <t>Windhauch</t>
  </si>
  <si>
    <t>fox103</t>
  </si>
  <si>
    <t>294, 559</t>
  </si>
  <si>
    <t>Выкуп 01.07.2016</t>
  </si>
  <si>
    <t>lensh</t>
  </si>
  <si>
    <r>
      <t>57, 70, 71, 95, 170, 186, 206,</t>
    </r>
    <r>
      <rPr>
        <sz val="11"/>
        <color indexed="12"/>
        <rFont val="Calibri"/>
        <family val="2"/>
      </rPr>
      <t xml:space="preserve"> 314, 319, 339, 387, 470, 561</t>
    </r>
  </si>
  <si>
    <t>Выкуп 07.07.2016</t>
  </si>
  <si>
    <t>Daenerys</t>
  </si>
  <si>
    <t>knowhow</t>
  </si>
  <si>
    <t>ZinKo</t>
  </si>
  <si>
    <t>341, 349, 440, 562</t>
  </si>
  <si>
    <r>
      <t xml:space="preserve">3, 103, 105, 110, 111, 182, 184, 213, 227, 228, 229, 258,259, 261, </t>
    </r>
    <r>
      <rPr>
        <sz val="11"/>
        <color indexed="12"/>
        <rFont val="Calibri"/>
        <family val="2"/>
      </rPr>
      <t>311, 355, 377, 403, 424, 452, 460, 478, 482, 556, 557, 562</t>
    </r>
  </si>
  <si>
    <r>
      <t>205</t>
    </r>
    <r>
      <rPr>
        <sz val="11"/>
        <color indexed="12"/>
        <rFont val="Calibri"/>
        <family val="2"/>
      </rPr>
      <t>, 378, 415, 513, 563</t>
    </r>
  </si>
  <si>
    <t>Выкуп 11.07.2016</t>
  </si>
  <si>
    <t>485, 488, 489, 491, 494, 495, 498, 502, 504, 508, 511, 514, 521, 522, 524, 525, 529, 530, 531, 532, 535, 538, 547, 549, 556, 557, 559, 563, 564</t>
  </si>
  <si>
    <t>381, 411, 419, 468, 506, 511, 528, 531, 554, 558, 559, 564</t>
  </si>
  <si>
    <t>344, 442, 475, 511, 517, 564</t>
  </si>
  <si>
    <r>
      <t xml:space="preserve">51, 65, 83, 84,87, 88, 100, 112, 123, 134, 142, 151, 160, 168, 186, 187, 199, 200, 202, 207, 230, 239, 260, 279, 291, 299, </t>
    </r>
    <r>
      <rPr>
        <sz val="11"/>
        <color indexed="12"/>
        <rFont val="Calibri"/>
        <family val="2"/>
      </rPr>
      <t>303, 313, 323, 345, 382, 383, 401, 426, 441, 457, 483, 500, 505, 531, 564</t>
    </r>
  </si>
  <si>
    <r>
      <t>299, 306,</t>
    </r>
    <r>
      <rPr>
        <sz val="11"/>
        <color indexed="12"/>
        <rFont val="Calibri"/>
        <family val="2"/>
      </rPr>
      <t xml:space="preserve"> 344, 348, 394, 395, 397, 487, 564</t>
    </r>
  </si>
  <si>
    <t>388, 413, 427, 428, 560, 561, 564</t>
  </si>
  <si>
    <t>469, 564</t>
  </si>
  <si>
    <t>562, 564</t>
  </si>
  <si>
    <t>539, 564</t>
  </si>
  <si>
    <t>Выкуп 13.07.2016</t>
  </si>
  <si>
    <t>548, 559, 565</t>
  </si>
  <si>
    <t>469, 564, 565</t>
  </si>
  <si>
    <r>
      <t xml:space="preserve">114, 115, 119, 128, 144, 155, 160, 181, 204, 217, 264, 285, </t>
    </r>
    <r>
      <rPr>
        <sz val="11"/>
        <color indexed="12"/>
        <rFont val="Calibri"/>
        <family val="2"/>
      </rPr>
      <t>300, 306, 315, 325, 352, 382, 386, 390, 391, 410, 445, 473, 481, 565</t>
    </r>
  </si>
  <si>
    <t>Выкуп 17.07.2016</t>
  </si>
  <si>
    <t>381, 411, 419, 468, 506, 511, 528, 531, 554, 558, 559, 564, 567</t>
  </si>
  <si>
    <t>Выкуп 24.07.2016</t>
  </si>
  <si>
    <t>Nicole2010</t>
  </si>
  <si>
    <t>Шахерезада</t>
  </si>
  <si>
    <t>Sky_irbis</t>
  </si>
  <si>
    <t>http://ru.iherb.com/PEAKfresh-USA-Produce-Bags-Reusable-10-12-x-16-Bags-with-Twist-Ties/44160</t>
  </si>
  <si>
    <r>
      <t xml:space="preserve">81, 82, 85, 90, 111, 299, </t>
    </r>
    <r>
      <rPr>
        <sz val="11"/>
        <color indexed="12"/>
        <rFont val="Calibri"/>
        <family val="2"/>
      </rPr>
      <t>305, 307, 308, 310, 335, 387, 398, 414, 415, 424, 429, 439, 475, 502, 560, 569</t>
    </r>
  </si>
  <si>
    <t>369, 447, 467, 537, 569</t>
  </si>
  <si>
    <r>
      <t xml:space="preserve">283, </t>
    </r>
    <r>
      <rPr>
        <sz val="11"/>
        <color indexed="12"/>
        <rFont val="Calibri"/>
        <family val="2"/>
      </rPr>
      <t>305,321, 322, 326, 363, 378, 400, 422, 425, 473, 479, 498, 504, 518, 523, 536, 538, 570</t>
    </r>
  </si>
  <si>
    <r>
      <t>281, 285,</t>
    </r>
    <r>
      <rPr>
        <sz val="11"/>
        <color indexed="12"/>
        <rFont val="Calibri"/>
        <family val="2"/>
      </rPr>
      <t xml:space="preserve"> 384, 443, 570</t>
    </r>
  </si>
  <si>
    <t>523, 532, 571</t>
  </si>
  <si>
    <t>Выкуп 27.07.2016</t>
  </si>
  <si>
    <r>
      <t>263,</t>
    </r>
    <r>
      <rPr>
        <sz val="11"/>
        <color indexed="12"/>
        <rFont val="Calibri"/>
        <family val="2"/>
      </rPr>
      <t xml:space="preserve"> 310, 419, 492, 572</t>
    </r>
  </si>
  <si>
    <r>
      <t xml:space="preserve">55, 56, </t>
    </r>
    <r>
      <rPr>
        <sz val="11"/>
        <color indexed="48"/>
        <rFont val="Calibri"/>
        <family val="2"/>
      </rPr>
      <t>306, 309, 311, 390, 397, 416, 481, 520, 555, 557, 572</t>
    </r>
  </si>
  <si>
    <t>304, 309, 372, 399, 412, 421, 537, 544, 547, 572</t>
  </si>
  <si>
    <t>Выкуп 31.07.2016</t>
  </si>
  <si>
    <t xml:space="preserve">Вероничка13 </t>
  </si>
  <si>
    <t>442, 443,466, 471, 480, 549, 574</t>
  </si>
  <si>
    <r>
      <t xml:space="preserve">202, 214, 215, 218, 302, </t>
    </r>
    <r>
      <rPr>
        <sz val="11"/>
        <color indexed="12"/>
        <rFont val="Calibri"/>
        <family val="2"/>
      </rPr>
      <t>325, 359, 367, 375, 402, 476, 574</t>
    </r>
  </si>
  <si>
    <t>456, 573</t>
  </si>
  <si>
    <t>71, 469, 477, 502, 512, 525, 531, 550, 566, 573</t>
  </si>
  <si>
    <t>Выкуп 03.08.2016</t>
  </si>
  <si>
    <t>Dacha</t>
  </si>
  <si>
    <t>ASINSK</t>
  </si>
  <si>
    <t>http://ru.iherb.com/Acure-Organics-Cell-Stimulating-Facial-Mask-1-75-oz-50-ml/40499</t>
  </si>
  <si>
    <t>olga_gus</t>
  </si>
  <si>
    <t>323, 326, 328, 575</t>
  </si>
  <si>
    <t>370, 383, 389, 575</t>
  </si>
  <si>
    <t>55, 60, 64, 92, 555, 556, 576</t>
  </si>
  <si>
    <t>238, 576</t>
  </si>
  <si>
    <r>
      <t>173, 195, 196, 202, 231,</t>
    </r>
    <r>
      <rPr>
        <sz val="11"/>
        <color indexed="12"/>
        <rFont val="Calibri"/>
        <family val="2"/>
      </rPr>
      <t xml:space="preserve"> 304, 341, 370, 389, 422, 427, 438, 460, 528, 576</t>
    </r>
  </si>
  <si>
    <t>http://www.iherb.com/Source-Naturals-Psyllium-Husk-Powder-12-oz-340-g/1446</t>
  </si>
  <si>
    <t>было не по скидке только http://www.iherb.com/California-Gold-Nutrition-Organic-Maca-500-mg-90-Veggie-Caps/61634</t>
  </si>
  <si>
    <t>Выкуп 10.08.2016</t>
  </si>
  <si>
    <t>327, 329, 325, 339, 349, 352, 358, 439, 440, 477, 573, 577</t>
  </si>
  <si>
    <t>575, 577</t>
  </si>
  <si>
    <t>Выкуп 14.08.2016</t>
  </si>
  <si>
    <t>dangy</t>
  </si>
  <si>
    <r>
      <t xml:space="preserve">108, 152, 166, </t>
    </r>
    <r>
      <rPr>
        <sz val="11"/>
        <color indexed="12"/>
        <rFont val="Calibri"/>
        <family val="2"/>
      </rPr>
      <t>316, 445, 475, 578</t>
    </r>
  </si>
  <si>
    <t>Выкуп 15.08.2016</t>
  </si>
  <si>
    <t>MashuLia</t>
  </si>
  <si>
    <t>563, 576, 579</t>
  </si>
  <si>
    <t>Выкуп 17.08.2016</t>
  </si>
  <si>
    <t>Margo20</t>
  </si>
  <si>
    <t>ЛёнаНСК</t>
  </si>
  <si>
    <t>MNG</t>
  </si>
  <si>
    <r>
      <t>19, 64, 74, 91, 103, 105, 109, 115,</t>
    </r>
    <r>
      <rPr>
        <sz val="11"/>
        <color indexed="12"/>
        <rFont val="Calibri"/>
        <family val="2"/>
      </rPr>
      <t xml:space="preserve"> 348, 578, 581</t>
    </r>
  </si>
  <si>
    <t>327, 334, 347, 350, 357, 372, 379, 405, 440, 570, 577, 580</t>
  </si>
  <si>
    <r>
      <t>60, 92, 96, 101, 108, 122, 126, 127, 139-141, 142, 147, 148, 163, 172,175, 189, 200, 205, 217, 226, 289,</t>
    </r>
    <r>
      <rPr>
        <sz val="11"/>
        <color indexed="12"/>
        <rFont val="Calibri"/>
        <family val="2"/>
      </rPr>
      <t xml:space="preserve"> 310, 408, 494, 517, 580</t>
    </r>
  </si>
  <si>
    <t>Выкуп 23.08.2016</t>
  </si>
  <si>
    <t xml:space="preserve">sosiska  </t>
  </si>
  <si>
    <t>akme84</t>
  </si>
  <si>
    <r>
      <t xml:space="preserve">292, 295, </t>
    </r>
    <r>
      <rPr>
        <sz val="11"/>
        <color indexed="12"/>
        <rFont val="Calibri"/>
        <family val="2"/>
      </rPr>
      <t>307, 316, 321, 322, 344, 348, 359, 362, 363, 383, 420, 448, 451, 472, 485, 488, 535, 582</t>
    </r>
  </si>
  <si>
    <t>380, 394, 405, 411, 423, 429, 442, 572, 583</t>
  </si>
  <si>
    <r>
      <t>247, 257,</t>
    </r>
    <r>
      <rPr>
        <sz val="11"/>
        <color indexed="12"/>
        <rFont val="Calibri"/>
        <family val="2"/>
      </rPr>
      <t xml:space="preserve"> 471, 473, 543, 545, 556, 574, 582</t>
    </r>
  </si>
  <si>
    <t>221, 582</t>
  </si>
  <si>
    <t>511, 582</t>
  </si>
  <si>
    <r>
      <t>79, 80,99,102,127, 147, 155, 159, 178, 182, 198, 214,</t>
    </r>
    <r>
      <rPr>
        <sz val="11"/>
        <color indexed="12"/>
        <rFont val="Calibri"/>
        <family val="2"/>
      </rPr>
      <t xml:space="preserve"> 316,323, 324, 326, 357, 362, 402, 414, 425, 435, 467, 480, 517, 540, 543, 577, 582</t>
    </r>
  </si>
  <si>
    <t>sosiska</t>
  </si>
  <si>
    <t>Выкуп 26.08.2016</t>
  </si>
  <si>
    <t>Afrodita5</t>
  </si>
  <si>
    <t>571, 584</t>
  </si>
  <si>
    <t>Выкуп 31.08.2016</t>
  </si>
  <si>
    <t>339, 359, 362, 422, 425, 470, 479, 514, 522, 539, 543, 545, 551, 570, 585</t>
  </si>
  <si>
    <t>давалу</t>
  </si>
  <si>
    <t>538, 545, 585</t>
  </si>
  <si>
    <t>Выкуп 05.09.2016</t>
  </si>
  <si>
    <t>Katerinka_89</t>
  </si>
  <si>
    <t>наталичка</t>
  </si>
  <si>
    <t>svesdochka</t>
  </si>
  <si>
    <t>539, 551, 587</t>
  </si>
  <si>
    <t>539, 564, 587</t>
  </si>
  <si>
    <t>Выкуп 09.09.2016</t>
  </si>
  <si>
    <t>ANOR</t>
  </si>
  <si>
    <t>http://www.iherb.com/Gummi-King-Multi-Vitamin-Mineral-For-Kids-60-Gummies/34007</t>
  </si>
  <si>
    <t>554, 557, 560, 565, 566, 570, 581, 589</t>
  </si>
  <si>
    <t>506, 507, 524, 534, 541, 572, 588</t>
  </si>
  <si>
    <t>Выкуп 11.09.2016</t>
  </si>
  <si>
    <t xml:space="preserve">Баядерка </t>
  </si>
  <si>
    <t>350, 396, 438, 454, 479, 591</t>
  </si>
  <si>
    <t>485, 490, 517, 525, 530, 535, 579, 591</t>
  </si>
  <si>
    <t>432, 440, 444, 454, 457, 462, 466, 469, 475, 477, 500, 507, 534, 584, 590</t>
  </si>
  <si>
    <t>383, 407, 492, 498, 590</t>
  </si>
  <si>
    <t>Выкуп 14.09.2016</t>
  </si>
  <si>
    <t>540, 550, 579, 592</t>
  </si>
  <si>
    <t>476, 592</t>
  </si>
  <si>
    <t>351, 357, 393, 413, 425, 433, 435, 436, 448,488, 516, 592</t>
  </si>
  <si>
    <t>Выкуп 19.09.2016</t>
  </si>
  <si>
    <t>Оплата до 21 сентября</t>
  </si>
  <si>
    <t>Corneille</t>
  </si>
  <si>
    <t>297, 595</t>
  </si>
  <si>
    <t>556, 568, 576, 581, 594</t>
  </si>
  <si>
    <r>
      <t xml:space="preserve">296, </t>
    </r>
    <r>
      <rPr>
        <sz val="11"/>
        <color indexed="12"/>
        <rFont val="Calibri"/>
        <family val="2"/>
      </rPr>
      <t>300, 304, 305, 310, 316, 340, 396, 422, 440, 484, 490, 496, 507, 529, 532, 533, 539, 593</t>
    </r>
  </si>
  <si>
    <t>588, 593</t>
  </si>
  <si>
    <r>
      <t xml:space="preserve">51, 65, 83, 84,87, 88, 100, 112, 123, 134, 142, 151, 160, 168, 186, 187, 199, 200, 202, 207, 230, 239, 260, 279, 291, 299, </t>
    </r>
    <r>
      <rPr>
        <sz val="11"/>
        <color indexed="12"/>
        <rFont val="Calibri"/>
        <family val="2"/>
      </rPr>
      <t>303, 313, 323, 345, 382, 383, 401, 426, 441, 457, 483, 500, 505, 531, 564, 572, 588, 593</t>
    </r>
  </si>
  <si>
    <t>497, 514, 593</t>
  </si>
  <si>
    <t>356, 398, 414, 430, 458, 486, 524, 525, 559, 572, 586, 593</t>
  </si>
  <si>
    <t>перенесла 114р со сверки фармашоп 34</t>
  </si>
  <si>
    <t>ДваЛу</t>
  </si>
  <si>
    <t>Выкуп 21.09.2016</t>
  </si>
  <si>
    <r>
      <t xml:space="preserve">125, 286, </t>
    </r>
    <r>
      <rPr>
        <sz val="11"/>
        <color indexed="12"/>
        <rFont val="Calibri"/>
        <family val="2"/>
      </rPr>
      <t>303, 315, 392, 404, 410, 596</t>
    </r>
  </si>
  <si>
    <t>559, 573, 596</t>
  </si>
  <si>
    <t>350, 409, 415, 418, 421, 423, 428, 433, 436, 452, 465, 476, 555, 576, 596</t>
  </si>
  <si>
    <r>
      <t>175, 185, 201, 217,222, 233, 235, 256, 264, 281, 292, 294,</t>
    </r>
    <r>
      <rPr>
        <sz val="11"/>
        <color indexed="12"/>
        <rFont val="Calibri"/>
        <family val="2"/>
      </rPr>
      <t xml:space="preserve"> 315, 480, 501, 525, 526, 531, 532, 536, 541, 545, 547, 572, 578, 592, 596</t>
    </r>
  </si>
  <si>
    <t>566, 569, 594, 596</t>
  </si>
  <si>
    <t>Оплата до 24 сентября</t>
  </si>
  <si>
    <t>Выкуп 24.09.2016</t>
  </si>
  <si>
    <t>Оплата до 27 сентября</t>
  </si>
  <si>
    <t>ВераТ</t>
  </si>
  <si>
    <t>439, 442, 443, 447, 451, 467, 472, 479, 482, 483, 489, 499, 502, 504, 507, 509, 510, 518, 524, 532, 535, 546, 548, 550, 583, 597</t>
  </si>
  <si>
    <r>
      <t>212, 214,241,243, 247, 268-269, 274,</t>
    </r>
    <r>
      <rPr>
        <sz val="11"/>
        <color indexed="12"/>
        <rFont val="Calibri"/>
        <family val="2"/>
      </rPr>
      <t xml:space="preserve"> 344, 347, 403, 486, 592, 597</t>
    </r>
  </si>
  <si>
    <r>
      <t>299, 306,</t>
    </r>
    <r>
      <rPr>
        <sz val="11"/>
        <color indexed="12"/>
        <rFont val="Calibri"/>
        <family val="2"/>
      </rPr>
      <t xml:space="preserve"> 344, 348, 394, 395, 397, 487, 564, 571, 576, 597</t>
    </r>
  </si>
  <si>
    <r>
      <t xml:space="preserve">110, 124, 176, </t>
    </r>
    <r>
      <rPr>
        <sz val="11"/>
        <color indexed="12"/>
        <rFont val="Calibri"/>
        <family val="2"/>
      </rPr>
      <t>369, 376, 379, 386, 390, 404, 418, 420, 424, 437, 441, 455, 457, 464, 503, 513, 517, 547, 580, 598</t>
    </r>
  </si>
  <si>
    <r>
      <t xml:space="preserve">94, 95, 99, </t>
    </r>
    <r>
      <rPr>
        <sz val="11"/>
        <color indexed="12"/>
        <rFont val="Calibri"/>
        <family val="2"/>
      </rPr>
      <t>310, 338, 347, 352, 355, 370, 381, 395, 475, 563, 572, 586, 598</t>
    </r>
  </si>
  <si>
    <t>448, 476, 480, 598</t>
  </si>
  <si>
    <t>391, 459, 478, 485, 598</t>
  </si>
  <si>
    <r>
      <t>2, 4, 47, 56, 57, 83,86, 96, 131, 176, 177, 181, 186, 194, 201, 207,221, 266,</t>
    </r>
    <r>
      <rPr>
        <sz val="11"/>
        <color indexed="12"/>
        <rFont val="Calibri"/>
        <family val="2"/>
      </rPr>
      <t xml:space="preserve"> 323, 329, 347, 365, 367, 379, 388, 409, 430, 537, 579, 599</t>
    </r>
  </si>
  <si>
    <t>Выкуп 26.09.2016</t>
  </si>
  <si>
    <t>Оплата до 29 сентября</t>
  </si>
  <si>
    <t>Выкуп 27.09.2016</t>
  </si>
  <si>
    <t>Малина Ягода</t>
  </si>
  <si>
    <t>562, 601</t>
  </si>
  <si>
    <t>341, 364, 386, 393, 396, 409, 416, 418, 421, 424, 431, 435, 444, 452, 478, 479, 481, 486, 496, 503, 508, 512, 513, 523, 527, 544, 547, 559, 567, 571, 601</t>
  </si>
  <si>
    <t>319, 393, 395, 403, 537, 555, 600</t>
  </si>
  <si>
    <t>326, 475, 546, 600</t>
  </si>
  <si>
    <t>260, 542, 577, 578, 584, 600</t>
  </si>
  <si>
    <t>386, 398, 405, 407, 409, 414, 416, 419, 423, 430, 435, 439, 450, 455, 584, 599, 600</t>
  </si>
  <si>
    <t>356, 384, 454, 482, 498, 587, 600</t>
  </si>
  <si>
    <t>Выкуп 28.09.2016</t>
  </si>
  <si>
    <t>Оплата до 1 октября</t>
  </si>
  <si>
    <t>фрау Борн</t>
  </si>
  <si>
    <t>413, 429, 431, 592, 602</t>
  </si>
  <si>
    <t>423, 485, 583, 602</t>
  </si>
  <si>
    <t>485, 488, 489, 491, 494, 495, 498, 502, 504, 508, 511, 514, 521, 522, 524, 525, 529, 530, 531, 532, 535, 538, 547, 549, 556, 557, 559, 563, 564, 566, 588, 594, 597, 602</t>
  </si>
  <si>
    <r>
      <t xml:space="preserve">205,212, 222, 227-228, </t>
    </r>
    <r>
      <rPr>
        <sz val="11"/>
        <color indexed="30"/>
        <rFont val="Calibri"/>
        <family val="2"/>
      </rPr>
      <t>395, 421, 547, 560, 602</t>
    </r>
  </si>
  <si>
    <t>425, 493, 586, 594, 602</t>
  </si>
  <si>
    <t>Выкуп 02.10.2016</t>
  </si>
  <si>
    <t>Оплата до 5 октября включительно</t>
  </si>
  <si>
    <t>ViKari</t>
  </si>
  <si>
    <t>Olix</t>
  </si>
  <si>
    <t>АннаАкулова</t>
  </si>
  <si>
    <t>598, 603</t>
  </si>
  <si>
    <r>
      <t xml:space="preserve">199, 201, 247, 248, 297, </t>
    </r>
    <r>
      <rPr>
        <sz val="11"/>
        <color indexed="12"/>
        <rFont val="Calibri"/>
        <family val="2"/>
      </rPr>
      <t>403, 496, 603</t>
    </r>
  </si>
  <si>
    <t>485, 489, 603</t>
  </si>
  <si>
    <t>9, 10, 38, 53, 57, 59, 62, 63, 67, 70, 71, 72, 76, 80, 82,88, 94, 95, 101, 103, 104, 107, 118, 131, 138, 169, 193, 198, 266, 442, 536, 539, 603</t>
  </si>
  <si>
    <t>476, 503, 512, 549, 557, 571, 584, 587, 593, 603</t>
  </si>
  <si>
    <t>Выкуп 05.10.2016</t>
  </si>
  <si>
    <t>Оплата до 8 октября</t>
  </si>
  <si>
    <t>IrishSummer</t>
  </si>
  <si>
    <t>ЕленаИв28</t>
  </si>
  <si>
    <r>
      <t>249, 271,</t>
    </r>
    <r>
      <rPr>
        <sz val="11"/>
        <color indexed="12"/>
        <rFont val="Calibri"/>
        <family val="2"/>
      </rPr>
      <t xml:space="preserve"> 329, 341, 345, 374, 416, 417, 466, 473, 506, 605</t>
    </r>
  </si>
  <si>
    <t>524, 539, 541, 544, 569, 572, 588, 590, 600, 605</t>
  </si>
  <si>
    <t>340, 358, 414, 433, 435, 447, 450, 453, 460, 461, 464, 471, 475, 477, 480, 486, 489, 491, 499, 504, 512, 519, 526, 529, 531, 537, 540, 542, 543, 545, 568, 578, 589, 590, 598, 603, 605</t>
  </si>
  <si>
    <t>524, 527, 539, 604</t>
  </si>
  <si>
    <r>
      <t xml:space="preserve">282, 298, </t>
    </r>
    <r>
      <rPr>
        <sz val="11"/>
        <color indexed="12"/>
        <rFont val="Calibri"/>
        <family val="2"/>
      </rPr>
      <t>316, 321, 323, 346, 351, 363, 369, 374, 381, 382, 390, 405, 416, 421, 424, 427, 433, 447, 464, 487, 495, 513, 541, 588, 604</t>
    </r>
  </si>
  <si>
    <t>556, 557, 603, 604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</si>
</sst>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24"/>
      <color indexed="10"/>
      <name val="Calibri"/>
      <family val="2"/>
    </font>
    <font>
      <u val="single"/>
      <sz val="11"/>
      <color indexed="12"/>
      <name val="Calibri"/>
      <family val="2"/>
    </font>
    <font>
      <b/>
      <i/>
      <sz val="11"/>
      <color indexed="10"/>
      <name val="Calibri"/>
      <family val="2"/>
    </font>
    <font>
      <b/>
      <i/>
      <sz val="16"/>
      <color indexed="10"/>
      <name val="Calibri"/>
      <family val="2"/>
    </font>
    <font>
      <sz val="11"/>
      <color indexed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9"/>
      <color indexed="12"/>
      <name val="Calibri"/>
      <family val="2"/>
    </font>
    <font>
      <b/>
      <sz val="9"/>
      <color indexed="8"/>
      <name val="Calibri"/>
      <family val="2"/>
    </font>
    <font>
      <b/>
      <sz val="14"/>
      <color indexed="12"/>
      <name val="Calibri"/>
      <family val="2"/>
    </font>
    <font>
      <b/>
      <u val="single"/>
      <sz val="14"/>
      <color indexed="12"/>
      <name val="Calibri"/>
      <family val="2"/>
    </font>
    <font>
      <sz val="11"/>
      <name val="Calibri"/>
      <family val="2"/>
    </font>
    <font>
      <sz val="11"/>
      <color indexed="48"/>
      <name val="Calibri"/>
      <family val="2"/>
    </font>
    <font>
      <sz val="11"/>
      <color indexed="30"/>
      <name val="Calibri"/>
      <family val="2"/>
    </font>
    <font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20"/>
      <color indexed="12"/>
      <name val="Calibri"/>
      <family val="2"/>
    </font>
    <font>
      <sz val="9"/>
      <color indexed="8"/>
      <name val="Calibri"/>
      <family val="2"/>
    </font>
    <font>
      <i/>
      <sz val="11"/>
      <color indexed="10"/>
      <name val="Calibri"/>
      <family val="2"/>
    </font>
    <font>
      <b/>
      <sz val="22"/>
      <color indexed="10"/>
      <name val="Calibri"/>
      <family val="2"/>
    </font>
    <font>
      <b/>
      <sz val="20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sz val="20"/>
      <color rgb="FF0000FF"/>
      <name val="Calibri"/>
      <family val="2"/>
    </font>
    <font>
      <sz val="9"/>
      <color theme="1"/>
      <name val="Calibri"/>
      <family val="2"/>
    </font>
    <font>
      <sz val="11"/>
      <color rgb="FF0000FF"/>
      <name val="Calibri"/>
      <family val="2"/>
    </font>
    <font>
      <sz val="11"/>
      <color rgb="FF3333FF"/>
      <name val="Calibri"/>
      <family val="2"/>
    </font>
    <font>
      <b/>
      <sz val="11"/>
      <color rgb="FF000000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70C0"/>
      <name val="Calibri"/>
      <family val="2"/>
    </font>
    <font>
      <i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0"/>
      <color rgb="FFFF0000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>
        <color indexed="63"/>
      </top>
      <bottom style="thin"/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indexed="59"/>
      </left>
      <right style="thin">
        <color indexed="59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59"/>
      </right>
      <top style="thin"/>
      <bottom style="thin"/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4" fillId="33" borderId="0" xfId="0" applyFont="1" applyFill="1" applyAlignment="1">
      <alignment horizontal="center"/>
    </xf>
    <xf numFmtId="14" fontId="5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right"/>
    </xf>
    <xf numFmtId="2" fontId="5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12" xfId="0" applyBorder="1" applyAlignment="1">
      <alignment/>
    </xf>
    <xf numFmtId="1" fontId="0" fillId="33" borderId="10" xfId="0" applyNumberForma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4" borderId="12" xfId="0" applyFill="1" applyBorder="1" applyAlignment="1">
      <alignment/>
    </xf>
    <xf numFmtId="0" fontId="0" fillId="35" borderId="12" xfId="0" applyFill="1" applyBorder="1" applyAlignment="1">
      <alignment/>
    </xf>
    <xf numFmtId="0" fontId="0" fillId="33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1" fontId="0" fillId="36" borderId="10" xfId="0" applyNumberFormat="1" applyFill="1" applyBorder="1" applyAlignment="1">
      <alignment/>
    </xf>
    <xf numFmtId="1" fontId="2" fillId="36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 wrapText="1"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61" fillId="0" borderId="0" xfId="42" applyFont="1" applyAlignment="1">
      <alignment/>
    </xf>
    <xf numFmtId="0" fontId="6" fillId="0" borderId="0" xfId="0" applyFont="1" applyAlignment="1">
      <alignment/>
    </xf>
    <xf numFmtId="0" fontId="0" fillId="33" borderId="10" xfId="0" applyFill="1" applyBorder="1" applyAlignment="1">
      <alignment horizontal="left" wrapText="1"/>
    </xf>
    <xf numFmtId="0" fontId="0" fillId="38" borderId="10" xfId="0" applyFill="1" applyBorder="1" applyAlignment="1">
      <alignment horizontal="center" wrapText="1"/>
    </xf>
    <xf numFmtId="0" fontId="10" fillId="0" borderId="0" xfId="0" applyFont="1" applyAlignment="1">
      <alignment/>
    </xf>
    <xf numFmtId="3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1" fontId="0" fillId="38" borderId="10" xfId="0" applyNumberFormat="1" applyFont="1" applyFill="1" applyBorder="1" applyAlignment="1">
      <alignment horizontal="center" wrapText="1"/>
    </xf>
    <xf numFmtId="1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0" fontId="0" fillId="38" borderId="10" xfId="0" applyFill="1" applyBorder="1" applyAlignment="1" quotePrefix="1">
      <alignment horizontal="center" wrapText="1"/>
    </xf>
    <xf numFmtId="0" fontId="0" fillId="33" borderId="13" xfId="0" applyFill="1" applyBorder="1" applyAlignment="1">
      <alignment wrapText="1"/>
    </xf>
    <xf numFmtId="0" fontId="0" fillId="33" borderId="13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0" fillId="38" borderId="14" xfId="0" applyFill="1" applyBorder="1" applyAlignment="1">
      <alignment horizontal="center" wrapText="1"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3" fillId="37" borderId="10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wrapText="1"/>
    </xf>
    <xf numFmtId="1" fontId="62" fillId="0" borderId="10" xfId="0" applyNumberFormat="1" applyFont="1" applyBorder="1" applyAlignment="1">
      <alignment horizontal="center"/>
    </xf>
    <xf numFmtId="1" fontId="62" fillId="0" borderId="15" xfId="0" applyNumberFormat="1" applyFont="1" applyBorder="1" applyAlignment="1">
      <alignment horizontal="center"/>
    </xf>
    <xf numFmtId="1" fontId="62" fillId="0" borderId="14" xfId="0" applyNumberFormat="1" applyFont="1" applyBorder="1" applyAlignment="1">
      <alignment horizontal="center"/>
    </xf>
    <xf numFmtId="0" fontId="62" fillId="0" borderId="0" xfId="0" applyFont="1" applyAlignment="1">
      <alignment/>
    </xf>
    <xf numFmtId="0" fontId="15" fillId="37" borderId="10" xfId="42" applyFont="1" applyFill="1" applyBorder="1" applyAlignment="1">
      <alignment horizontal="center" wrapText="1"/>
    </xf>
    <xf numFmtId="0" fontId="16" fillId="37" borderId="10" xfId="0" applyFont="1" applyFill="1" applyBorder="1" applyAlignment="1">
      <alignment horizontal="center" vertical="center" wrapText="1"/>
    </xf>
    <xf numFmtId="1" fontId="63" fillId="39" borderId="10" xfId="0" applyNumberFormat="1" applyFont="1" applyFill="1" applyBorder="1" applyAlignment="1">
      <alignment horizontal="center"/>
    </xf>
    <xf numFmtId="1" fontId="63" fillId="39" borderId="13" xfId="0" applyNumberFormat="1" applyFont="1" applyFill="1" applyBorder="1" applyAlignment="1">
      <alignment horizontal="center"/>
    </xf>
    <xf numFmtId="1" fontId="63" fillId="39" borderId="15" xfId="0" applyNumberFormat="1" applyFont="1" applyFill="1" applyBorder="1" applyAlignment="1">
      <alignment horizontal="center"/>
    </xf>
    <xf numFmtId="1" fontId="63" fillId="39" borderId="14" xfId="0" applyNumberFormat="1" applyFont="1" applyFill="1" applyBorder="1" applyAlignment="1">
      <alignment horizontal="center"/>
    </xf>
    <xf numFmtId="1" fontId="63" fillId="40" borderId="10" xfId="0" applyNumberFormat="1" applyFont="1" applyFill="1" applyBorder="1" applyAlignment="1">
      <alignment horizontal="center"/>
    </xf>
    <xf numFmtId="0" fontId="63" fillId="0" borderId="0" xfId="0" applyFont="1" applyAlignment="1">
      <alignment/>
    </xf>
    <xf numFmtId="0" fontId="18" fillId="37" borderId="10" xfId="42" applyFont="1" applyFill="1" applyBorder="1" applyAlignment="1">
      <alignment horizontal="center" wrapText="1"/>
    </xf>
    <xf numFmtId="0" fontId="0" fillId="41" borderId="12" xfId="0" applyFill="1" applyBorder="1" applyAlignment="1">
      <alignment/>
    </xf>
    <xf numFmtId="0" fontId="19" fillId="41" borderId="12" xfId="0" applyFont="1" applyFill="1" applyBorder="1" applyAlignment="1">
      <alignment/>
    </xf>
    <xf numFmtId="0" fontId="64" fillId="38" borderId="10" xfId="0" applyFont="1" applyFill="1" applyBorder="1" applyAlignment="1">
      <alignment horizontal="center" wrapText="1"/>
    </xf>
    <xf numFmtId="0" fontId="65" fillId="38" borderId="10" xfId="0" applyFont="1" applyFill="1" applyBorder="1" applyAlignment="1">
      <alignment horizontal="center" wrapText="1"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1" fontId="0" fillId="33" borderId="14" xfId="0" applyNumberFormat="1" applyFill="1" applyBorder="1" applyAlignment="1">
      <alignment/>
    </xf>
    <xf numFmtId="0" fontId="0" fillId="42" borderId="18" xfId="0" applyFill="1" applyBorder="1" applyAlignment="1">
      <alignment/>
    </xf>
    <xf numFmtId="0" fontId="66" fillId="43" borderId="12" xfId="0" applyFont="1" applyFill="1" applyBorder="1" applyAlignment="1">
      <alignment wrapText="1"/>
    </xf>
    <xf numFmtId="0" fontId="9" fillId="0" borderId="0" xfId="42" applyAlignment="1">
      <alignment/>
    </xf>
    <xf numFmtId="0" fontId="67" fillId="33" borderId="0" xfId="0" applyFont="1" applyFill="1" applyAlignment="1">
      <alignment wrapText="1"/>
    </xf>
    <xf numFmtId="0" fontId="67" fillId="33" borderId="0" xfId="0" applyFont="1" applyFill="1" applyAlignment="1">
      <alignment horizontal="left" wrapText="1"/>
    </xf>
    <xf numFmtId="0" fontId="59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1" fontId="2" fillId="33" borderId="19" xfId="0" applyNumberFormat="1" applyFont="1" applyFill="1" applyBorder="1" applyAlignment="1">
      <alignment/>
    </xf>
    <xf numFmtId="1" fontId="0" fillId="33" borderId="13" xfId="0" applyNumberFormat="1" applyFill="1" applyBorder="1" applyAlignment="1">
      <alignment/>
    </xf>
    <xf numFmtId="0" fontId="0" fillId="42" borderId="12" xfId="0" applyFill="1" applyBorder="1" applyAlignment="1">
      <alignment/>
    </xf>
    <xf numFmtId="1" fontId="64" fillId="38" borderId="10" xfId="0" applyNumberFormat="1" applyFont="1" applyFill="1" applyBorder="1" applyAlignment="1">
      <alignment horizontal="center" wrapText="1"/>
    </xf>
    <xf numFmtId="0" fontId="0" fillId="42" borderId="0" xfId="0" applyFill="1" applyAlignment="1">
      <alignment/>
    </xf>
    <xf numFmtId="0" fontId="8" fillId="44" borderId="0" xfId="0" applyFont="1" applyFill="1" applyAlignment="1">
      <alignment/>
    </xf>
    <xf numFmtId="0" fontId="64" fillId="38" borderId="14" xfId="0" applyFont="1" applyFill="1" applyBorder="1" applyAlignment="1">
      <alignment horizontal="center" wrapText="1"/>
    </xf>
    <xf numFmtId="0" fontId="68" fillId="45" borderId="12" xfId="0" applyFont="1" applyFill="1" applyBorder="1" applyAlignment="1">
      <alignment wrapText="1"/>
    </xf>
    <xf numFmtId="0" fontId="0" fillId="42" borderId="20" xfId="0" applyFill="1" applyBorder="1" applyAlignment="1">
      <alignment/>
    </xf>
    <xf numFmtId="0" fontId="69" fillId="38" borderId="10" xfId="0" applyFont="1" applyFill="1" applyBorder="1" applyAlignment="1">
      <alignment horizontal="center" wrapText="1"/>
    </xf>
    <xf numFmtId="0" fontId="51" fillId="33" borderId="10" xfId="0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1" fontId="0" fillId="33" borderId="12" xfId="0" applyNumberFormat="1" applyFill="1" applyBorder="1" applyAlignment="1">
      <alignment/>
    </xf>
    <xf numFmtId="1" fontId="62" fillId="0" borderId="11" xfId="0" applyNumberFormat="1" applyFont="1" applyBorder="1" applyAlignment="1">
      <alignment horizontal="center"/>
    </xf>
    <xf numFmtId="0" fontId="0" fillId="38" borderId="12" xfId="0" applyFont="1" applyFill="1" applyBorder="1" applyAlignment="1">
      <alignment horizontal="center" wrapText="1"/>
    </xf>
    <xf numFmtId="0" fontId="70" fillId="33" borderId="0" xfId="0" applyFont="1" applyFill="1" applyAlignment="1">
      <alignment horizontal="left" wrapText="1"/>
    </xf>
    <xf numFmtId="0" fontId="70" fillId="33" borderId="0" xfId="0" applyFont="1" applyFill="1" applyAlignment="1">
      <alignment wrapText="1"/>
    </xf>
    <xf numFmtId="0" fontId="64" fillId="38" borderId="21" xfId="0" applyFont="1" applyFill="1" applyBorder="1" applyAlignment="1">
      <alignment horizontal="center" wrapText="1"/>
    </xf>
    <xf numFmtId="0" fontId="0" fillId="38" borderId="12" xfId="0" applyFill="1" applyBorder="1" applyAlignment="1">
      <alignment horizontal="center" wrapText="1"/>
    </xf>
    <xf numFmtId="0" fontId="59" fillId="33" borderId="0" xfId="0" applyFont="1" applyFill="1" applyAlignment="1">
      <alignment wrapText="1"/>
    </xf>
    <xf numFmtId="0" fontId="0" fillId="33" borderId="10" xfId="0" applyFill="1" applyBorder="1" applyAlignment="1">
      <alignment horizontal="right" wrapText="1"/>
    </xf>
    <xf numFmtId="0" fontId="71" fillId="0" borderId="0" xfId="0" applyFont="1" applyAlignment="1">
      <alignment/>
    </xf>
    <xf numFmtId="2" fontId="0" fillId="41" borderId="12" xfId="0" applyNumberFormat="1" applyFill="1" applyBorder="1" applyAlignment="1">
      <alignment/>
    </xf>
    <xf numFmtId="2" fontId="0" fillId="0" borderId="12" xfId="0" applyNumberFormat="1" applyBorder="1" applyAlignment="1">
      <alignment/>
    </xf>
    <xf numFmtId="0" fontId="61" fillId="42" borderId="0" xfId="42" applyFont="1" applyFill="1" applyAlignment="1">
      <alignment/>
    </xf>
    <xf numFmtId="0" fontId="9" fillId="42" borderId="0" xfId="42" applyFill="1" applyAlignment="1">
      <alignment/>
    </xf>
    <xf numFmtId="2" fontId="0" fillId="33" borderId="10" xfId="0" applyNumberFormat="1" applyFont="1" applyFill="1" applyBorder="1" applyAlignment="1">
      <alignment wrapText="1"/>
    </xf>
    <xf numFmtId="2" fontId="0" fillId="33" borderId="11" xfId="0" applyNumberFormat="1" applyFont="1" applyFill="1" applyBorder="1" applyAlignment="1">
      <alignment wrapText="1"/>
    </xf>
    <xf numFmtId="0" fontId="3" fillId="37" borderId="14" xfId="0" applyFont="1" applyFill="1" applyBorder="1" applyAlignment="1">
      <alignment wrapText="1"/>
    </xf>
    <xf numFmtId="0" fontId="0" fillId="42" borderId="22" xfId="0" applyFill="1" applyBorder="1" applyAlignment="1">
      <alignment/>
    </xf>
    <xf numFmtId="0" fontId="0" fillId="42" borderId="23" xfId="0" applyFill="1" applyBorder="1" applyAlignment="1">
      <alignment/>
    </xf>
    <xf numFmtId="0" fontId="0" fillId="42" borderId="24" xfId="0" applyFill="1" applyBorder="1" applyAlignment="1">
      <alignment/>
    </xf>
    <xf numFmtId="0" fontId="64" fillId="38" borderId="12" xfId="0" applyFont="1" applyFill="1" applyBorder="1" applyAlignment="1">
      <alignment horizontal="center" wrapText="1"/>
    </xf>
    <xf numFmtId="0" fontId="70" fillId="33" borderId="0" xfId="0" applyFont="1" applyFill="1" applyAlignment="1">
      <alignment/>
    </xf>
    <xf numFmtId="0" fontId="0" fillId="38" borderId="25" xfId="0" applyFont="1" applyFill="1" applyBorder="1" applyAlignment="1">
      <alignment horizontal="center" wrapText="1"/>
    </xf>
    <xf numFmtId="1" fontId="0" fillId="33" borderId="25" xfId="0" applyNumberFormat="1" applyFill="1" applyBorder="1" applyAlignment="1">
      <alignment/>
    </xf>
    <xf numFmtId="0" fontId="9" fillId="0" borderId="12" xfId="42" applyBorder="1" applyAlignment="1">
      <alignment/>
    </xf>
    <xf numFmtId="1" fontId="0" fillId="33" borderId="10" xfId="0" applyNumberFormat="1" applyFont="1" applyFill="1" applyBorder="1" applyAlignment="1">
      <alignment wrapText="1"/>
    </xf>
    <xf numFmtId="1" fontId="0" fillId="33" borderId="11" xfId="0" applyNumberFormat="1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6" xfId="0" applyFill="1" applyBorder="1" applyAlignment="1">
      <alignment/>
    </xf>
    <xf numFmtId="4" fontId="0" fillId="0" borderId="12" xfId="0" applyNumberFormat="1" applyBorder="1" applyAlignment="1">
      <alignment/>
    </xf>
    <xf numFmtId="0" fontId="19" fillId="42" borderId="12" xfId="0" applyFont="1" applyFill="1" applyBorder="1" applyAlignment="1">
      <alignment/>
    </xf>
    <xf numFmtId="0" fontId="0" fillId="42" borderId="12" xfId="0" applyFont="1" applyFill="1" applyBorder="1" applyAlignment="1">
      <alignment/>
    </xf>
    <xf numFmtId="0" fontId="0" fillId="42" borderId="20" xfId="0" applyFont="1" applyFill="1" applyBorder="1" applyAlignment="1">
      <alignment/>
    </xf>
    <xf numFmtId="0" fontId="0" fillId="42" borderId="27" xfId="0" applyFill="1" applyBorder="1" applyAlignment="1">
      <alignment/>
    </xf>
    <xf numFmtId="0" fontId="0" fillId="42" borderId="26" xfId="0" applyFill="1" applyBorder="1" applyAlignment="1">
      <alignment/>
    </xf>
    <xf numFmtId="0" fontId="72" fillId="0" borderId="0" xfId="0" applyFont="1" applyAlignment="1">
      <alignment/>
    </xf>
    <xf numFmtId="0" fontId="9" fillId="33" borderId="10" xfId="42" applyFill="1" applyBorder="1" applyAlignment="1">
      <alignment wrapText="1"/>
    </xf>
    <xf numFmtId="1" fontId="62" fillId="0" borderId="28" xfId="0" applyNumberFormat="1" applyFont="1" applyBorder="1" applyAlignment="1">
      <alignment horizontal="center"/>
    </xf>
    <xf numFmtId="0" fontId="0" fillId="38" borderId="29" xfId="0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41" borderId="0" xfId="0" applyFill="1" applyBorder="1" applyAlignment="1">
      <alignment/>
    </xf>
    <xf numFmtId="0" fontId="19" fillId="41" borderId="0" xfId="0" applyFont="1" applyFill="1" applyBorder="1" applyAlignment="1">
      <alignment/>
    </xf>
    <xf numFmtId="0" fontId="0" fillId="0" borderId="0" xfId="0" applyFont="1" applyAlignment="1">
      <alignment/>
    </xf>
    <xf numFmtId="0" fontId="73" fillId="41" borderId="12" xfId="0" applyFont="1" applyFill="1" applyBorder="1" applyAlignment="1">
      <alignment/>
    </xf>
    <xf numFmtId="0" fontId="0" fillId="42" borderId="30" xfId="0" applyFill="1" applyBorder="1" applyAlignment="1">
      <alignment/>
    </xf>
    <xf numFmtId="0" fontId="0" fillId="35" borderId="12" xfId="0" applyFont="1" applyFill="1" applyBorder="1" applyAlignment="1">
      <alignment wrapText="1"/>
    </xf>
    <xf numFmtId="0" fontId="0" fillId="42" borderId="31" xfId="0" applyFill="1" applyBorder="1" applyAlignment="1">
      <alignment/>
    </xf>
    <xf numFmtId="0" fontId="0" fillId="42" borderId="12" xfId="0" applyFill="1" applyBorder="1" applyAlignment="1">
      <alignment wrapText="1"/>
    </xf>
    <xf numFmtId="0" fontId="0" fillId="42" borderId="20" xfId="0" applyFill="1" applyBorder="1" applyAlignment="1">
      <alignment wrapText="1"/>
    </xf>
    <xf numFmtId="0" fontId="74" fillId="33" borderId="10" xfId="0" applyFont="1" applyFill="1" applyBorder="1" applyAlignment="1">
      <alignment wrapText="1"/>
    </xf>
    <xf numFmtId="0" fontId="18" fillId="0" borderId="0" xfId="42" applyFont="1" applyAlignment="1">
      <alignment/>
    </xf>
    <xf numFmtId="0" fontId="0" fillId="42" borderId="22" xfId="0" applyFill="1" applyBorder="1" applyAlignment="1">
      <alignment wrapText="1"/>
    </xf>
    <xf numFmtId="0" fontId="64" fillId="38" borderId="0" xfId="0" applyFont="1" applyFill="1" applyBorder="1" applyAlignment="1">
      <alignment horizontal="center" wrapText="1"/>
    </xf>
    <xf numFmtId="0" fontId="64" fillId="38" borderId="29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worksheet" Target="worksheets/sheet198.xml" /><Relationship Id="rId199" Type="http://schemas.openxmlformats.org/officeDocument/2006/relationships/worksheet" Target="worksheets/sheet199.xml" /><Relationship Id="rId200" Type="http://schemas.openxmlformats.org/officeDocument/2006/relationships/worksheet" Target="worksheets/sheet200.xml" /><Relationship Id="rId201" Type="http://schemas.openxmlformats.org/officeDocument/2006/relationships/worksheet" Target="worksheets/sheet201.xml" /><Relationship Id="rId202" Type="http://schemas.openxmlformats.org/officeDocument/2006/relationships/worksheet" Target="worksheets/sheet202.xml" /><Relationship Id="rId203" Type="http://schemas.openxmlformats.org/officeDocument/2006/relationships/worksheet" Target="worksheets/sheet203.xml" /><Relationship Id="rId204" Type="http://schemas.openxmlformats.org/officeDocument/2006/relationships/worksheet" Target="worksheets/sheet204.xml" /><Relationship Id="rId205" Type="http://schemas.openxmlformats.org/officeDocument/2006/relationships/worksheet" Target="worksheets/sheet205.xml" /><Relationship Id="rId206" Type="http://schemas.openxmlformats.org/officeDocument/2006/relationships/worksheet" Target="worksheets/sheet206.xml" /><Relationship Id="rId207" Type="http://schemas.openxmlformats.org/officeDocument/2006/relationships/worksheet" Target="worksheets/sheet207.xml" /><Relationship Id="rId208" Type="http://schemas.openxmlformats.org/officeDocument/2006/relationships/worksheet" Target="worksheets/sheet208.xml" /><Relationship Id="rId209" Type="http://schemas.openxmlformats.org/officeDocument/2006/relationships/worksheet" Target="worksheets/sheet209.xml" /><Relationship Id="rId210" Type="http://schemas.openxmlformats.org/officeDocument/2006/relationships/worksheet" Target="worksheets/sheet210.xml" /><Relationship Id="rId211" Type="http://schemas.openxmlformats.org/officeDocument/2006/relationships/worksheet" Target="worksheets/sheet211.xml" /><Relationship Id="rId212" Type="http://schemas.openxmlformats.org/officeDocument/2006/relationships/worksheet" Target="worksheets/sheet212.xml" /><Relationship Id="rId213" Type="http://schemas.openxmlformats.org/officeDocument/2006/relationships/worksheet" Target="worksheets/sheet213.xml" /><Relationship Id="rId214" Type="http://schemas.openxmlformats.org/officeDocument/2006/relationships/worksheet" Target="worksheets/sheet214.xml" /><Relationship Id="rId215" Type="http://schemas.openxmlformats.org/officeDocument/2006/relationships/worksheet" Target="worksheets/sheet215.xml" /><Relationship Id="rId216" Type="http://schemas.openxmlformats.org/officeDocument/2006/relationships/worksheet" Target="worksheets/sheet216.xml" /><Relationship Id="rId217" Type="http://schemas.openxmlformats.org/officeDocument/2006/relationships/worksheet" Target="worksheets/sheet217.xml" /><Relationship Id="rId218" Type="http://schemas.openxmlformats.org/officeDocument/2006/relationships/worksheet" Target="worksheets/sheet218.xml" /><Relationship Id="rId219" Type="http://schemas.openxmlformats.org/officeDocument/2006/relationships/worksheet" Target="worksheets/sheet219.xml" /><Relationship Id="rId220" Type="http://schemas.openxmlformats.org/officeDocument/2006/relationships/worksheet" Target="worksheets/sheet220.xml" /><Relationship Id="rId221" Type="http://schemas.openxmlformats.org/officeDocument/2006/relationships/worksheet" Target="worksheets/sheet221.xml" /><Relationship Id="rId222" Type="http://schemas.openxmlformats.org/officeDocument/2006/relationships/worksheet" Target="worksheets/sheet222.xml" /><Relationship Id="rId223" Type="http://schemas.openxmlformats.org/officeDocument/2006/relationships/worksheet" Target="worksheets/sheet223.xml" /><Relationship Id="rId224" Type="http://schemas.openxmlformats.org/officeDocument/2006/relationships/worksheet" Target="worksheets/sheet224.xml" /><Relationship Id="rId225" Type="http://schemas.openxmlformats.org/officeDocument/2006/relationships/worksheet" Target="worksheets/sheet225.xml" /><Relationship Id="rId226" Type="http://schemas.openxmlformats.org/officeDocument/2006/relationships/worksheet" Target="worksheets/sheet226.xml" /><Relationship Id="rId227" Type="http://schemas.openxmlformats.org/officeDocument/2006/relationships/worksheet" Target="worksheets/sheet227.xml" /><Relationship Id="rId228" Type="http://schemas.openxmlformats.org/officeDocument/2006/relationships/worksheet" Target="worksheets/sheet228.xml" /><Relationship Id="rId229" Type="http://schemas.openxmlformats.org/officeDocument/2006/relationships/worksheet" Target="worksheets/sheet229.xml" /><Relationship Id="rId230" Type="http://schemas.openxmlformats.org/officeDocument/2006/relationships/worksheet" Target="worksheets/sheet230.xml" /><Relationship Id="rId231" Type="http://schemas.openxmlformats.org/officeDocument/2006/relationships/worksheet" Target="worksheets/sheet231.xml" /><Relationship Id="rId232" Type="http://schemas.openxmlformats.org/officeDocument/2006/relationships/worksheet" Target="worksheets/sheet232.xml" /><Relationship Id="rId233" Type="http://schemas.openxmlformats.org/officeDocument/2006/relationships/worksheet" Target="worksheets/sheet233.xml" /><Relationship Id="rId234" Type="http://schemas.openxmlformats.org/officeDocument/2006/relationships/worksheet" Target="worksheets/sheet234.xml" /><Relationship Id="rId235" Type="http://schemas.openxmlformats.org/officeDocument/2006/relationships/worksheet" Target="worksheets/sheet235.xml" /><Relationship Id="rId236" Type="http://schemas.openxmlformats.org/officeDocument/2006/relationships/worksheet" Target="worksheets/sheet236.xml" /><Relationship Id="rId237" Type="http://schemas.openxmlformats.org/officeDocument/2006/relationships/worksheet" Target="worksheets/sheet237.xml" /><Relationship Id="rId238" Type="http://schemas.openxmlformats.org/officeDocument/2006/relationships/worksheet" Target="worksheets/sheet238.xml" /><Relationship Id="rId239" Type="http://schemas.openxmlformats.org/officeDocument/2006/relationships/worksheet" Target="worksheets/sheet239.xml" /><Relationship Id="rId240" Type="http://schemas.openxmlformats.org/officeDocument/2006/relationships/worksheet" Target="worksheets/sheet240.xml" /><Relationship Id="rId241" Type="http://schemas.openxmlformats.org/officeDocument/2006/relationships/worksheet" Target="worksheets/sheet241.xml" /><Relationship Id="rId242" Type="http://schemas.openxmlformats.org/officeDocument/2006/relationships/worksheet" Target="worksheets/sheet242.xml" /><Relationship Id="rId243" Type="http://schemas.openxmlformats.org/officeDocument/2006/relationships/worksheet" Target="worksheets/sheet243.xml" /><Relationship Id="rId244" Type="http://schemas.openxmlformats.org/officeDocument/2006/relationships/worksheet" Target="worksheets/sheet244.xml" /><Relationship Id="rId245" Type="http://schemas.openxmlformats.org/officeDocument/2006/relationships/worksheet" Target="worksheets/sheet245.xml" /><Relationship Id="rId246" Type="http://schemas.openxmlformats.org/officeDocument/2006/relationships/worksheet" Target="worksheets/sheet246.xml" /><Relationship Id="rId247" Type="http://schemas.openxmlformats.org/officeDocument/2006/relationships/worksheet" Target="worksheets/sheet247.xml" /><Relationship Id="rId248" Type="http://schemas.openxmlformats.org/officeDocument/2006/relationships/worksheet" Target="worksheets/sheet248.xml" /><Relationship Id="rId249" Type="http://schemas.openxmlformats.org/officeDocument/2006/relationships/worksheet" Target="worksheets/sheet249.xml" /><Relationship Id="rId250" Type="http://schemas.openxmlformats.org/officeDocument/2006/relationships/worksheet" Target="worksheets/sheet250.xml" /><Relationship Id="rId251" Type="http://schemas.openxmlformats.org/officeDocument/2006/relationships/worksheet" Target="worksheets/sheet251.xml" /><Relationship Id="rId252" Type="http://schemas.openxmlformats.org/officeDocument/2006/relationships/worksheet" Target="worksheets/sheet252.xml" /><Relationship Id="rId253" Type="http://schemas.openxmlformats.org/officeDocument/2006/relationships/worksheet" Target="worksheets/sheet253.xml" /><Relationship Id="rId254" Type="http://schemas.openxmlformats.org/officeDocument/2006/relationships/worksheet" Target="worksheets/sheet254.xml" /><Relationship Id="rId255" Type="http://schemas.openxmlformats.org/officeDocument/2006/relationships/worksheet" Target="worksheets/sheet255.xml" /><Relationship Id="rId256" Type="http://schemas.openxmlformats.org/officeDocument/2006/relationships/worksheet" Target="worksheets/sheet256.xml" /><Relationship Id="rId257" Type="http://schemas.openxmlformats.org/officeDocument/2006/relationships/worksheet" Target="worksheets/sheet257.xml" /><Relationship Id="rId258" Type="http://schemas.openxmlformats.org/officeDocument/2006/relationships/worksheet" Target="worksheets/sheet258.xml" /><Relationship Id="rId259" Type="http://schemas.openxmlformats.org/officeDocument/2006/relationships/worksheet" Target="worksheets/sheet259.xml" /><Relationship Id="rId260" Type="http://schemas.openxmlformats.org/officeDocument/2006/relationships/worksheet" Target="worksheets/sheet260.xml" /><Relationship Id="rId261" Type="http://schemas.openxmlformats.org/officeDocument/2006/relationships/worksheet" Target="worksheets/sheet261.xml" /><Relationship Id="rId262" Type="http://schemas.openxmlformats.org/officeDocument/2006/relationships/worksheet" Target="worksheets/sheet262.xml" /><Relationship Id="rId263" Type="http://schemas.openxmlformats.org/officeDocument/2006/relationships/worksheet" Target="worksheets/sheet263.xml" /><Relationship Id="rId264" Type="http://schemas.openxmlformats.org/officeDocument/2006/relationships/worksheet" Target="worksheets/sheet264.xml" /><Relationship Id="rId265" Type="http://schemas.openxmlformats.org/officeDocument/2006/relationships/worksheet" Target="worksheets/sheet265.xml" /><Relationship Id="rId266" Type="http://schemas.openxmlformats.org/officeDocument/2006/relationships/worksheet" Target="worksheets/sheet266.xml" /><Relationship Id="rId267" Type="http://schemas.openxmlformats.org/officeDocument/2006/relationships/worksheet" Target="worksheets/sheet267.xml" /><Relationship Id="rId268" Type="http://schemas.openxmlformats.org/officeDocument/2006/relationships/worksheet" Target="worksheets/sheet268.xml" /><Relationship Id="rId269" Type="http://schemas.openxmlformats.org/officeDocument/2006/relationships/worksheet" Target="worksheets/sheet269.xml" /><Relationship Id="rId270" Type="http://schemas.openxmlformats.org/officeDocument/2006/relationships/worksheet" Target="worksheets/sheet270.xml" /><Relationship Id="rId271" Type="http://schemas.openxmlformats.org/officeDocument/2006/relationships/worksheet" Target="worksheets/sheet271.xml" /><Relationship Id="rId272" Type="http://schemas.openxmlformats.org/officeDocument/2006/relationships/worksheet" Target="worksheets/sheet272.xml" /><Relationship Id="rId273" Type="http://schemas.openxmlformats.org/officeDocument/2006/relationships/worksheet" Target="worksheets/sheet273.xml" /><Relationship Id="rId274" Type="http://schemas.openxmlformats.org/officeDocument/2006/relationships/worksheet" Target="worksheets/sheet274.xml" /><Relationship Id="rId275" Type="http://schemas.openxmlformats.org/officeDocument/2006/relationships/worksheet" Target="worksheets/sheet275.xml" /><Relationship Id="rId276" Type="http://schemas.openxmlformats.org/officeDocument/2006/relationships/worksheet" Target="worksheets/sheet276.xml" /><Relationship Id="rId277" Type="http://schemas.openxmlformats.org/officeDocument/2006/relationships/worksheet" Target="worksheets/sheet277.xml" /><Relationship Id="rId278" Type="http://schemas.openxmlformats.org/officeDocument/2006/relationships/worksheet" Target="worksheets/sheet278.xml" /><Relationship Id="rId279" Type="http://schemas.openxmlformats.org/officeDocument/2006/relationships/worksheet" Target="worksheets/sheet279.xml" /><Relationship Id="rId280" Type="http://schemas.openxmlformats.org/officeDocument/2006/relationships/worksheet" Target="worksheets/sheet280.xml" /><Relationship Id="rId281" Type="http://schemas.openxmlformats.org/officeDocument/2006/relationships/worksheet" Target="worksheets/sheet281.xml" /><Relationship Id="rId282" Type="http://schemas.openxmlformats.org/officeDocument/2006/relationships/worksheet" Target="worksheets/sheet282.xml" /><Relationship Id="rId283" Type="http://schemas.openxmlformats.org/officeDocument/2006/relationships/worksheet" Target="worksheets/sheet283.xml" /><Relationship Id="rId284" Type="http://schemas.openxmlformats.org/officeDocument/2006/relationships/worksheet" Target="worksheets/sheet284.xml" /><Relationship Id="rId285" Type="http://schemas.openxmlformats.org/officeDocument/2006/relationships/worksheet" Target="worksheets/sheet285.xml" /><Relationship Id="rId286" Type="http://schemas.openxmlformats.org/officeDocument/2006/relationships/worksheet" Target="worksheets/sheet286.xml" /><Relationship Id="rId287" Type="http://schemas.openxmlformats.org/officeDocument/2006/relationships/worksheet" Target="worksheets/sheet287.xml" /><Relationship Id="rId288" Type="http://schemas.openxmlformats.org/officeDocument/2006/relationships/worksheet" Target="worksheets/sheet288.xml" /><Relationship Id="rId289" Type="http://schemas.openxmlformats.org/officeDocument/2006/relationships/worksheet" Target="worksheets/sheet289.xml" /><Relationship Id="rId290" Type="http://schemas.openxmlformats.org/officeDocument/2006/relationships/worksheet" Target="worksheets/sheet290.xml" /><Relationship Id="rId291" Type="http://schemas.openxmlformats.org/officeDocument/2006/relationships/worksheet" Target="worksheets/sheet291.xml" /><Relationship Id="rId292" Type="http://schemas.openxmlformats.org/officeDocument/2006/relationships/worksheet" Target="worksheets/sheet292.xml" /><Relationship Id="rId293" Type="http://schemas.openxmlformats.org/officeDocument/2006/relationships/worksheet" Target="worksheets/sheet293.xml" /><Relationship Id="rId294" Type="http://schemas.openxmlformats.org/officeDocument/2006/relationships/worksheet" Target="worksheets/sheet294.xml" /><Relationship Id="rId295" Type="http://schemas.openxmlformats.org/officeDocument/2006/relationships/worksheet" Target="worksheets/sheet295.xml" /><Relationship Id="rId296" Type="http://schemas.openxmlformats.org/officeDocument/2006/relationships/worksheet" Target="worksheets/sheet296.xml" /><Relationship Id="rId297" Type="http://schemas.openxmlformats.org/officeDocument/2006/relationships/worksheet" Target="worksheets/sheet297.xml" /><Relationship Id="rId298" Type="http://schemas.openxmlformats.org/officeDocument/2006/relationships/worksheet" Target="worksheets/sheet298.xml" /><Relationship Id="rId299" Type="http://schemas.openxmlformats.org/officeDocument/2006/relationships/worksheet" Target="worksheets/sheet299.xml" /><Relationship Id="rId300" Type="http://schemas.openxmlformats.org/officeDocument/2006/relationships/worksheet" Target="worksheets/sheet300.xml" /><Relationship Id="rId301" Type="http://schemas.openxmlformats.org/officeDocument/2006/relationships/worksheet" Target="worksheets/sheet301.xml" /><Relationship Id="rId302" Type="http://schemas.openxmlformats.org/officeDocument/2006/relationships/worksheet" Target="worksheets/sheet302.xml" /><Relationship Id="rId303" Type="http://schemas.openxmlformats.org/officeDocument/2006/relationships/worksheet" Target="worksheets/sheet303.xml" /><Relationship Id="rId304" Type="http://schemas.openxmlformats.org/officeDocument/2006/relationships/styles" Target="styles.xml" /><Relationship Id="rId305" Type="http://schemas.openxmlformats.org/officeDocument/2006/relationships/sharedStrings" Target="sharedStrings.xml" /><Relationship Id="rId30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n@" TargetMode="External" /><Relationship Id="rId2" Type="http://schemas.openxmlformats.org/officeDocument/2006/relationships/hyperlink" Target="http://foto.sibmama.ru/displayimage.php?pos=-542914" TargetMode="External" /><Relationship Id="rId3" Type="http://schemas.openxmlformats.org/officeDocument/2006/relationships/hyperlink" Target="mailto:&#1053;&#1072;&#1089;&#1090;&#1077;&#1085;&#1100;&#1082;@" TargetMode="External" /><Relationship Id="rId4" Type="http://schemas.openxmlformats.org/officeDocument/2006/relationships/hyperlink" Target="mailto:&#1053;@&#1089;&#1090;&#1103;" TargetMode="External" /><Relationship Id="rId5" Type="http://schemas.openxmlformats.org/officeDocument/2006/relationships/hyperlink" Target="mailto:&#1042;&#1077;&#1088;@&#1095;&#1082;@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cure-Organics-Shampoo-Lemongrass-Argan-Stem-Cell-8-fl-oz-235-ml/40491" TargetMode="External" /><Relationship Id="rId2" Type="http://schemas.openxmlformats.org/officeDocument/2006/relationships/hyperlink" Target="http://ru.iherb.com/Nelson-Bach-USA-Pure-Clear-Acne-Treatment-Gel-Step-4-1-oz-30-g/6744" TargetMode="External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ature-s-Plus-Source-of-Life-Animal-Parade-Kids-Immune-Booster-Natural-Tropical-Berry-Flavor-90-Animals/21161" TargetMode="External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roma-Naturals-Vitamin-C-Lotion-Amazing-C-A-E-1-oz-30-g/49604" TargetMode="External" /><Relationship Id="rId2" Type="http://schemas.openxmlformats.org/officeDocument/2006/relationships/hyperlink" Target="http://www.iherb.com/Reviva-Labs-Pomegranate-Lactic-Acid-Peptide-Botanical-Exfoliant-2-oz-55-g/16654" TargetMode="External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Solutions-Shea-Butter-Lotion-4-fl-oz-118-ml/6690" TargetMode="External" /><Relationship Id="rId2" Type="http://schemas.openxmlformats.org/officeDocument/2006/relationships/hyperlink" Target="http://www.iherb.com/EcoTools-Bamboo-Nail-Brush-1-Brush/25462" TargetMode="External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E-L-F-Cosmetics-Lengthening-Defining-Mascara-Black-0-08-fl-oz-2-5-ml/53218" TargetMode="External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ee-Naturals-Ultimate-Foot-Creme-4-oz/42825" TargetMode="Externa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lba-Botanica-Hawaiian-Deep-Conditioning-Minute-Mask-5-5-oz-156-g/58538" TargetMode="External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Clarifying-Pressed-Powder-Apricot-Beige-0-18-oz-5-g/53209" TargetMode="External" /></Relationships>
</file>

<file path=xl/worksheets/_rels/sheet12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California-Gold-Nutrition-LactoBif-Probiotics-5-Billion-CFU-60-Veggie-Caps/64006" TargetMode="External" /></Relationships>
</file>

<file path=xl/worksheets/_rels/sheet12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2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3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utriBiotic-Everyday-Clean-Shampoo-Botanical-Blend-10-fl-oz-296-ml/22392" TargetMode="External" /></Relationships>
</file>

<file path=xl/worksheets/_rels/sheet13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2chic-Ultra-Sleek-Conditioner-Brazilian-Keratin-Argan-Oil-8-5-fl-oz-250-ml/43354" TargetMode="External" /></Relationships>
</file>

<file path=xl/worksheets/_rels/sheet13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raBio-Children-s-Cough-Syrup-Yummy-Cherry-Berry-Flavor-4-fl-oz-120-ml/6655" TargetMode="External" /></Relationships>
</file>

<file path=xl/worksheets/_rels/sheet13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14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4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21st-Century-Health-Care-Zoo-Friends-Complete-Children-s-Multivitamin-Multimineral-60-Chewable-Tablets/43853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arth-science-active-age-defense-i-cream-nourishing-eye-care-5-oz-14-g/27414" TargetMode="External" /></Relationships>
</file>

<file path=xl/worksheets/_rels/sheet16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Shea-Moisture-Mommy-Stretch-Mark-Butter-Cream-6-oz-170-g/63804" TargetMode="External" /></Relationships>
</file>

<file path=xl/worksheets/_rels/sheet16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MRM-CoQ-10-100-mg-60-Softgels/22808" TargetMode="External" /><Relationship Id="rId2" Type="http://schemas.openxmlformats.org/officeDocument/2006/relationships/hyperlink" Target="http://ru.iherb.com/MRM-Flax-Oil-1000-mg-90-Softgels/41352" TargetMode="External" /></Relationships>
</file>

<file path=xl/worksheets/_rels/sheet16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ebonnet-Nutri...lb-450-g/12804" TargetMode="External" /></Relationships>
</file>

<file path=xl/worksheets/_rels/sheet17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tarwest-Botanicals-Flower-Waters-Roman-Chamomile-4-fl-oz-118-ml/22495" TargetMode="External" /></Relationships>
</file>

<file path=xl/worksheets/_rels/sheet18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Vaxa-International-Extress-60-Veggie-Caps/10847&#160;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Jason-Natural-Treatment-Shampoo-Dandruff-Relief-12-fl-oz-355-ml/6253" TargetMode="External" /></Relationships>
</file>

<file path=xl/worksheets/_rels/sheet19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quaphor-Lip-Repair-Immediate-Relief-Fragrance-Free-35-fl-oz-10-ml/45772" TargetMode="External" /><Relationship Id="rId2" Type="http://schemas.openxmlformats.org/officeDocument/2006/relationships/hyperlink" Target="http://www.iherb.com/Thorne-Research-Calcium-Citramate-90-Veggie-Caps/18502" TargetMode="External" /></Relationships>
</file>

<file path=xl/worksheets/_rels/sheet19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E-L-F-Cosmetics-Mineral-Eyeshadow-Primer-Sheer-15-oz-4-5-g/51584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Kid-Vits-Berry-Blast-120-Chewables/5140?at=0&amp;rcode=VUT178" TargetMode="External" /></Relationships>
</file>

<file path=xl/worksheets/_rels/sheet21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hea-Moisture-Baby-Calm-Comfort-Kit-W-Frankincense-Myrrh-4-Piece-Kit/63806" TargetMode="External" /></Relationships>
</file>

<file path=xl/worksheets/_rels/sheet22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Dymatize-Nutrition-BCAA-Complex-2200-Branched-Chain-Amino-Acids-200-Caplets/25699" TargetMode="External" /></Relationships>
</file>

<file path=xl/worksheets/_rels/sheet22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ow-Foods-Sunflower-Lecithin-1200-mg-200-Softgels/23216" TargetMode="External" /><Relationship Id="rId2" Type="http://schemas.openxmlformats.org/officeDocument/2006/relationships/hyperlink" Target="http://www.iherb.com/Now-Foods-Gotu-Kola-450-mg-100-Capsules/630" TargetMode="External" /></Relationships>
</file>

<file path=xl/worksheets/_rels/sheet23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Carlson-Labs-Chelated-Calcium-250-mg-180-Tablets/12201" TargetMode="External" /></Relationships>
</file>

<file path=xl/worksheets/_rels/sheet245.xml.rels><?xml version="1.0" encoding="utf-8" standalone="yes"?><Relationships xmlns="http://schemas.openxmlformats.org/package/2006/relationships"><Relationship Id="rId1" Type="http://schemas.openxmlformats.org/officeDocument/2006/relationships/hyperlink" Target="http://iherb.com/himalaya-herbal-healthcare-koflet-20-lozenges/20964" TargetMode="External" /></Relationships>
</file>

<file path=xl/worksheets/_rels/sheet2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6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EAKfresh-USA-Produce-Bags-Reusable-10-12-x-16-Bags-with-Twist-Ties/44160" TargetMode="External" /></Relationships>
</file>

<file path=xl/worksheets/_rels/sheet27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EAKfresh-USA-Produce-Bags-Reusable-10-12-x-16-Bags-with-Twist-Ties/44160" TargetMode="External" /></Relationships>
</file>

<file path=xl/worksheets/_rels/sheet27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cure-Organics-Cell-Stimulating-Facial-Mask-1-75-oz-50-ml/40499" TargetMode="External" /></Relationships>
</file>

<file path=xl/worksheets/_rels/sheet274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Source-Naturals-Psyllium-Husk-Powder-12-oz-340-g/1446" TargetMode="External" /><Relationship Id="rId2" Type="http://schemas.openxmlformats.org/officeDocument/2006/relationships/hyperlink" Target="http://www.iherb.com/California-Gold-Nutrition-Organic-Maca-500-mg-90-Veggie-Caps/61634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87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Gummi-King-Multi-Vitamin-Mineral-For-Kids-60-Gummies/34007" TargetMode="External" /></Relationships>
</file>

<file path=xl/worksheets/_rels/sheet2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mailto:&#1052;&#1072;&#1081;&#1082;@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Desert-Essence-Travel-Size-Coconut-Hand-and-Body-Lotion-1-5-fl-oz-44-ml/59342#p=1&amp;oos=0&amp;disc=0&amp;lc=ru-RU&amp;w=desert%20essence&amp;rc=109&amp;sr=4&amp;ic=3" TargetMode="External" /><Relationship Id="rId2" Type="http://schemas.openxmlformats.org/officeDocument/2006/relationships/printerSettings" Target="../printerSettings/printerSettings5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FutureBiotics-VitOmegaMen-Mega-Multi-Flax-90-Veggie-Tabs/7299" TargetMode="External" /><Relationship Id="rId2" Type="http://schemas.openxmlformats.org/officeDocument/2006/relationships/hyperlink" Target="http://ru.iherb.com/Optimum-Nutrition-100-Whey-Gold-Standard-Double-Rich-Chocolate-2-lb-909-g/27497" TargetMode="External" /><Relationship Id="rId3" Type="http://schemas.openxmlformats.org/officeDocument/2006/relationships/printerSettings" Target="../printerSettings/printerSettings6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&#160;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undesa-Blender-Bottle-with-Blender-Ball-Color-Green-28-oz-Bottle/23575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m-Naturals-Oil-Absorbing-Facial-Tissues-50-Sheets/30588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ainbow-Light-Nutri-Stars-Food-Based-Multivitamin-Fruit-Punch-Flavor-120-Chewable-Tablets/4628?at=0&amp;rcode=VUT178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eal-Techniques-by-Samantha-Chapman-Your-Finish-Perfected-Setting-Brush/42483" TargetMode="External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Rainbow-Light-Just-Once-Women-s-One-Food-Based-Multivitamin-30-Tablets/40970" TargetMode="External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All-Terrain-Mickey-and-Minnie-Mouse-KidSport-Spray-SPF-30-Fragrance-Free-3-0-fl-oz-90-ml/53425" TargetMode="External" /><Relationship Id="rId2" Type="http://schemas.openxmlformats.org/officeDocument/2006/relationships/hyperlink" Target="http://www.iherb.com/product-reviews/NutriBiotic-Skin-Cleanser-Fragrance-Free-Non-Soap-16-fl-oz-473-ml/13314/?p=1&amp;revl=ru" TargetMode="External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NutriBiotic-Skin-Cleanser-Fresh-Fruit-Non-Soap-16-fl-oz-473-ml/4712/?p=1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Studio-32-Piece-Eyeshadow-Palette-0-99-oz-28-g/48215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almer-s-Cocoa-Butter-Formula-for-Dry-Itchy-Skin-5-1-fl-oz-150-ml/26932&#160;" TargetMode="External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Gummi-King-DHA-Omega-3-Gummi-for-Kids-60-Gummies/34013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Honeybee-Gardens-Pressed-Mineral-Powder-Malibu-0-26-oz-7-5-g/35160" TargetMode="External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" TargetMode="External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ndalou-Naturals-Cleansing-Foam-1000-Roses-Sensitive-5-5-fl-oz-163-ml/55609" TargetMode="External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Ultimate-Look-Brown-11-Piece-Set/4868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6"/>
  <sheetViews>
    <sheetView tabSelected="1" zoomScale="70" zoomScaleNormal="70" zoomScalePageLayoutView="0" workbookViewId="0" topLeftCell="A236">
      <selection activeCell="D248" sqref="D248"/>
    </sheetView>
  </sheetViews>
  <sheetFormatPr defaultColWidth="9.140625" defaultRowHeight="15"/>
  <cols>
    <col min="1" max="1" width="17.8515625" style="0" customWidth="1"/>
    <col min="2" max="2" width="19.00390625" style="61" customWidth="1"/>
    <col min="3" max="3" width="13.57421875" style="61" bestFit="1" customWidth="1"/>
    <col min="4" max="4" width="27.8515625" style="53" customWidth="1"/>
    <col min="5" max="5" width="55.28125" style="46" customWidth="1"/>
    <col min="6" max="6" width="25.7109375" style="0" customWidth="1"/>
    <col min="8" max="8" width="17.28125" style="0" customWidth="1"/>
    <col min="9" max="9" width="18.00390625" style="0" customWidth="1"/>
    <col min="10" max="10" width="20.57421875" style="0" customWidth="1"/>
    <col min="11" max="11" width="15.28125" style="0" customWidth="1"/>
  </cols>
  <sheetData>
    <row r="1" spans="1:6" ht="46.5" customHeight="1">
      <c r="A1" s="48" t="s">
        <v>11</v>
      </c>
      <c r="B1" s="54" t="s">
        <v>299</v>
      </c>
      <c r="C1" s="55" t="s">
        <v>298</v>
      </c>
      <c r="D1" s="62" t="s">
        <v>303</v>
      </c>
      <c r="E1" s="48" t="s">
        <v>297</v>
      </c>
      <c r="F1" s="28" t="s">
        <v>12</v>
      </c>
    </row>
    <row r="2" spans="1:6" ht="26.25">
      <c r="A2" s="29">
        <v>1445</v>
      </c>
      <c r="B2" s="56">
        <v>3.787600801603162</v>
      </c>
      <c r="C2" s="56"/>
      <c r="D2" s="50">
        <f>B2+C2</f>
        <v>3.787600801603162</v>
      </c>
      <c r="E2" s="30">
        <v>206</v>
      </c>
      <c r="F2" s="31" t="s">
        <v>364</v>
      </c>
    </row>
    <row r="3" spans="1:6" ht="26.25">
      <c r="A3" s="15" t="s">
        <v>411</v>
      </c>
      <c r="B3" s="56">
        <v>0</v>
      </c>
      <c r="C3" s="56"/>
      <c r="D3" s="50">
        <f>B3+C3+'342'!G5+'348'!G5</f>
        <v>48.741999999999734</v>
      </c>
      <c r="E3" s="86" t="s">
        <v>425</v>
      </c>
      <c r="F3" s="31"/>
    </row>
    <row r="4" spans="1:5" ht="26.25">
      <c r="A4" s="11" t="s">
        <v>13</v>
      </c>
      <c r="B4" s="56">
        <v>2.2007218045112893</v>
      </c>
      <c r="C4" s="56"/>
      <c r="D4" s="50">
        <f>B4+C4</f>
        <v>2.2007218045112893</v>
      </c>
      <c r="E4" s="30">
        <v>54</v>
      </c>
    </row>
    <row r="5" spans="1:5" ht="26.25">
      <c r="A5" s="11" t="s">
        <v>14</v>
      </c>
      <c r="B5" s="56">
        <v>-0.011783783783585022</v>
      </c>
      <c r="C5" s="56"/>
      <c r="D5" s="50">
        <f>B5+C5+'320'!G6+'371'!G5+'488'!G8</f>
        <v>0.2634552406068451</v>
      </c>
      <c r="E5" s="30" t="s">
        <v>767</v>
      </c>
    </row>
    <row r="6" spans="1:5" ht="26.25">
      <c r="A6" s="15" t="s">
        <v>15</v>
      </c>
      <c r="B6" s="56">
        <v>0</v>
      </c>
      <c r="C6" s="56"/>
      <c r="D6" s="50">
        <f>B6+C6</f>
        <v>0</v>
      </c>
      <c r="E6" s="30" t="s">
        <v>16</v>
      </c>
    </row>
    <row r="7" spans="1:6" ht="26.25">
      <c r="A7" s="11" t="s">
        <v>17</v>
      </c>
      <c r="B7" s="56">
        <v>14.405001486988795</v>
      </c>
      <c r="C7" s="56"/>
      <c r="D7" s="50">
        <f>B7+C7</f>
        <v>14.405001486988795</v>
      </c>
      <c r="E7" s="30">
        <v>188</v>
      </c>
      <c r="F7" s="28"/>
    </row>
    <row r="8" spans="1:6" ht="26.25">
      <c r="A8" s="11" t="s">
        <v>861</v>
      </c>
      <c r="B8" s="56">
        <v>0</v>
      </c>
      <c r="C8" s="56"/>
      <c r="D8" s="50">
        <f>'526'!G6</f>
        <v>0.13839999999993324</v>
      </c>
      <c r="E8" s="80">
        <v>526</v>
      </c>
      <c r="F8" s="28"/>
    </row>
    <row r="9" spans="1:6" ht="26.25">
      <c r="A9" s="11" t="s">
        <v>18</v>
      </c>
      <c r="B9" s="56">
        <v>0.7003382022471669</v>
      </c>
      <c r="C9" s="56"/>
      <c r="D9" s="50">
        <f>B9+C9</f>
        <v>0.7003382022471669</v>
      </c>
      <c r="E9" s="30">
        <v>230</v>
      </c>
      <c r="F9" s="28"/>
    </row>
    <row r="10" spans="1:6" ht="26.25">
      <c r="A10" s="11" t="s">
        <v>19</v>
      </c>
      <c r="B10" s="56">
        <v>2.1539056179775002</v>
      </c>
      <c r="C10" s="56"/>
      <c r="D10" s="50">
        <f>B10+C10</f>
        <v>2.1539056179775002</v>
      </c>
      <c r="E10" s="30">
        <v>161</v>
      </c>
      <c r="F10" s="28"/>
    </row>
    <row r="11" spans="1:6" ht="26.25">
      <c r="A11" s="11" t="s">
        <v>20</v>
      </c>
      <c r="B11" s="56">
        <v>-0.4853876731580158</v>
      </c>
      <c r="C11" s="56"/>
      <c r="D11" s="50">
        <f>B11+C11</f>
        <v>-0.4853876731580158</v>
      </c>
      <c r="E11" s="30">
        <v>199</v>
      </c>
      <c r="F11" s="28"/>
    </row>
    <row r="12" spans="1:6" ht="26.25">
      <c r="A12" s="15" t="s">
        <v>1059</v>
      </c>
      <c r="B12" s="56">
        <v>0</v>
      </c>
      <c r="C12" s="56"/>
      <c r="D12" s="50">
        <f>'584'!G6</f>
        <v>-0.3867999999999938</v>
      </c>
      <c r="E12" s="80">
        <v>584</v>
      </c>
      <c r="F12" s="28"/>
    </row>
    <row r="13" spans="1:6" ht="26.25">
      <c r="A13" s="11" t="s">
        <v>1050</v>
      </c>
      <c r="B13" s="56">
        <v>0</v>
      </c>
      <c r="C13" s="56"/>
      <c r="D13" s="50">
        <f>'583'!G4</f>
        <v>-3.25</v>
      </c>
      <c r="E13" s="30">
        <v>583</v>
      </c>
      <c r="F13" s="28"/>
    </row>
    <row r="14" spans="1:6" ht="26.25">
      <c r="A14" s="11" t="s">
        <v>21</v>
      </c>
      <c r="B14" s="56">
        <v>-0.446910780669441</v>
      </c>
      <c r="C14" s="56"/>
      <c r="D14" s="50">
        <f>B14+C14+'303'!G7</f>
        <v>0.2934977213548109</v>
      </c>
      <c r="E14" s="30" t="s">
        <v>311</v>
      </c>
      <c r="F14" s="28"/>
    </row>
    <row r="15" spans="1:6" ht="45">
      <c r="A15" s="15" t="s">
        <v>660</v>
      </c>
      <c r="B15" s="56">
        <v>0</v>
      </c>
      <c r="C15" s="56"/>
      <c r="D15" s="50">
        <f>B15+C15+'303'!G8+'439'!G6+'442'!G10+'443'!G8+'447'!G8+'451'!G4+'467'!G6+'472'!G5+'479'!G5+'482'!G7+'483'!G5+'489'!G7+'499'!G4+'502'!G6+'504'!G8+'507'!G5+'509'!G5+'510'!G4+'518'!G5+'524'!G12+'532'!G12+'535'!G6+'546'!G4+'548'!G4+'548'!G5+'550'!G5+'583'!G6+'597'!G5</f>
        <v>0.7694550607299107</v>
      </c>
      <c r="E15" s="80" t="s">
        <v>1108</v>
      </c>
      <c r="F15" s="28"/>
    </row>
    <row r="16" spans="1:6" ht="26.25">
      <c r="A16" s="11" t="s">
        <v>22</v>
      </c>
      <c r="B16" s="56">
        <v>8.462526865671549</v>
      </c>
      <c r="C16" s="56"/>
      <c r="D16" s="50">
        <f>B16+C16</f>
        <v>8.462526865671549</v>
      </c>
      <c r="E16" s="30" t="s">
        <v>23</v>
      </c>
      <c r="F16" s="28"/>
    </row>
    <row r="17" spans="1:6" ht="26.25">
      <c r="A17" s="11" t="s">
        <v>680</v>
      </c>
      <c r="B17" s="56">
        <v>0</v>
      </c>
      <c r="C17" s="56"/>
      <c r="D17" s="50">
        <f>'448'!G6</f>
        <v>-0.1509000000000924</v>
      </c>
      <c r="E17" s="80">
        <v>448</v>
      </c>
      <c r="F17" s="28"/>
    </row>
    <row r="18" spans="1:6" ht="26.25">
      <c r="A18" s="11" t="s">
        <v>909</v>
      </c>
      <c r="B18" s="56"/>
      <c r="C18" s="56"/>
      <c r="D18" s="50">
        <f>'541'!G9+'547'!G8+'556'!G8</f>
        <v>0.35696000000029926</v>
      </c>
      <c r="E18" s="80" t="s">
        <v>964</v>
      </c>
      <c r="F18" s="28"/>
    </row>
    <row r="19" spans="1:6" ht="30">
      <c r="A19" s="11" t="s">
        <v>24</v>
      </c>
      <c r="B19" s="56">
        <v>0.40062222222218224</v>
      </c>
      <c r="C19" s="56"/>
      <c r="D19" s="50">
        <f>B19+C19+'469'!G8+'477'!G4+'502'!G4+'512'!G7+'525'!G6+'531'!G4+'550'!G6+'566'!G7+'573'!G7</f>
        <v>-0.04527777777815345</v>
      </c>
      <c r="E19" s="80" t="s">
        <v>1019</v>
      </c>
      <c r="F19" s="28"/>
    </row>
    <row r="20" spans="1:6" ht="26.25">
      <c r="A20" s="11" t="s">
        <v>678</v>
      </c>
      <c r="B20" s="56">
        <v>0</v>
      </c>
      <c r="C20" s="56"/>
      <c r="D20" s="50">
        <f>'447'!G5</f>
        <v>0.009999999999990905</v>
      </c>
      <c r="E20" s="80">
        <v>447</v>
      </c>
      <c r="F20" s="28"/>
    </row>
    <row r="21" spans="1:6" ht="26.25">
      <c r="A21" s="11" t="s">
        <v>25</v>
      </c>
      <c r="B21" s="56">
        <v>-0.09688888888888414</v>
      </c>
      <c r="C21" s="56"/>
      <c r="D21" s="50">
        <f>B21+C21</f>
        <v>-0.09688888888888414</v>
      </c>
      <c r="E21" s="30">
        <v>77</v>
      </c>
      <c r="F21" s="28"/>
    </row>
    <row r="22" spans="1:6" ht="26.25">
      <c r="A22" s="11" t="s">
        <v>1072</v>
      </c>
      <c r="B22" s="56">
        <v>0</v>
      </c>
      <c r="C22" s="56"/>
      <c r="D22" s="50">
        <f>'588'!G8+'593'!G9</f>
        <v>-0.40879999999970096</v>
      </c>
      <c r="E22" s="80" t="s">
        <v>1092</v>
      </c>
      <c r="F22" s="28"/>
    </row>
    <row r="23" spans="1:5" ht="26.25">
      <c r="A23" s="11" t="s">
        <v>26</v>
      </c>
      <c r="B23" s="56">
        <v>0.12710539138586796</v>
      </c>
      <c r="C23" s="56"/>
      <c r="D23" s="50">
        <f>B23+C23</f>
        <v>0.12710539138586796</v>
      </c>
      <c r="E23" s="30" t="s">
        <v>27</v>
      </c>
    </row>
    <row r="24" spans="1:5" ht="26.25">
      <c r="A24" s="11" t="s">
        <v>28</v>
      </c>
      <c r="B24" s="56">
        <v>2.463458823529436</v>
      </c>
      <c r="C24" s="56"/>
      <c r="D24" s="50">
        <f>B24+C24</f>
        <v>2.463458823529436</v>
      </c>
      <c r="E24" s="30">
        <v>124</v>
      </c>
    </row>
    <row r="25" spans="1:6" ht="60">
      <c r="A25" s="11" t="s">
        <v>29</v>
      </c>
      <c r="B25" s="56">
        <v>-24.39601519839738</v>
      </c>
      <c r="C25" s="56"/>
      <c r="D25" s="50">
        <f>B25+C25+'302'!G4+'307'!G9+'309'!G6+'312'!G5+'340'!G10+'349'!G9+'352'!G4+'369'!G4+'383'!G7+'431'!G5+'447'!G4+'452'!G4+'501'!G5+'521'!G5+'526'!G8+'531'!G8+'532'!G4+'539'!G9</f>
        <v>0.1524116215151139</v>
      </c>
      <c r="E25" s="30" t="s">
        <v>899</v>
      </c>
      <c r="F25" s="28"/>
    </row>
    <row r="26" spans="1:5" ht="26.25">
      <c r="A26" s="11" t="s">
        <v>30</v>
      </c>
      <c r="B26" s="56">
        <v>-0.23710553505520693</v>
      </c>
      <c r="C26" s="56"/>
      <c r="D26" s="50">
        <f>B26+C26</f>
        <v>-0.23710553505520693</v>
      </c>
      <c r="E26" s="30">
        <v>14</v>
      </c>
    </row>
    <row r="27" spans="1:5" ht="30">
      <c r="A27" s="11" t="s">
        <v>31</v>
      </c>
      <c r="B27" s="56">
        <v>-0.24495762081784278</v>
      </c>
      <c r="C27" s="56"/>
      <c r="D27" s="50">
        <f>B27+C27</f>
        <v>-0.24495762081784278</v>
      </c>
      <c r="E27" s="30">
        <v>72</v>
      </c>
    </row>
    <row r="28" spans="1:5" ht="26.25">
      <c r="A28" s="11" t="s">
        <v>32</v>
      </c>
      <c r="B28" s="56">
        <v>16.495768856556595</v>
      </c>
      <c r="C28" s="56"/>
      <c r="D28" s="50">
        <f>B28+C28+'335'!G5</f>
        <v>14.905568856556613</v>
      </c>
      <c r="E28" s="30" t="s">
        <v>397</v>
      </c>
    </row>
    <row r="29" spans="1:5" ht="26.25">
      <c r="A29" s="15" t="s">
        <v>33</v>
      </c>
      <c r="B29" s="56">
        <v>-2.7044179104477735</v>
      </c>
      <c r="C29" s="56"/>
      <c r="D29" s="50">
        <f>B29+C29+'325'!G8+'401'!G8</f>
        <v>0.24933370245543074</v>
      </c>
      <c r="E29" s="30" t="s">
        <v>566</v>
      </c>
    </row>
    <row r="30" spans="1:5" ht="26.25">
      <c r="A30" s="15" t="s">
        <v>774</v>
      </c>
      <c r="B30" s="56">
        <v>0</v>
      </c>
      <c r="C30" s="56"/>
      <c r="D30" s="50">
        <f>'491'!G5+'498'!G5</f>
        <v>0.1932000000000471</v>
      </c>
      <c r="E30" s="80" t="s">
        <v>787</v>
      </c>
    </row>
    <row r="31" spans="1:5" ht="45">
      <c r="A31" s="11" t="s">
        <v>34</v>
      </c>
      <c r="B31" s="56">
        <v>0</v>
      </c>
      <c r="C31" s="56"/>
      <c r="D31" s="50">
        <f>B31+C31+'305'!G4+'307'!G4+'308'!G6+'310'!G6+'334'!G6+'387'!G9+'398'!G5+'414'!G9+'415'!G6+'424'!G5+'429'!G5+'439'!G4+'475'!G9+'502'!G7+'560'!G6+'569'!G4</f>
        <v>0.2049090123273345</v>
      </c>
      <c r="E31" s="30" t="s">
        <v>1005</v>
      </c>
    </row>
    <row r="32" spans="1:5" ht="26.25">
      <c r="A32" s="15" t="s">
        <v>536</v>
      </c>
      <c r="B32" s="56">
        <v>0</v>
      </c>
      <c r="C32" s="56"/>
      <c r="D32" s="50">
        <f>'391'!G8+'459'!G4+'478'!G4+'485'!G7+'598'!G9</f>
        <v>0.13212999999990416</v>
      </c>
      <c r="E32" s="30" t="s">
        <v>1114</v>
      </c>
    </row>
    <row r="33" spans="1:5" ht="26.25">
      <c r="A33" s="15" t="s">
        <v>966</v>
      </c>
      <c r="B33" s="56">
        <v>0</v>
      </c>
      <c r="C33" s="56"/>
      <c r="D33" s="50">
        <f>'558'!G6</f>
        <v>0.23824000000013257</v>
      </c>
      <c r="E33" s="80">
        <v>558</v>
      </c>
    </row>
    <row r="34" spans="1:5" ht="26.25">
      <c r="A34" s="15" t="s">
        <v>618</v>
      </c>
      <c r="B34" s="56">
        <v>0</v>
      </c>
      <c r="C34" s="56"/>
      <c r="D34" s="50">
        <f>'425'!G4</f>
        <v>-0.3572000000000344</v>
      </c>
      <c r="E34" s="80">
        <v>425</v>
      </c>
    </row>
    <row r="35" spans="1:5" ht="26.25">
      <c r="A35" s="15" t="s">
        <v>653</v>
      </c>
      <c r="B35" s="56">
        <v>0</v>
      </c>
      <c r="C35" s="56"/>
      <c r="D35" s="50">
        <f>'436'!G9</f>
        <v>-0.038399999999910506</v>
      </c>
      <c r="E35" s="80">
        <v>436</v>
      </c>
    </row>
    <row r="36" spans="1:5" ht="26.25">
      <c r="A36" s="15" t="s">
        <v>1022</v>
      </c>
      <c r="B36" s="56">
        <v>0</v>
      </c>
      <c r="C36" s="56"/>
      <c r="D36" s="50">
        <f>'575'!G7</f>
        <v>-0.17650000000003274</v>
      </c>
      <c r="E36" s="80">
        <v>575</v>
      </c>
    </row>
    <row r="37" spans="1:5" ht="26.25">
      <c r="A37" s="15" t="s">
        <v>722</v>
      </c>
      <c r="B37" s="56">
        <v>0</v>
      </c>
      <c r="C37" s="56"/>
      <c r="D37" s="50">
        <f>'469'!G5+'484'!G5</f>
        <v>-0.02760000000000673</v>
      </c>
      <c r="E37" s="80" t="s">
        <v>754</v>
      </c>
    </row>
    <row r="38" spans="1:5" ht="75">
      <c r="A38" s="11" t="s">
        <v>35</v>
      </c>
      <c r="B38" s="56">
        <v>0</v>
      </c>
      <c r="C38" s="56"/>
      <c r="D38" s="50">
        <f>B38+C38+'303'!G8+'313'!G7+'323'!G8+'345'!G5+'382'!G8+'383'!G8+'401'!G7+'426'!G6+'441'!G6+'457'!G5+'483'!G6+'500'!G4+'505'!G4+'531'!G13+'564'!G7+'572'!G5+'588'!G4+'593'!G8</f>
        <v>0.8844602654065739</v>
      </c>
      <c r="E38" s="30" t="s">
        <v>1093</v>
      </c>
    </row>
    <row r="39" spans="1:5" ht="26.25">
      <c r="A39" s="15" t="s">
        <v>36</v>
      </c>
      <c r="B39" s="56">
        <v>0</v>
      </c>
      <c r="C39" s="56"/>
      <c r="D39" s="50">
        <f>B39+C39</f>
        <v>0</v>
      </c>
      <c r="E39" s="30">
        <v>298</v>
      </c>
    </row>
    <row r="40" spans="1:5" ht="26.25">
      <c r="A40" s="11" t="s">
        <v>37</v>
      </c>
      <c r="B40" s="56">
        <v>1.1187952029520147</v>
      </c>
      <c r="C40" s="56"/>
      <c r="D40" s="50">
        <f>B40+C40+'365'!G4+'400'!G7</f>
        <v>6.562095202952037</v>
      </c>
      <c r="E40" s="30" t="s">
        <v>561</v>
      </c>
    </row>
    <row r="41" spans="1:5" ht="26.25">
      <c r="A41" s="11" t="s">
        <v>38</v>
      </c>
      <c r="B41" s="56">
        <v>0.6547684387053891</v>
      </c>
      <c r="C41" s="56"/>
      <c r="D41" s="50">
        <f>B41+C41</f>
        <v>0.6547684387053891</v>
      </c>
      <c r="E41" s="30" t="s">
        <v>39</v>
      </c>
    </row>
    <row r="42" spans="1:5" ht="26.25">
      <c r="A42" s="11" t="s">
        <v>40</v>
      </c>
      <c r="B42" s="56">
        <v>2.027686988847563</v>
      </c>
      <c r="C42" s="56"/>
      <c r="D42" s="50">
        <f>B42+C42</f>
        <v>2.027686988847563</v>
      </c>
      <c r="E42" s="30">
        <v>238</v>
      </c>
    </row>
    <row r="43" spans="1:5" ht="26.25">
      <c r="A43" s="15" t="s">
        <v>563</v>
      </c>
      <c r="B43" s="56">
        <v>0</v>
      </c>
      <c r="C43" s="56"/>
      <c r="D43" s="50">
        <f>'401'!G4+'408'!G6+'415'!G7+'421'!G4+'423'!G4+'446'!G6+'466'!G10</f>
        <v>0.06629999999938008</v>
      </c>
      <c r="E43" s="80" t="s">
        <v>716</v>
      </c>
    </row>
    <row r="44" spans="1:5" ht="26.25">
      <c r="A44" s="11" t="s">
        <v>41</v>
      </c>
      <c r="B44" s="56">
        <v>0.10172406639003384</v>
      </c>
      <c r="C44" s="56"/>
      <c r="D44" s="50">
        <f>B44+C44</f>
        <v>0.10172406639003384</v>
      </c>
      <c r="E44" s="30">
        <v>215</v>
      </c>
    </row>
    <row r="45" spans="1:5" ht="26.25">
      <c r="A45" s="11" t="s">
        <v>42</v>
      </c>
      <c r="B45" s="56">
        <v>6.931909707939212</v>
      </c>
      <c r="C45" s="56"/>
      <c r="D45" s="50">
        <f>B45+C45</f>
        <v>6.931909707939212</v>
      </c>
      <c r="E45" s="32">
        <v>221232</v>
      </c>
    </row>
    <row r="46" spans="1:5" ht="26.25">
      <c r="A46" s="11" t="s">
        <v>703</v>
      </c>
      <c r="B46" s="56">
        <v>0</v>
      </c>
      <c r="C46" s="56"/>
      <c r="D46" s="50">
        <f>B46+C46+'462'!G4+'509'!G4</f>
        <v>-0.34239999999977044</v>
      </c>
      <c r="E46" s="80" t="s">
        <v>807</v>
      </c>
    </row>
    <row r="47" spans="1:5" ht="26.25">
      <c r="A47" s="11" t="s">
        <v>675</v>
      </c>
      <c r="B47" s="56">
        <v>0</v>
      </c>
      <c r="C47" s="56"/>
      <c r="D47" s="50">
        <f>B47+C47+'446'!G5</f>
        <v>0.37560000000007676</v>
      </c>
      <c r="E47" s="80">
        <v>446</v>
      </c>
    </row>
    <row r="48" spans="1:5" ht="26.25">
      <c r="A48" s="11" t="s">
        <v>43</v>
      </c>
      <c r="B48" s="56">
        <v>-3.369498985801158</v>
      </c>
      <c r="C48" s="56"/>
      <c r="D48" s="50">
        <f>B48+C48+'321'!G5+'510'!G5</f>
        <v>-0.2853999959023099</v>
      </c>
      <c r="E48" s="30" t="s">
        <v>810</v>
      </c>
    </row>
    <row r="49" spans="1:5" ht="26.25">
      <c r="A49" s="11" t="s">
        <v>44</v>
      </c>
      <c r="B49" s="56">
        <v>0.27408328358202994</v>
      </c>
      <c r="C49" s="56"/>
      <c r="D49" s="50">
        <f>B49+C49</f>
        <v>0.27408328358202994</v>
      </c>
      <c r="E49" s="30" t="s">
        <v>45</v>
      </c>
    </row>
    <row r="50" spans="1:5" ht="26.25">
      <c r="A50" s="11" t="s">
        <v>46</v>
      </c>
      <c r="B50" s="56">
        <v>9.136743911439112</v>
      </c>
      <c r="C50" s="56"/>
      <c r="D50" s="50">
        <f>B50+C50</f>
        <v>9.136743911439112</v>
      </c>
      <c r="E50" s="30">
        <v>104</v>
      </c>
    </row>
    <row r="51" spans="1:5" ht="26.25">
      <c r="A51" s="33" t="s">
        <v>47</v>
      </c>
      <c r="B51" s="56">
        <v>0.08202564421873149</v>
      </c>
      <c r="C51" s="56"/>
      <c r="D51" s="50">
        <f>B51+C51</f>
        <v>0.08202564421873149</v>
      </c>
      <c r="E51" s="30" t="s">
        <v>48</v>
      </c>
    </row>
    <row r="52" spans="1:5" ht="26.25">
      <c r="A52" s="11" t="s">
        <v>49</v>
      </c>
      <c r="B52" s="56">
        <v>0.6583511187179028</v>
      </c>
      <c r="C52" s="56"/>
      <c r="D52" s="50">
        <f>B52+C52+'348'!G8+'504'!G6</f>
        <v>0.48745111871760116</v>
      </c>
      <c r="E52" s="30" t="s">
        <v>796</v>
      </c>
    </row>
    <row r="53" spans="1:5" ht="26.25">
      <c r="A53" s="15" t="s">
        <v>50</v>
      </c>
      <c r="B53" s="56">
        <v>-12.13943887775551</v>
      </c>
      <c r="C53" s="56"/>
      <c r="D53" s="50">
        <f>B53+C53+'302'!G9</f>
        <v>11.680638989447544</v>
      </c>
      <c r="E53" s="30" t="s">
        <v>309</v>
      </c>
    </row>
    <row r="54" spans="1:5" ht="26.25">
      <c r="A54" s="11" t="s">
        <v>51</v>
      </c>
      <c r="B54" s="56">
        <v>-0.07607591023634086</v>
      </c>
      <c r="C54" s="56"/>
      <c r="D54" s="50">
        <f>B54+C54+'471'!G6+'473'!G4+'543'!G4+'545'!G6+'556'!G6+'574'!G6+'582'!G5</f>
        <v>-0.04857591023630903</v>
      </c>
      <c r="E54" s="30" t="s">
        <v>1053</v>
      </c>
    </row>
    <row r="55" spans="1:5" ht="26.25">
      <c r="A55" s="15" t="s">
        <v>577</v>
      </c>
      <c r="B55" s="56">
        <v>0</v>
      </c>
      <c r="C55" s="56"/>
      <c r="D55" s="50">
        <f>'407'!G6</f>
        <v>-0.4188000000000329</v>
      </c>
      <c r="E55" s="80">
        <v>407</v>
      </c>
    </row>
    <row r="56" spans="1:5" ht="26.25">
      <c r="A56" s="15" t="s">
        <v>1088</v>
      </c>
      <c r="B56" s="56">
        <v>0</v>
      </c>
      <c r="C56" s="56"/>
      <c r="D56" s="50">
        <f>'595'!G4</f>
        <v>0.27159999999980755</v>
      </c>
      <c r="E56" s="80">
        <v>595</v>
      </c>
    </row>
    <row r="57" spans="1:5" ht="26.25">
      <c r="A57" s="15" t="s">
        <v>1021</v>
      </c>
      <c r="B57" s="56">
        <v>0</v>
      </c>
      <c r="C57" s="56"/>
      <c r="D57" s="50">
        <f>'575'!G4+'577'!G5</f>
        <v>0.1393999999999096</v>
      </c>
      <c r="E57" s="80" t="s">
        <v>1034</v>
      </c>
    </row>
    <row r="58" spans="1:5" ht="26.25">
      <c r="A58" s="15" t="s">
        <v>978</v>
      </c>
      <c r="B58" s="56">
        <v>0</v>
      </c>
      <c r="C58" s="56"/>
      <c r="D58" s="50">
        <f>'562'!G4+'601'!G5</f>
        <v>0.006400000000326145</v>
      </c>
      <c r="E58" s="80" t="s">
        <v>1120</v>
      </c>
    </row>
    <row r="59" spans="1:5" ht="26.25">
      <c r="A59" s="11" t="s">
        <v>1036</v>
      </c>
      <c r="B59" s="56">
        <v>0</v>
      </c>
      <c r="C59" s="56"/>
      <c r="D59" s="50">
        <f>'578'!G7</f>
        <v>-0.23999999999978172</v>
      </c>
      <c r="E59" s="80">
        <v>578</v>
      </c>
    </row>
    <row r="60" spans="1:5" ht="26.25">
      <c r="A60" s="11" t="s">
        <v>52</v>
      </c>
      <c r="B60" s="56">
        <v>10.469532218285849</v>
      </c>
      <c r="C60" s="56"/>
      <c r="D60" s="50">
        <f>B60+C60+'517'!G6</f>
        <v>0.08323221828584337</v>
      </c>
      <c r="E60" s="30" t="s">
        <v>836</v>
      </c>
    </row>
    <row r="61" spans="1:5" ht="26.25">
      <c r="A61" s="33" t="s">
        <v>53</v>
      </c>
      <c r="B61" s="56">
        <v>-3.2036740230482224</v>
      </c>
      <c r="C61" s="56"/>
      <c r="D61" s="50">
        <f>B61+C61+'303'!G4</f>
        <v>-0.25252098661093214</v>
      </c>
      <c r="E61" s="30" t="s">
        <v>310</v>
      </c>
    </row>
    <row r="62" spans="1:5" ht="26.25">
      <c r="A62" s="33" t="s">
        <v>54</v>
      </c>
      <c r="B62" s="56">
        <v>2794.306613841951</v>
      </c>
      <c r="C62" s="56">
        <f>'301'!G4</f>
        <v>-2794.6867409638553</v>
      </c>
      <c r="D62" s="50">
        <f>B62+C62</f>
        <v>-0.3801271219044793</v>
      </c>
      <c r="E62" s="30" t="s">
        <v>302</v>
      </c>
    </row>
    <row r="63" spans="1:5" ht="26.25">
      <c r="A63" s="11" t="s">
        <v>55</v>
      </c>
      <c r="B63" s="56">
        <v>-1.4542921452389237</v>
      </c>
      <c r="C63" s="56"/>
      <c r="D63" s="50">
        <f>B63+C63</f>
        <v>-1.4542921452389237</v>
      </c>
      <c r="E63" s="30">
        <v>251</v>
      </c>
    </row>
    <row r="64" spans="1:5" ht="26.25">
      <c r="A64" s="33" t="s">
        <v>56</v>
      </c>
      <c r="B64" s="56">
        <v>0.3668435424353902</v>
      </c>
      <c r="C64" s="56"/>
      <c r="D64" s="50">
        <f>B64+C64</f>
        <v>0.3668435424353902</v>
      </c>
      <c r="E64" s="30">
        <v>231</v>
      </c>
    </row>
    <row r="65" spans="1:5" ht="26.25">
      <c r="A65" s="11" t="s">
        <v>57</v>
      </c>
      <c r="B65" s="56">
        <v>5.425536479400762</v>
      </c>
      <c r="C65" s="56"/>
      <c r="D65" s="50">
        <f>B65+C65</f>
        <v>5.425536479400762</v>
      </c>
      <c r="E65" s="30">
        <v>30</v>
      </c>
    </row>
    <row r="66" spans="1:5" ht="26.25">
      <c r="A66" s="11" t="s">
        <v>58</v>
      </c>
      <c r="B66" s="56">
        <v>-0.3889668693219619</v>
      </c>
      <c r="C66" s="56">
        <f>'300'!G8</f>
        <v>-0.37747082494968254</v>
      </c>
      <c r="D66" s="50">
        <f>B66+C66+'308'!G8+'349'!G8</f>
        <v>0.2508112853200828</v>
      </c>
      <c r="E66" s="30" t="s">
        <v>433</v>
      </c>
    </row>
    <row r="67" spans="1:5" ht="26.25">
      <c r="A67" s="11" t="s">
        <v>59</v>
      </c>
      <c r="B67" s="56">
        <v>26.39559369190988</v>
      </c>
      <c r="C67" s="56"/>
      <c r="D67" s="50">
        <f>B67+C67</f>
        <v>26.39559369190988</v>
      </c>
      <c r="E67" s="34" t="s">
        <v>60</v>
      </c>
    </row>
    <row r="68" spans="1:5" ht="26.25">
      <c r="A68" s="15" t="s">
        <v>632</v>
      </c>
      <c r="B68" s="56">
        <v>0</v>
      </c>
      <c r="C68" s="56"/>
      <c r="D68" s="50">
        <f>B68+C68+'428'!G8+'442'!G9+'453'!G7</f>
        <v>0.2461999999999307</v>
      </c>
      <c r="E68" s="80" t="s">
        <v>692</v>
      </c>
    </row>
    <row r="69" spans="1:5" ht="30">
      <c r="A69" s="11" t="s">
        <v>61</v>
      </c>
      <c r="B69" s="56">
        <v>-0.33798374530756803</v>
      </c>
      <c r="C69" s="56"/>
      <c r="D69" s="50">
        <f>B69+C69+'402'!G6</f>
        <v>0.013616254692394136</v>
      </c>
      <c r="E69" s="35" t="s">
        <v>569</v>
      </c>
    </row>
    <row r="70" spans="1:5" ht="26.25">
      <c r="A70" s="15" t="s">
        <v>438</v>
      </c>
      <c r="B70" s="56">
        <v>0</v>
      </c>
      <c r="C70" s="56"/>
      <c r="D70" s="50">
        <f>B70+C70+'352'!G9+'363'!G9</f>
        <v>17.018300000000067</v>
      </c>
      <c r="E70" s="80" t="s">
        <v>474</v>
      </c>
    </row>
    <row r="71" spans="1:5" ht="26.25">
      <c r="A71" s="11" t="s">
        <v>62</v>
      </c>
      <c r="B71" s="56">
        <v>1.518555555555551</v>
      </c>
      <c r="C71" s="56"/>
      <c r="D71" s="50">
        <f>B71+C71+'582'!G9</f>
        <v>1.9125555555555565</v>
      </c>
      <c r="E71" s="34" t="s">
        <v>1054</v>
      </c>
    </row>
    <row r="72" spans="1:5" ht="26.25">
      <c r="A72" s="15" t="s">
        <v>401</v>
      </c>
      <c r="B72" s="56">
        <v>0</v>
      </c>
      <c r="C72" s="56"/>
      <c r="D72" s="50">
        <f>B72+C72+'339'!G7</f>
        <v>10.124000000000024</v>
      </c>
      <c r="E72" s="80">
        <v>339</v>
      </c>
    </row>
    <row r="73" spans="1:5" ht="26.25">
      <c r="A73" s="15" t="s">
        <v>659</v>
      </c>
      <c r="B73" s="56">
        <v>0</v>
      </c>
      <c r="C73" s="56"/>
      <c r="D73" s="50">
        <f>'438'!G5+'441'!G9+'453'!G4+'457'!G4+'468'!G6+'514'!G4</f>
        <v>-0.28280000000057726</v>
      </c>
      <c r="E73" s="80" t="s">
        <v>822</v>
      </c>
    </row>
    <row r="74" spans="1:5" ht="26.25">
      <c r="A74" s="15" t="s">
        <v>950</v>
      </c>
      <c r="B74" s="56">
        <v>0</v>
      </c>
      <c r="C74" s="56"/>
      <c r="D74" s="50">
        <f>'566'!G5+'569'!G8+'594'!G5+'596'!G7</f>
        <v>0.31859999999880984</v>
      </c>
      <c r="E74" s="80" t="s">
        <v>1103</v>
      </c>
    </row>
    <row r="75" spans="1:5" ht="26.25">
      <c r="A75" s="15" t="s">
        <v>63</v>
      </c>
      <c r="B75" s="56">
        <v>0</v>
      </c>
      <c r="C75" s="56"/>
      <c r="D75" s="50">
        <f>B75+C75</f>
        <v>0</v>
      </c>
      <c r="E75" s="34">
        <v>274</v>
      </c>
    </row>
    <row r="76" spans="1:5" ht="26.25">
      <c r="A76" s="15" t="s">
        <v>427</v>
      </c>
      <c r="B76" s="56">
        <v>0</v>
      </c>
      <c r="C76" s="56"/>
      <c r="D76" s="50">
        <f>B76+C76+'350'!G4+'403'!G7+'409'!G5+'422'!G6+'548'!G9</f>
        <v>0.19509999999991123</v>
      </c>
      <c r="E76" s="80" t="s">
        <v>943</v>
      </c>
    </row>
    <row r="77" spans="1:5" ht="26.25">
      <c r="A77" s="11" t="s">
        <v>64</v>
      </c>
      <c r="B77" s="56">
        <v>-2.2959328358208495</v>
      </c>
      <c r="C77" s="56"/>
      <c r="D77" s="50">
        <f>B77+C77+'454'!G7</f>
        <v>0.4165671641787867</v>
      </c>
      <c r="E77" s="34" t="s">
        <v>691</v>
      </c>
    </row>
    <row r="78" spans="1:5" ht="26.25">
      <c r="A78" s="11" t="s">
        <v>65</v>
      </c>
      <c r="B78" s="56">
        <v>0.6924869888476053</v>
      </c>
      <c r="C78" s="56"/>
      <c r="D78" s="50">
        <f>B78+C78+'576'!G7</f>
        <v>0.19898698884711052</v>
      </c>
      <c r="E78" s="30" t="s">
        <v>1028</v>
      </c>
    </row>
    <row r="79" spans="1:5" ht="26.25">
      <c r="A79" s="15" t="s">
        <v>559</v>
      </c>
      <c r="B79" s="56">
        <v>0</v>
      </c>
      <c r="C79" s="56"/>
      <c r="D79" s="50">
        <f>'400'!G4</f>
        <v>5.495499999999993</v>
      </c>
      <c r="E79" s="80">
        <v>400</v>
      </c>
    </row>
    <row r="80" spans="1:5" ht="26.25">
      <c r="A80" s="11" t="s">
        <v>739</v>
      </c>
      <c r="B80" s="56">
        <v>0</v>
      </c>
      <c r="C80" s="56"/>
      <c r="D80" s="50">
        <f>'476'!G8</f>
        <v>0.6415999999999826</v>
      </c>
      <c r="E80" s="80">
        <v>476</v>
      </c>
    </row>
    <row r="81" spans="1:5" ht="26.25">
      <c r="A81" s="15" t="s">
        <v>66</v>
      </c>
      <c r="B81" s="56">
        <v>72.94088755020084</v>
      </c>
      <c r="C81" s="56"/>
      <c r="D81" s="50">
        <f>B81+C81</f>
        <v>72.94088755020084</v>
      </c>
      <c r="E81" s="30" t="s">
        <v>67</v>
      </c>
    </row>
    <row r="82" spans="1:5" ht="26.25">
      <c r="A82" s="15" t="s">
        <v>941</v>
      </c>
      <c r="B82" s="56">
        <v>0</v>
      </c>
      <c r="C82" s="56"/>
      <c r="D82" s="50">
        <f>'549'!G5</f>
        <v>-0.31199999999989814</v>
      </c>
      <c r="E82" s="30">
        <v>549</v>
      </c>
    </row>
    <row r="83" spans="1:5" ht="26.25">
      <c r="A83" s="15" t="s">
        <v>68</v>
      </c>
      <c r="B83" s="56">
        <v>0.08928686868694058</v>
      </c>
      <c r="C83" s="56"/>
      <c r="D83" s="50">
        <f>B83+C83</f>
        <v>0.08928686868694058</v>
      </c>
      <c r="E83" s="30">
        <v>288</v>
      </c>
    </row>
    <row r="84" spans="1:5" ht="26.25">
      <c r="A84" s="11" t="s">
        <v>69</v>
      </c>
      <c r="B84" s="56">
        <v>100.37307145472573</v>
      </c>
      <c r="C84" s="56"/>
      <c r="D84" s="50">
        <f>B84+C84+'318'!G4+'441'!G9+'485'!G9+'489'!G9</f>
        <v>18.35694189497741</v>
      </c>
      <c r="E84" s="35" t="s">
        <v>769</v>
      </c>
    </row>
    <row r="85" spans="1:5" ht="30">
      <c r="A85" s="15" t="s">
        <v>70</v>
      </c>
      <c r="B85" s="56">
        <v>0.5023836734693532</v>
      </c>
      <c r="C85" s="56"/>
      <c r="D85" s="50">
        <f>B85+C85+'338'!G7</f>
        <v>8.804823673469286</v>
      </c>
      <c r="E85" s="35" t="s">
        <v>402</v>
      </c>
    </row>
    <row r="86" spans="1:5" ht="26.25">
      <c r="A86" s="11" t="s">
        <v>71</v>
      </c>
      <c r="B86" s="56">
        <v>-4.340805964751127</v>
      </c>
      <c r="C86" s="56"/>
      <c r="D86" s="50">
        <f>B86+C86</f>
        <v>-4.340805964751127</v>
      </c>
      <c r="E86" s="35" t="s">
        <v>72</v>
      </c>
    </row>
    <row r="87" spans="1:5" ht="26.25">
      <c r="A87" s="11" t="s">
        <v>73</v>
      </c>
      <c r="B87" s="56">
        <v>0.2011977528090938</v>
      </c>
      <c r="C87" s="56"/>
      <c r="D87" s="50">
        <f>B87+C87+'559'!G10</f>
        <v>0.2741977528089592</v>
      </c>
      <c r="E87" s="35" t="s">
        <v>973</v>
      </c>
    </row>
    <row r="88" spans="1:5" ht="30">
      <c r="A88" s="15" t="s">
        <v>520</v>
      </c>
      <c r="B88" s="56">
        <v>0</v>
      </c>
      <c r="C88" s="56"/>
      <c r="D88" s="50">
        <f>'386'!G6+'398'!G7+'405'!G5+'407'!G4+'409'!G4+'414'!G4+'416'!G7+'419'!G5+'423'!G6+'430'!G7+'435'!G10+'439'!G7+'450'!G6+'455'!G5+'584'!G8+'599'!G4+'600'!G7</f>
        <v>-0.3676238200835371</v>
      </c>
      <c r="E88" s="80" t="s">
        <v>1125</v>
      </c>
    </row>
    <row r="89" spans="1:5" ht="26.25">
      <c r="A89" s="15" t="s">
        <v>74</v>
      </c>
      <c r="B89" s="56">
        <v>78.86924328358211</v>
      </c>
      <c r="C89" s="56"/>
      <c r="D89" s="50">
        <f>B89+C89</f>
        <v>78.86924328358211</v>
      </c>
      <c r="E89" s="34">
        <v>264</v>
      </c>
    </row>
    <row r="90" spans="1:5" ht="30">
      <c r="A90" s="15" t="s">
        <v>738</v>
      </c>
      <c r="B90" s="56">
        <v>0</v>
      </c>
      <c r="C90" s="56"/>
      <c r="D90" s="50">
        <f>'476'!G6+'503'!G4+'512'!G6+'549'!G4+'557'!G10+'571'!G5+'584'!G9+'587'!G6+'593'!G5+'603'!G14</f>
        <v>-0.40900000000016234</v>
      </c>
      <c r="E90" s="80" t="s">
        <v>1144</v>
      </c>
    </row>
    <row r="91" spans="1:5" ht="26.25">
      <c r="A91" s="11" t="s">
        <v>75</v>
      </c>
      <c r="B91" s="56">
        <v>-0.10365303318036467</v>
      </c>
      <c r="C91" s="56"/>
      <c r="D91" s="50">
        <f>B91+C91+'463'!G5</f>
        <v>0.24884696681959895</v>
      </c>
      <c r="E91" s="35" t="s">
        <v>704</v>
      </c>
    </row>
    <row r="92" spans="1:5" ht="45">
      <c r="A92" s="11" t="s">
        <v>76</v>
      </c>
      <c r="B92" s="56">
        <v>-0.28449137599250207</v>
      </c>
      <c r="C92" s="56"/>
      <c r="D92" s="50">
        <f>B92+C92+'320'!G5</f>
        <v>-48.60393527843121</v>
      </c>
      <c r="E92" s="35" t="s">
        <v>361</v>
      </c>
    </row>
    <row r="93" spans="1:5" ht="26.25">
      <c r="A93" s="15" t="s">
        <v>363</v>
      </c>
      <c r="B93" s="56">
        <v>0</v>
      </c>
      <c r="C93" s="56"/>
      <c r="D93" s="50">
        <f>B93+C93+'320'!G6+'322'!G8+'385'!G5+'447'!G6+'488'!G5</f>
        <v>-0.004670834764738174</v>
      </c>
      <c r="E93" s="80" t="s">
        <v>768</v>
      </c>
    </row>
    <row r="94" spans="1:5" ht="26.25">
      <c r="A94" s="15" t="s">
        <v>448</v>
      </c>
      <c r="B94" s="56">
        <v>0</v>
      </c>
      <c r="C94" s="56"/>
      <c r="D94" s="50">
        <f>'356'!G4+'384'!G4+'454'!G4+'482'!G6+'498'!G9+'587'!G4+'600'!G6</f>
        <v>-0.13516000000021222</v>
      </c>
      <c r="E94" s="80" t="s">
        <v>1126</v>
      </c>
    </row>
    <row r="95" spans="1:5" ht="26.25">
      <c r="A95" s="15" t="s">
        <v>578</v>
      </c>
      <c r="B95" s="56">
        <v>0</v>
      </c>
      <c r="C95" s="56"/>
      <c r="D95" s="50">
        <f>'407'!G13+'510'!G8</f>
        <v>61.52999999999997</v>
      </c>
      <c r="E95" s="80" t="s">
        <v>811</v>
      </c>
    </row>
    <row r="96" spans="1:5" ht="26.25">
      <c r="A96" s="11" t="s">
        <v>77</v>
      </c>
      <c r="B96" s="56">
        <v>6.806824354243645</v>
      </c>
      <c r="C96" s="56"/>
      <c r="D96" s="50">
        <f>B96+C96</f>
        <v>6.806824354243645</v>
      </c>
      <c r="E96" s="34" t="s">
        <v>78</v>
      </c>
    </row>
    <row r="97" spans="1:5" ht="26.25">
      <c r="A97" s="15" t="s">
        <v>382</v>
      </c>
      <c r="B97" s="56">
        <v>0</v>
      </c>
      <c r="C97" s="56"/>
      <c r="D97" s="50">
        <f>B97+C97+'327'!G5+'346'!G7+'347'!G9+'349'!G6+'407'!G5+'447'!G7+'476'!G7</f>
        <v>-0.05505999999991218</v>
      </c>
      <c r="E97" s="80" t="s">
        <v>742</v>
      </c>
    </row>
    <row r="98" spans="1:5" ht="30">
      <c r="A98" s="11" t="s">
        <v>79</v>
      </c>
      <c r="B98" s="56">
        <v>-11.461335181175002</v>
      </c>
      <c r="C98" s="56"/>
      <c r="D98" s="50">
        <f>B98+C98</f>
        <v>-11.461335181175002</v>
      </c>
      <c r="E98" s="30" t="s">
        <v>80</v>
      </c>
    </row>
    <row r="99" spans="1:5" ht="26.25">
      <c r="A99" s="11" t="s">
        <v>81</v>
      </c>
      <c r="B99" s="56">
        <v>-54.13885924777935</v>
      </c>
      <c r="C99" s="56"/>
      <c r="D99" s="50">
        <f>B99+C99</f>
        <v>-54.13885924777935</v>
      </c>
      <c r="E99" s="30" t="s">
        <v>82</v>
      </c>
    </row>
    <row r="100" spans="1:5" ht="26.25">
      <c r="A100" s="15" t="s">
        <v>83</v>
      </c>
      <c r="B100" s="56">
        <v>-13</v>
      </c>
      <c r="C100" s="56"/>
      <c r="D100" s="50">
        <f>B100+C100+'357'!G6</f>
        <v>-13.78925000000001</v>
      </c>
      <c r="E100" s="30" t="s">
        <v>459</v>
      </c>
    </row>
    <row r="101" spans="1:5" ht="26.25">
      <c r="A101" s="11" t="s">
        <v>84</v>
      </c>
      <c r="B101" s="56">
        <v>4.41264931842602</v>
      </c>
      <c r="C101" s="56"/>
      <c r="D101" s="50">
        <f>B101+C101</f>
        <v>4.41264931842602</v>
      </c>
      <c r="E101" s="30" t="s">
        <v>85</v>
      </c>
    </row>
    <row r="102" spans="1:5" ht="26.25">
      <c r="A102" s="15" t="s">
        <v>473</v>
      </c>
      <c r="B102" s="56">
        <v>0</v>
      </c>
      <c r="C102" s="56"/>
      <c r="D102" s="50">
        <f>'365'!G6</f>
        <v>12.336000000000013</v>
      </c>
      <c r="E102" s="65">
        <v>365</v>
      </c>
    </row>
    <row r="103" spans="1:5" ht="45">
      <c r="A103" s="11" t="s">
        <v>86</v>
      </c>
      <c r="B103" s="56">
        <v>-10.745266261487131</v>
      </c>
      <c r="C103" s="56"/>
      <c r="D103" s="50">
        <f>B103+C103+'380'!G5</f>
        <v>-0.3474662614871704</v>
      </c>
      <c r="E103" s="30" t="s">
        <v>509</v>
      </c>
    </row>
    <row r="104" spans="1:5" ht="45">
      <c r="A104" s="11" t="s">
        <v>87</v>
      </c>
      <c r="B104" s="56">
        <v>-69.21476560394012</v>
      </c>
      <c r="C104" s="56"/>
      <c r="D104" s="50">
        <f>B104+C104+'493'!G5+'498'!G4+'500'!G5+'528'!G5</f>
        <v>0.22963439606087377</v>
      </c>
      <c r="E104" s="30" t="s">
        <v>867</v>
      </c>
    </row>
    <row r="105" spans="1:5" ht="26.25">
      <c r="A105" s="11" t="s">
        <v>340</v>
      </c>
      <c r="B105" s="56">
        <v>0</v>
      </c>
      <c r="C105" s="56"/>
      <c r="D105" s="50">
        <f>B105+C105+'312'!G4</f>
        <v>-0.016307806841098227</v>
      </c>
      <c r="E105" s="66">
        <v>312</v>
      </c>
    </row>
    <row r="106" spans="1:5" ht="26.25">
      <c r="A106" s="15" t="s">
        <v>512</v>
      </c>
      <c r="B106" s="56">
        <v>0</v>
      </c>
      <c r="C106" s="56"/>
      <c r="D106" s="50">
        <f>'383'!G6+'407'!G7+'492'!G5+'498'!G6+'590'!G6</f>
        <v>0.2489600000002099</v>
      </c>
      <c r="E106" s="66" t="s">
        <v>1081</v>
      </c>
    </row>
    <row r="107" spans="1:5" ht="26.25">
      <c r="A107" s="15" t="s">
        <v>1147</v>
      </c>
      <c r="B107" s="56">
        <v>0</v>
      </c>
      <c r="C107" s="56"/>
      <c r="D107" s="50">
        <f>'604'!G6</f>
        <v>-1056.7962</v>
      </c>
      <c r="E107" s="66">
        <v>604</v>
      </c>
    </row>
    <row r="108" spans="1:5" ht="26.25">
      <c r="A108" s="11" t="s">
        <v>88</v>
      </c>
      <c r="B108" s="56">
        <v>1.5424181818181637</v>
      </c>
      <c r="C108" s="56"/>
      <c r="D108" s="50">
        <f>B108+C108+'540'!G4+'543'!G8+'558'!G4</f>
        <v>-0.025301818181617364</v>
      </c>
      <c r="E108" s="30" t="s">
        <v>967</v>
      </c>
    </row>
    <row r="109" spans="1:5" ht="45">
      <c r="A109" s="36" t="s">
        <v>89</v>
      </c>
      <c r="B109" s="56">
        <v>-17.4280155446271</v>
      </c>
      <c r="C109" s="56"/>
      <c r="D109" s="50">
        <f>B109+C109+'442'!G8+'536'!G4+'539'!G4+'603'!G13</f>
        <v>-0.17881554462701388</v>
      </c>
      <c r="E109" s="30" t="s">
        <v>1143</v>
      </c>
    </row>
    <row r="110" spans="1:5" ht="26.25">
      <c r="A110" s="11" t="s">
        <v>409</v>
      </c>
      <c r="B110" s="56">
        <v>0</v>
      </c>
      <c r="C110" s="56"/>
      <c r="D110" s="50">
        <f>B110+C110+'341'!G5+'349'!G5+'440'!G6+'562'!G5</f>
        <v>0.5995400000000473</v>
      </c>
      <c r="E110" s="66" t="s">
        <v>981</v>
      </c>
    </row>
    <row r="111" spans="1:5" ht="26.25">
      <c r="A111" s="11" t="s">
        <v>898</v>
      </c>
      <c r="B111" s="56">
        <v>0</v>
      </c>
      <c r="C111" s="56"/>
      <c r="D111" s="50">
        <f>'539'!G12+'564'!G9+'587'!G5</f>
        <v>0.20899999999994634</v>
      </c>
      <c r="E111" s="66" t="s">
        <v>1070</v>
      </c>
    </row>
    <row r="112" spans="1:5" ht="26.25">
      <c r="A112" s="11" t="s">
        <v>90</v>
      </c>
      <c r="B112" s="56">
        <v>6.445296795318825</v>
      </c>
      <c r="C112" s="56"/>
      <c r="D112" s="50">
        <f>B112+C112</f>
        <v>6.445296795318825</v>
      </c>
      <c r="E112" s="30" t="s">
        <v>91</v>
      </c>
    </row>
    <row r="113" spans="1:5" ht="26.25">
      <c r="A113" s="11" t="s">
        <v>92</v>
      </c>
      <c r="B113" s="56">
        <v>14.026053531598507</v>
      </c>
      <c r="C113" s="56"/>
      <c r="D113" s="50">
        <f>B113+C113</f>
        <v>14.026053531598507</v>
      </c>
      <c r="E113" s="30">
        <v>173</v>
      </c>
    </row>
    <row r="114" spans="1:5" ht="45">
      <c r="A114" s="11" t="s">
        <v>93</v>
      </c>
      <c r="B114" s="56">
        <v>-15.99446605313969</v>
      </c>
      <c r="C114" s="56"/>
      <c r="D114" s="50">
        <f>B114+C114+'323'!G10+'329'!G8+'347'!G7+'365'!G7+'367'!G5+'379'!G7+'388'!G5+'409'!G7+'430'!G5+'537'!G9+'579'!G9+'599'!G5</f>
        <v>0.3048027411284977</v>
      </c>
      <c r="E114" s="35" t="s">
        <v>1115</v>
      </c>
    </row>
    <row r="115" spans="1:5" ht="26.25">
      <c r="A115" s="15" t="s">
        <v>94</v>
      </c>
      <c r="B115" s="56">
        <v>1.5234438661710215</v>
      </c>
      <c r="C115" s="56"/>
      <c r="D115" s="50">
        <f>B115+C115+'542'!G5+'577'!G8+'578'!G4+'584'!G4+'600'!G5</f>
        <v>-0.45255613382875026</v>
      </c>
      <c r="E115" s="34" t="s">
        <v>1124</v>
      </c>
    </row>
    <row r="116" spans="1:5" ht="26.25">
      <c r="A116" s="11" t="s">
        <v>95</v>
      </c>
      <c r="B116" s="56">
        <v>1.6205894523326378</v>
      </c>
      <c r="C116" s="56"/>
      <c r="D116" s="50">
        <f>B116+C116+'432'!G4+'439'!G9</f>
        <v>0.1525894523326201</v>
      </c>
      <c r="E116" s="35" t="s">
        <v>661</v>
      </c>
    </row>
    <row r="117" spans="1:5" ht="26.25">
      <c r="A117" s="15" t="s">
        <v>551</v>
      </c>
      <c r="B117" s="56">
        <v>0</v>
      </c>
      <c r="C117" s="56"/>
      <c r="D117" s="50">
        <f>B117+C117+'395'!G4+'401'!G6</f>
        <v>0.2046999999999457</v>
      </c>
      <c r="E117" s="80" t="s">
        <v>567</v>
      </c>
    </row>
    <row r="118" spans="1:5" ht="26.25">
      <c r="A118" s="15" t="s">
        <v>860</v>
      </c>
      <c r="B118" s="56">
        <v>0</v>
      </c>
      <c r="C118" s="56"/>
      <c r="D118" s="50">
        <f>'526'!G5</f>
        <v>-0.28309999999999036</v>
      </c>
      <c r="E118" s="80">
        <v>526</v>
      </c>
    </row>
    <row r="119" spans="1:5" ht="26.25">
      <c r="A119" s="15" t="s">
        <v>746</v>
      </c>
      <c r="B119" s="56">
        <v>0</v>
      </c>
      <c r="C119" s="56"/>
      <c r="D119" s="50">
        <f>'480'!G7+'489'!G4</f>
        <v>0.35979999999995016</v>
      </c>
      <c r="E119" s="80" t="s">
        <v>770</v>
      </c>
    </row>
    <row r="120" spans="1:5" ht="26.25">
      <c r="A120" s="15" t="s">
        <v>480</v>
      </c>
      <c r="B120" s="56">
        <v>0</v>
      </c>
      <c r="C120" s="56"/>
      <c r="D120" s="50">
        <f>B120+C120+'369'!G10+'447'!G9+'467'!G7+'537'!G8+'569'!G5</f>
        <v>-0.2763999999999953</v>
      </c>
      <c r="E120" s="80" t="s">
        <v>1006</v>
      </c>
    </row>
    <row r="121" spans="1:5" ht="26.25">
      <c r="A121" s="15" t="s">
        <v>934</v>
      </c>
      <c r="B121" s="56">
        <v>0</v>
      </c>
      <c r="C121" s="56"/>
      <c r="D121" s="50">
        <f>'547'!G11</f>
        <v>-0.467200000000048</v>
      </c>
      <c r="E121" s="80">
        <v>547</v>
      </c>
    </row>
    <row r="122" spans="1:5" ht="26.25">
      <c r="A122" s="15" t="s">
        <v>938</v>
      </c>
      <c r="B122" s="56">
        <v>0</v>
      </c>
      <c r="C122" s="56"/>
      <c r="D122" s="50">
        <f>'548'!G8+'559'!G7+'565'!G5</f>
        <v>-0.531699999999887</v>
      </c>
      <c r="E122" s="80" t="s">
        <v>995</v>
      </c>
    </row>
    <row r="123" spans="1:5" ht="26.25">
      <c r="A123" s="15" t="s">
        <v>1066</v>
      </c>
      <c r="B123" s="56">
        <v>0</v>
      </c>
      <c r="C123" s="56"/>
      <c r="D123" s="50">
        <f>'586'!G4</f>
        <v>0.26159999999981665</v>
      </c>
      <c r="E123" s="80">
        <v>586</v>
      </c>
    </row>
    <row r="124" spans="1:5" ht="26.25">
      <c r="A124" s="15" t="s">
        <v>592</v>
      </c>
      <c r="B124" s="56">
        <v>0</v>
      </c>
      <c r="C124" s="56"/>
      <c r="D124" s="50">
        <f>'412'!G7+'515'!G4</f>
        <v>-0.46450000000015734</v>
      </c>
      <c r="E124" s="80" t="s">
        <v>826</v>
      </c>
    </row>
    <row r="125" spans="1:5" ht="26.25">
      <c r="A125" s="11" t="s">
        <v>96</v>
      </c>
      <c r="B125" s="56">
        <v>-2.6790087885493676</v>
      </c>
      <c r="C125" s="56"/>
      <c r="D125" s="50">
        <f>B125+C125</f>
        <v>-2.6790087885493676</v>
      </c>
      <c r="E125" s="34" t="s">
        <v>97</v>
      </c>
    </row>
    <row r="126" spans="1:5" ht="26.25">
      <c r="A126" s="11" t="s">
        <v>98</v>
      </c>
      <c r="B126" s="56">
        <v>5.658398795181029</v>
      </c>
      <c r="C126" s="56"/>
      <c r="D126" s="50">
        <f>B126+C126</f>
        <v>5.658398795181029</v>
      </c>
      <c r="E126" s="34">
        <v>217</v>
      </c>
    </row>
    <row r="127" spans="1:5" ht="26.25">
      <c r="A127" s="11" t="s">
        <v>99</v>
      </c>
      <c r="B127" s="56">
        <v>0.5449786171185451</v>
      </c>
      <c r="C127" s="56"/>
      <c r="D127" s="50">
        <f>B127+C127+'304'!G8</f>
        <v>-7.387663467049833</v>
      </c>
      <c r="E127" s="35" t="s">
        <v>319</v>
      </c>
    </row>
    <row r="128" spans="1:5" ht="26.25">
      <c r="A128" s="15" t="s">
        <v>100</v>
      </c>
      <c r="B128" s="56"/>
      <c r="C128" s="56">
        <f>'300'!G10</f>
        <v>-0.10779175050311096</v>
      </c>
      <c r="D128" s="50">
        <f>B128+C128</f>
        <v>-0.10779175050311096</v>
      </c>
      <c r="E128" s="35">
        <v>300</v>
      </c>
    </row>
    <row r="129" spans="1:5" ht="26.25">
      <c r="A129" s="15" t="s">
        <v>979</v>
      </c>
      <c r="B129" s="56">
        <v>0</v>
      </c>
      <c r="C129" s="56"/>
      <c r="D129" s="50">
        <f>'562'!G7+'564'!G10</f>
        <v>-0.48919999999986885</v>
      </c>
      <c r="E129" s="35" t="s">
        <v>992</v>
      </c>
    </row>
    <row r="130" spans="1:5" ht="26.25">
      <c r="A130" s="36" t="s">
        <v>101</v>
      </c>
      <c r="B130" s="56">
        <v>0.4704153300190228</v>
      </c>
      <c r="C130" s="56"/>
      <c r="D130" s="50">
        <f>B130+C130</f>
        <v>0.4704153300190228</v>
      </c>
      <c r="E130" s="30" t="s">
        <v>102</v>
      </c>
    </row>
    <row r="131" spans="1:5" ht="26.25">
      <c r="A131" s="36" t="s">
        <v>903</v>
      </c>
      <c r="B131" s="56">
        <v>0</v>
      </c>
      <c r="C131" s="56"/>
      <c r="D131" s="50">
        <f>B131+C131+'540'!G5</f>
        <v>-0.3686000000000149</v>
      </c>
      <c r="E131" s="65">
        <v>540</v>
      </c>
    </row>
    <row r="132" spans="1:5" ht="26.25">
      <c r="A132" s="36" t="s">
        <v>824</v>
      </c>
      <c r="B132" s="56">
        <v>0</v>
      </c>
      <c r="C132" s="56"/>
      <c r="D132" s="50">
        <f>'516'!G6</f>
        <v>-0.44960000000037326</v>
      </c>
      <c r="E132" s="30">
        <v>516</v>
      </c>
    </row>
    <row r="133" spans="1:5" ht="26.25">
      <c r="A133" s="36" t="s">
        <v>103</v>
      </c>
      <c r="B133" s="56">
        <v>-1.7346101116473278</v>
      </c>
      <c r="C133" s="56"/>
      <c r="D133" s="50">
        <f>B133+C133+'372'!G6</f>
        <v>0.30858988835251466</v>
      </c>
      <c r="E133" s="30" t="s">
        <v>490</v>
      </c>
    </row>
    <row r="134" spans="1:5" ht="26.25">
      <c r="A134" s="36" t="s">
        <v>104</v>
      </c>
      <c r="B134" s="56">
        <v>6.965636389397673</v>
      </c>
      <c r="C134" s="56"/>
      <c r="D134" s="50">
        <f>B134+C134+'316'!G9+'323'!G6+'369'!G8+'396'!G6+'401'!G5</f>
        <v>0.10561120721155248</v>
      </c>
      <c r="E134" s="30" t="s">
        <v>568</v>
      </c>
    </row>
    <row r="135" spans="1:5" ht="26.25">
      <c r="A135" s="15" t="s">
        <v>348</v>
      </c>
      <c r="B135" s="56">
        <v>0</v>
      </c>
      <c r="C135" s="56"/>
      <c r="D135" s="50">
        <f>B135+C135+'317'!G5+'355'!G8</f>
        <v>7.785819999999944</v>
      </c>
      <c r="E135" s="65" t="s">
        <v>450</v>
      </c>
    </row>
    <row r="136" spans="1:5" ht="26.25">
      <c r="A136" s="36" t="s">
        <v>105</v>
      </c>
      <c r="B136" s="56">
        <v>0.6148239999999987</v>
      </c>
      <c r="C136" s="56"/>
      <c r="D136" s="50">
        <f>B136+C136+'389'!G4+'410'!G6</f>
        <v>-0.29647599999992735</v>
      </c>
      <c r="E136" s="30" t="s">
        <v>587</v>
      </c>
    </row>
    <row r="137" spans="1:5" ht="26.25">
      <c r="A137" s="36" t="s">
        <v>709</v>
      </c>
      <c r="B137" s="56">
        <v>0</v>
      </c>
      <c r="C137" s="56"/>
      <c r="D137" s="50">
        <f>'464'!G8</f>
        <v>21.98999999999978</v>
      </c>
      <c r="E137" s="65">
        <v>464</v>
      </c>
    </row>
    <row r="138" spans="1:5" ht="30">
      <c r="A138" s="33" t="s">
        <v>106</v>
      </c>
      <c r="B138" s="56">
        <v>-30.431686517547007</v>
      </c>
      <c r="C138" s="56"/>
      <c r="D138" s="50">
        <f>B138+C138+'386'!G8</f>
        <v>0.5414561602771641</v>
      </c>
      <c r="E138" s="30" t="s">
        <v>521</v>
      </c>
    </row>
    <row r="139" spans="1:5" ht="26.25">
      <c r="A139" s="15" t="s">
        <v>633</v>
      </c>
      <c r="B139" s="56">
        <v>0</v>
      </c>
      <c r="C139" s="56"/>
      <c r="D139" s="50">
        <f>'428'!G9+'458'!G5</f>
        <v>0.03999999999973625</v>
      </c>
      <c r="E139" s="65" t="s">
        <v>700</v>
      </c>
    </row>
    <row r="140" spans="1:5" ht="26.25">
      <c r="A140" s="15" t="s">
        <v>631</v>
      </c>
      <c r="B140" s="56">
        <v>0</v>
      </c>
      <c r="C140" s="56"/>
      <c r="D140" s="50">
        <f>'429'!G7</f>
        <v>0.07999999999992724</v>
      </c>
      <c r="E140" s="65">
        <v>429</v>
      </c>
    </row>
    <row r="141" spans="1:5" ht="26.25">
      <c r="A141" s="15" t="s">
        <v>975</v>
      </c>
      <c r="B141" s="56">
        <v>0</v>
      </c>
      <c r="C141" s="56"/>
      <c r="D141" s="50">
        <f>'561'!G6</f>
        <v>-0.03779999999994743</v>
      </c>
      <c r="E141" s="65">
        <v>561</v>
      </c>
    </row>
    <row r="142" spans="1:5" ht="26.25">
      <c r="A142" s="15" t="s">
        <v>942</v>
      </c>
      <c r="B142" s="56">
        <v>0</v>
      </c>
      <c r="C142" s="56"/>
      <c r="D142" s="50">
        <f>'549'!G6+'551'!G6</f>
        <v>0.028000000000133696</v>
      </c>
      <c r="E142" s="65" t="s">
        <v>948</v>
      </c>
    </row>
    <row r="143" spans="1:5" ht="26.25">
      <c r="A143" s="15" t="s">
        <v>367</v>
      </c>
      <c r="B143" s="56">
        <v>0</v>
      </c>
      <c r="C143" s="56"/>
      <c r="D143" s="50">
        <f>B143+C143+'323'!G11+'407'!G11+'427'!G6+'441'!G12+'492'!G6</f>
        <v>0.6421647773279346</v>
      </c>
      <c r="E143" s="65" t="s">
        <v>775</v>
      </c>
    </row>
    <row r="144" spans="1:5" ht="26.25">
      <c r="A144" s="15" t="s">
        <v>809</v>
      </c>
      <c r="B144" s="56">
        <v>0</v>
      </c>
      <c r="C144" s="56"/>
      <c r="D144" s="50">
        <f>'511'!G7+'582'!G7</f>
        <v>-0.34389999999996235</v>
      </c>
      <c r="E144" s="65" t="s">
        <v>1055</v>
      </c>
    </row>
    <row r="145" spans="1:5" ht="26.25">
      <c r="A145" s="11" t="s">
        <v>107</v>
      </c>
      <c r="B145" s="56">
        <v>-5.631741176470314</v>
      </c>
      <c r="C145" s="56"/>
      <c r="D145" s="50">
        <f>B145+C145</f>
        <v>-5.631741176470314</v>
      </c>
      <c r="E145" s="30">
        <v>112</v>
      </c>
    </row>
    <row r="146" spans="1:5" ht="30">
      <c r="A146" s="15" t="s">
        <v>333</v>
      </c>
      <c r="B146" s="56">
        <v>0</v>
      </c>
      <c r="C146" s="56"/>
      <c r="D146" s="50">
        <f>'309'!G9+'312'!G6+'313'!G5+'313'!G6+'319'!G6+'343'!G4+'354'!G4+'361'!G4+'366'!G4+'370'!G4+'371'!G8+'373'!G4+'375'!G5</f>
        <v>49.742918013660756</v>
      </c>
      <c r="E146" s="66" t="s">
        <v>493</v>
      </c>
    </row>
    <row r="147" spans="1:5" ht="26.25">
      <c r="A147" s="15" t="s">
        <v>498</v>
      </c>
      <c r="B147" s="56">
        <v>0</v>
      </c>
      <c r="C147" s="56"/>
      <c r="D147" s="50">
        <f>'377'!G5</f>
        <v>0.34399999999993724</v>
      </c>
      <c r="E147" s="66">
        <v>377</v>
      </c>
    </row>
    <row r="148" spans="1:5" ht="26.25">
      <c r="A148" s="11" t="s">
        <v>108</v>
      </c>
      <c r="B148" s="56">
        <v>3.199847169811335</v>
      </c>
      <c r="C148" s="56"/>
      <c r="D148" s="50">
        <f>B148+C148+'360'!G6</f>
        <v>2.1598971698113374</v>
      </c>
      <c r="E148" s="35" t="s">
        <v>465</v>
      </c>
    </row>
    <row r="149" spans="1:5" ht="26.25">
      <c r="A149" s="11" t="s">
        <v>954</v>
      </c>
      <c r="B149" s="56">
        <v>0</v>
      </c>
      <c r="C149" s="56"/>
      <c r="D149" s="50">
        <f>'555'!G10</f>
        <v>69.5679999999993</v>
      </c>
      <c r="E149" s="65">
        <v>555</v>
      </c>
    </row>
    <row r="150" spans="1:5" ht="26.25">
      <c r="A150" s="15" t="s">
        <v>109</v>
      </c>
      <c r="B150" s="56">
        <v>-4.555964179104478</v>
      </c>
      <c r="C150" s="56"/>
      <c r="D150" s="50">
        <f>B150+C150</f>
        <v>-4.555964179104478</v>
      </c>
      <c r="E150" s="34">
        <v>266</v>
      </c>
    </row>
    <row r="151" spans="1:5" ht="26.25">
      <c r="A151" s="15" t="s">
        <v>756</v>
      </c>
      <c r="B151" s="56"/>
      <c r="C151" s="56"/>
      <c r="D151" s="50">
        <f>'485'!G5+'489'!G8+'603'!G8</f>
        <v>-0.0873999999996613</v>
      </c>
      <c r="E151" s="65" t="s">
        <v>1142</v>
      </c>
    </row>
    <row r="152" spans="1:5" ht="26.25">
      <c r="A152" s="15" t="s">
        <v>732</v>
      </c>
      <c r="B152" s="56">
        <v>0</v>
      </c>
      <c r="C152" s="56"/>
      <c r="D152" s="50">
        <f>'474'!G9+'481'!G5</f>
        <v>0.37140000000010787</v>
      </c>
      <c r="E152" s="65" t="s">
        <v>750</v>
      </c>
    </row>
    <row r="153" spans="1:5" ht="26.25">
      <c r="A153" s="15" t="s">
        <v>878</v>
      </c>
      <c r="B153" s="56">
        <v>0</v>
      </c>
      <c r="C153" s="56"/>
      <c r="D153" s="50">
        <f>'532'!G6</f>
        <v>0.06199999999967076</v>
      </c>
      <c r="E153" s="65">
        <v>532</v>
      </c>
    </row>
    <row r="154" spans="1:5" ht="60">
      <c r="A154" s="11" t="s">
        <v>110</v>
      </c>
      <c r="B154" s="56">
        <v>-4.366967818880823</v>
      </c>
      <c r="C154" s="56"/>
      <c r="D154" s="50">
        <f>B154+C154+'309'!G4+'316'!G4+'319'!G4+'339'!G9+'340'!G4+'372'!G7+'381'!G4+'391'!G7+'404'!G6+'411'!G4+'412'!G8+'416'!G4+'429'!G4+'485'!G4+'522'!G5+'537'!G7</f>
        <v>-0.4977958530684532</v>
      </c>
      <c r="E154" s="30" t="s">
        <v>890</v>
      </c>
    </row>
    <row r="155" spans="1:5" ht="26.25">
      <c r="A155" s="11" t="s">
        <v>111</v>
      </c>
      <c r="B155" s="56">
        <v>10.616140298507503</v>
      </c>
      <c r="C155" s="56"/>
      <c r="D155" s="50">
        <f>B155+C155</f>
        <v>10.616140298507503</v>
      </c>
      <c r="E155" s="30">
        <v>100</v>
      </c>
    </row>
    <row r="156" spans="1:5" ht="26.25">
      <c r="A156" s="11" t="s">
        <v>112</v>
      </c>
      <c r="B156" s="56">
        <v>6.308341883116952</v>
      </c>
      <c r="C156" s="56"/>
      <c r="D156" s="50">
        <f>B156+C156</f>
        <v>6.308341883116952</v>
      </c>
      <c r="E156" s="30" t="s">
        <v>113</v>
      </c>
    </row>
    <row r="157" spans="1:5" ht="26.25">
      <c r="A157" s="11" t="s">
        <v>114</v>
      </c>
      <c r="B157" s="56">
        <v>-0.07709664603362398</v>
      </c>
      <c r="C157" s="56"/>
      <c r="D157" s="50">
        <f>B157+C157</f>
        <v>-0.07709664603362398</v>
      </c>
      <c r="E157" s="30" t="s">
        <v>115</v>
      </c>
    </row>
    <row r="158" spans="1:5" ht="26.25">
      <c r="A158" s="11" t="s">
        <v>721</v>
      </c>
      <c r="B158" s="56">
        <v>0</v>
      </c>
      <c r="C158" s="56"/>
      <c r="D158" s="50">
        <f>'468'!G5+'506'!G4</f>
        <v>-0.1004000000001497</v>
      </c>
      <c r="E158" s="65" t="s">
        <v>800</v>
      </c>
    </row>
    <row r="159" spans="1:5" ht="26.25">
      <c r="A159" s="11" t="s">
        <v>947</v>
      </c>
      <c r="B159" s="56">
        <v>0</v>
      </c>
      <c r="C159" s="56"/>
      <c r="D159" s="50">
        <f>'551'!G8</f>
        <v>0.13380000000006476</v>
      </c>
      <c r="E159" s="65">
        <v>551</v>
      </c>
    </row>
    <row r="160" spans="1:5" ht="26.25">
      <c r="A160" s="11" t="s">
        <v>912</v>
      </c>
      <c r="B160" s="56"/>
      <c r="C160" s="56"/>
      <c r="D160" s="50">
        <f>'542'!G6+'543'!G6</f>
        <v>-0.37100000000003774</v>
      </c>
      <c r="E160" s="65" t="s">
        <v>923</v>
      </c>
    </row>
    <row r="161" spans="1:5" ht="30">
      <c r="A161" s="11" t="s">
        <v>116</v>
      </c>
      <c r="B161" s="56">
        <v>1.518555555555551</v>
      </c>
      <c r="C161" s="56"/>
      <c r="D161" s="50">
        <f>B161+C161+'325'!G9+'328'!G5+'344'!G9+'378'!G7+'384'!G6+'387'!G4+'391'!G9+'399'!G4+'441'!G4+'522'!G4+'526'!G9+'532'!G9</f>
        <v>0.1769409927876211</v>
      </c>
      <c r="E161" s="30" t="s">
        <v>881</v>
      </c>
    </row>
    <row r="162" spans="1:5" ht="26.25">
      <c r="A162" s="15" t="s">
        <v>360</v>
      </c>
      <c r="B162" s="56">
        <v>0</v>
      </c>
      <c r="C162" s="56"/>
      <c r="D162" s="50">
        <f>B162+C162+'321'!G10</f>
        <v>0.0084595959597209</v>
      </c>
      <c r="E162" s="65">
        <v>321</v>
      </c>
    </row>
    <row r="163" spans="1:5" ht="26.25">
      <c r="A163" s="11" t="s">
        <v>117</v>
      </c>
      <c r="B163" s="56">
        <v>-3.9464289962825774</v>
      </c>
      <c r="C163" s="56"/>
      <c r="D163" s="50">
        <f>B163+C163</f>
        <v>-3.9464289962825774</v>
      </c>
      <c r="E163" s="30">
        <v>168</v>
      </c>
    </row>
    <row r="164" spans="1:5" ht="30">
      <c r="A164" s="11" t="s">
        <v>714</v>
      </c>
      <c r="B164" s="56"/>
      <c r="C164" s="56"/>
      <c r="D164" s="50">
        <f>'466'!G4+'541'!G4</f>
        <v>-0.7221999999999298</v>
      </c>
      <c r="E164" s="65" t="s">
        <v>913</v>
      </c>
    </row>
    <row r="165" spans="1:5" ht="26.25">
      <c r="A165" s="15" t="s">
        <v>591</v>
      </c>
      <c r="B165" s="56">
        <v>0</v>
      </c>
      <c r="C165" s="56"/>
      <c r="D165" s="50">
        <f>'412'!G5</f>
        <v>-0.29109999999991487</v>
      </c>
      <c r="E165" s="65">
        <v>412</v>
      </c>
    </row>
    <row r="166" spans="1:5" ht="30">
      <c r="A166" s="15" t="s">
        <v>384</v>
      </c>
      <c r="B166" s="56">
        <v>0</v>
      </c>
      <c r="C166" s="56"/>
      <c r="D166" s="50">
        <f>B166+C166+'327'!G8+'329'!G6+'340'!G8+'345'!G8+'350'!G8+'358'!G4+'359'!G4+'365'!G5+'368'!G4+'371'!G7+'380'!G4+'428'!G7</f>
        <v>3.6328325373834787</v>
      </c>
      <c r="E166" s="65" t="s">
        <v>634</v>
      </c>
    </row>
    <row r="167" spans="1:5" ht="26.25">
      <c r="A167" s="15" t="s">
        <v>1039</v>
      </c>
      <c r="B167" s="56">
        <v>0</v>
      </c>
      <c r="C167" s="56"/>
      <c r="D167" s="50">
        <f>'579'!G6</f>
        <v>0.020000000000436557</v>
      </c>
      <c r="E167" s="65">
        <v>579</v>
      </c>
    </row>
    <row r="168" spans="1:5" ht="26.25">
      <c r="A168" s="11" t="s">
        <v>118</v>
      </c>
      <c r="B168" s="56">
        <v>-0.49707272331679064</v>
      </c>
      <c r="C168" s="56"/>
      <c r="D168" s="50">
        <f>B168+C168</f>
        <v>-0.49707272331679064</v>
      </c>
      <c r="E168" s="30" t="s">
        <v>119</v>
      </c>
    </row>
    <row r="169" spans="1:5" ht="26.25">
      <c r="A169" s="11" t="s">
        <v>1042</v>
      </c>
      <c r="B169" s="56">
        <v>0</v>
      </c>
      <c r="C169" s="56"/>
      <c r="D169" s="50">
        <f>'580'!G6</f>
        <v>0.416499999999985</v>
      </c>
      <c r="E169" s="65">
        <v>580</v>
      </c>
    </row>
    <row r="170" spans="1:5" ht="26.25">
      <c r="A170" s="11" t="s">
        <v>930</v>
      </c>
      <c r="B170" s="56">
        <v>0</v>
      </c>
      <c r="C170" s="56"/>
      <c r="D170" s="50">
        <f>'545'!G10</f>
        <v>-0.14959999999996398</v>
      </c>
      <c r="E170" s="65">
        <v>545</v>
      </c>
    </row>
    <row r="171" spans="1:5" ht="45">
      <c r="A171" s="37" t="s">
        <v>120</v>
      </c>
      <c r="B171" s="56">
        <v>276.8983997615073</v>
      </c>
      <c r="C171" s="56"/>
      <c r="D171" s="50">
        <f>B171+C171+'315'!G4+'480'!G5+'501'!G4+'525'!G5+'526'!G7+'531'!G9+'532'!G11+'536'!G6+'541'!G7+'545'!G8+'547'!G4+'572'!G6+'578'!G5+'592'!G7+'596'!G6</f>
        <v>-0.06666023849152225</v>
      </c>
      <c r="E171" s="30" t="s">
        <v>1102</v>
      </c>
    </row>
    <row r="172" spans="1:5" ht="26.25">
      <c r="A172" s="11" t="s">
        <v>121</v>
      </c>
      <c r="B172" s="56">
        <v>11.392819046823462</v>
      </c>
      <c r="C172" s="56"/>
      <c r="D172" s="50">
        <f>B172+C172+'555'!G7+'556'!G5+'576'!G5</f>
        <v>0.49427904682355006</v>
      </c>
      <c r="E172" s="30" t="s">
        <v>1027</v>
      </c>
    </row>
    <row r="173" spans="1:5" ht="26.25">
      <c r="A173" s="11" t="s">
        <v>803</v>
      </c>
      <c r="B173" s="56">
        <v>0</v>
      </c>
      <c r="C173" s="56"/>
      <c r="D173" s="50">
        <f>'507'!G7</f>
        <v>0.03199999999992542</v>
      </c>
      <c r="E173" s="30">
        <v>507</v>
      </c>
    </row>
    <row r="174" spans="1:5" ht="26.25">
      <c r="A174" s="11" t="s">
        <v>122</v>
      </c>
      <c r="B174" s="56">
        <v>-11.810529411764662</v>
      </c>
      <c r="C174" s="56"/>
      <c r="D174" s="50">
        <f>B174+C174+'528'!G8</f>
        <v>-0.47762941176461027</v>
      </c>
      <c r="E174" s="30" t="s">
        <v>868</v>
      </c>
    </row>
    <row r="175" spans="1:5" ht="26.25">
      <c r="A175" s="11" t="s">
        <v>123</v>
      </c>
      <c r="B175" s="56">
        <v>0.048184257153934595</v>
      </c>
      <c r="C175" s="56"/>
      <c r="D175" s="50">
        <f>B175+C175</f>
        <v>0.048184257153934595</v>
      </c>
      <c r="E175" s="30" t="s">
        <v>124</v>
      </c>
    </row>
    <row r="176" spans="1:5" ht="26.25">
      <c r="A176" s="11" t="s">
        <v>125</v>
      </c>
      <c r="B176" s="56">
        <v>0.4382749077490189</v>
      </c>
      <c r="C176" s="56"/>
      <c r="D176" s="50">
        <f>B176+C176</f>
        <v>0.4382749077490189</v>
      </c>
      <c r="E176" s="30">
        <v>118</v>
      </c>
    </row>
    <row r="177" spans="1:5" ht="30">
      <c r="A177" s="15" t="s">
        <v>315</v>
      </c>
      <c r="B177" s="56">
        <v>0</v>
      </c>
      <c r="C177" s="56"/>
      <c r="D177" s="50">
        <f>B177+C177+'304'!G9+'309'!G7+'372'!G4+'399'!G5+'412'!G6+'421'!G8+'537'!G11+'544'!G6+'547'!G5+'572'!G12</f>
        <v>-0.41757607522788476</v>
      </c>
      <c r="E177" s="65" t="s">
        <v>1013</v>
      </c>
    </row>
    <row r="178" spans="1:5" ht="26.25">
      <c r="A178" s="15" t="s">
        <v>1044</v>
      </c>
      <c r="B178" s="56">
        <v>0</v>
      </c>
      <c r="C178" s="56"/>
      <c r="D178" s="50">
        <f>'580'!G9</f>
        <v>0.28909999999996217</v>
      </c>
      <c r="E178" s="65">
        <v>580</v>
      </c>
    </row>
    <row r="179" spans="1:5" ht="26.25">
      <c r="A179" s="15" t="s">
        <v>126</v>
      </c>
      <c r="B179" s="56">
        <v>-78.1587402672501</v>
      </c>
      <c r="C179" s="56">
        <f>'301'!G5</f>
        <v>78.0079176706829</v>
      </c>
      <c r="D179" s="50">
        <f>B179+C179+'302'!G10+'303'!G6+'345'!G6</f>
        <v>1.9339494597380167</v>
      </c>
      <c r="E179" s="30" t="s">
        <v>420</v>
      </c>
    </row>
    <row r="180" spans="1:5" ht="26.25">
      <c r="A180" s="11" t="s">
        <v>127</v>
      </c>
      <c r="B180" s="56">
        <v>7.028458140704686</v>
      </c>
      <c r="C180" s="56"/>
      <c r="D180" s="50">
        <f aca="true" t="shared" si="0" ref="D180:D185">B180+C180</f>
        <v>7.028458140704686</v>
      </c>
      <c r="E180" s="30" t="s">
        <v>128</v>
      </c>
    </row>
    <row r="181" spans="1:5" ht="26.25">
      <c r="A181" s="11" t="s">
        <v>129</v>
      </c>
      <c r="B181" s="56">
        <v>1.584196226415088</v>
      </c>
      <c r="C181" s="56"/>
      <c r="D181" s="50">
        <f t="shared" si="0"/>
        <v>1.584196226415088</v>
      </c>
      <c r="E181" s="30">
        <v>93</v>
      </c>
    </row>
    <row r="182" spans="1:5" ht="26.25">
      <c r="A182" s="11" t="s">
        <v>130</v>
      </c>
      <c r="B182" s="56">
        <v>-0.4780134577816284</v>
      </c>
      <c r="C182" s="56"/>
      <c r="D182" s="50">
        <f>B182+C182+'450'!G5+'456'!G4+'476'!G10+'505'!G7</f>
        <v>-0.4395134577816293</v>
      </c>
      <c r="E182" s="30" t="s">
        <v>799</v>
      </c>
    </row>
    <row r="183" spans="1:5" ht="26.25">
      <c r="A183" s="11" t="s">
        <v>131</v>
      </c>
      <c r="B183" s="56">
        <v>-0.6350263094968795</v>
      </c>
      <c r="C183" s="56"/>
      <c r="D183" s="50">
        <f t="shared" si="0"/>
        <v>-0.6350263094968795</v>
      </c>
      <c r="E183" s="30" t="s">
        <v>132</v>
      </c>
    </row>
    <row r="184" spans="1:5" ht="26.25">
      <c r="A184" s="11" t="s">
        <v>133</v>
      </c>
      <c r="B184" s="56">
        <v>-8.383227509293675</v>
      </c>
      <c r="C184" s="56"/>
      <c r="D184" s="50">
        <f t="shared" si="0"/>
        <v>-8.383227509293675</v>
      </c>
      <c r="E184" s="30" t="s">
        <v>134</v>
      </c>
    </row>
    <row r="185" spans="1:5" ht="26.25">
      <c r="A185" s="11" t="s">
        <v>135</v>
      </c>
      <c r="B185" s="56">
        <v>6.280155555555552</v>
      </c>
      <c r="C185" s="56"/>
      <c r="D185" s="50">
        <f t="shared" si="0"/>
        <v>6.280155555555552</v>
      </c>
      <c r="E185" s="30">
        <v>101</v>
      </c>
    </row>
    <row r="186" spans="1:5" ht="30">
      <c r="A186" s="11" t="s">
        <v>139</v>
      </c>
      <c r="B186" s="56">
        <v>55.954129201694286</v>
      </c>
      <c r="C186" s="56"/>
      <c r="D186" s="50">
        <f>B186+C186+'368'!G5+'402'!G4+'427'!G7+'480'!G6+'543'!G5+'555'!G4</f>
        <v>0.27070920169433066</v>
      </c>
      <c r="E186" s="30" t="s">
        <v>958</v>
      </c>
    </row>
    <row r="187" spans="1:5" ht="26.25">
      <c r="A187" s="11" t="s">
        <v>683</v>
      </c>
      <c r="B187" s="56">
        <v>0</v>
      </c>
      <c r="C187" s="56"/>
      <c r="D187" s="50">
        <f>'448'!G11</f>
        <v>0.2518999999999778</v>
      </c>
      <c r="E187" s="65">
        <v>448</v>
      </c>
    </row>
    <row r="188" spans="1:5" ht="26.25">
      <c r="A188" s="11" t="s">
        <v>140</v>
      </c>
      <c r="B188" s="56">
        <v>10.818517269076324</v>
      </c>
      <c r="C188" s="56"/>
      <c r="D188" s="50">
        <f>B188+C188</f>
        <v>10.818517269076324</v>
      </c>
      <c r="E188" s="30">
        <v>286</v>
      </c>
    </row>
    <row r="189" spans="1:5" ht="26.25">
      <c r="A189" s="11" t="s">
        <v>136</v>
      </c>
      <c r="B189" s="56">
        <v>-5.388604477611921</v>
      </c>
      <c r="C189" s="56"/>
      <c r="D189" s="50">
        <f>B189+C189</f>
        <v>-5.388604477611921</v>
      </c>
      <c r="E189" s="30">
        <v>233</v>
      </c>
    </row>
    <row r="190" spans="1:5" ht="21" customHeight="1">
      <c r="A190" s="11" t="s">
        <v>137</v>
      </c>
      <c r="B190" s="56">
        <v>-0.39928252788115515</v>
      </c>
      <c r="C190" s="56"/>
      <c r="D190" s="50">
        <f>B190+C190+'323'!G4</f>
        <v>22.62783366645101</v>
      </c>
      <c r="E190" s="30" t="s">
        <v>368</v>
      </c>
    </row>
    <row r="191" spans="1:5" ht="26.25">
      <c r="A191" s="15" t="s">
        <v>442</v>
      </c>
      <c r="B191" s="56">
        <v>0</v>
      </c>
      <c r="C191" s="56"/>
      <c r="D191" s="50">
        <f>B191+C191+'353'!G4+'557'!G7</f>
        <v>-0.40688000000019997</v>
      </c>
      <c r="E191" s="65" t="s">
        <v>968</v>
      </c>
    </row>
    <row r="192" spans="1:5" ht="26.25">
      <c r="A192" s="15" t="s">
        <v>904</v>
      </c>
      <c r="B192" s="56">
        <v>0</v>
      </c>
      <c r="C192" s="56"/>
      <c r="D192" s="50">
        <f>'540'!G9+'550'!G4+'579'!G7+'592'!G6</f>
        <v>-0.031600000000139516</v>
      </c>
      <c r="E192" s="65" t="s">
        <v>1083</v>
      </c>
    </row>
    <row r="193" spans="1:5" ht="26.25">
      <c r="A193" s="11" t="s">
        <v>141</v>
      </c>
      <c r="B193" s="56">
        <v>1.4661223880596026</v>
      </c>
      <c r="C193" s="56"/>
      <c r="D193" s="50">
        <f>B193+C193</f>
        <v>1.4661223880596026</v>
      </c>
      <c r="E193" s="30">
        <v>257</v>
      </c>
    </row>
    <row r="194" spans="1:5" ht="26.25">
      <c r="A194" s="15" t="s">
        <v>641</v>
      </c>
      <c r="B194" s="56">
        <v>0</v>
      </c>
      <c r="C194" s="56"/>
      <c r="D194" s="50">
        <f>'432'!G7+'436'!G7+'439'!G8+'440'!G7</f>
        <v>-0.3074000000003707</v>
      </c>
      <c r="E194" s="65" t="s">
        <v>662</v>
      </c>
    </row>
    <row r="195" spans="1:5" ht="26.25">
      <c r="A195" s="15" t="s">
        <v>760</v>
      </c>
      <c r="B195" s="56"/>
      <c r="C195" s="56"/>
      <c r="D195" s="50">
        <f>'486'!G7+'554'!G4</f>
        <v>0.3524000000001024</v>
      </c>
      <c r="E195" s="65" t="s">
        <v>955</v>
      </c>
    </row>
    <row r="196" spans="1:5" ht="26.25">
      <c r="A196" s="15" t="s">
        <v>614</v>
      </c>
      <c r="B196" s="56">
        <v>0</v>
      </c>
      <c r="C196" s="56"/>
      <c r="D196" s="50">
        <f>'423'!G7+'485'!G11+'583'!G7+'602'!G9</f>
        <v>0.02770000000066375</v>
      </c>
      <c r="E196" s="65" t="s">
        <v>1131</v>
      </c>
    </row>
    <row r="197" spans="1:5" ht="26.25">
      <c r="A197" s="15" t="s">
        <v>723</v>
      </c>
      <c r="B197" s="56">
        <v>0</v>
      </c>
      <c r="C197" s="56"/>
      <c r="D197" s="50">
        <f>'469'!G6+'564'!G8+'565'!G7</f>
        <v>0.41279999999960637</v>
      </c>
      <c r="E197" s="65" t="s">
        <v>996</v>
      </c>
    </row>
    <row r="198" spans="1:5" ht="26.25">
      <c r="A198" s="11" t="s">
        <v>138</v>
      </c>
      <c r="B198" s="56">
        <v>-0.3834220700151434</v>
      </c>
      <c r="C198" s="56"/>
      <c r="D198" s="50">
        <f>B198+C198+'545'!G9+'554'!G5</f>
        <v>0.06537792998486225</v>
      </c>
      <c r="E198" s="30" t="s">
        <v>956</v>
      </c>
    </row>
    <row r="199" spans="1:5" ht="26.25">
      <c r="A199" s="15" t="s">
        <v>332</v>
      </c>
      <c r="B199" s="56">
        <v>0</v>
      </c>
      <c r="C199" s="56"/>
      <c r="D199" s="50">
        <f>B199+C199+'309'!G8</f>
        <v>0.03692307692313079</v>
      </c>
      <c r="E199" s="30">
        <v>309</v>
      </c>
    </row>
    <row r="200" spans="1:5" ht="36" customHeight="1">
      <c r="A200" s="11" t="s">
        <v>142</v>
      </c>
      <c r="B200" s="56">
        <v>67.12060487458155</v>
      </c>
      <c r="C200" s="56"/>
      <c r="D200" s="50">
        <f>B200+C200+'304'!G10+'341'!G6+'370'!G5+'389'!G6+'422'!G5+'427'!G10+'438'!G4+'460'!G6+'528'!G7+'576'!G11</f>
        <v>0.19653733951054164</v>
      </c>
      <c r="E200" s="30" t="s">
        <v>1029</v>
      </c>
    </row>
    <row r="201" spans="1:5" ht="36" customHeight="1">
      <c r="A201" s="11" t="s">
        <v>1001</v>
      </c>
      <c r="B201" s="56">
        <v>0</v>
      </c>
      <c r="C201" s="56"/>
      <c r="D201" s="50">
        <f>'569'!G7</f>
        <v>0.047000000000025466</v>
      </c>
      <c r="E201" s="30">
        <v>569</v>
      </c>
    </row>
    <row r="202" spans="1:5" ht="26.25">
      <c r="A202" s="11" t="s">
        <v>143</v>
      </c>
      <c r="B202" s="56">
        <v>-0.19630474308291923</v>
      </c>
      <c r="C202" s="56"/>
      <c r="D202" s="50">
        <f>B202+C202</f>
        <v>-0.19630474308291923</v>
      </c>
      <c r="E202" s="30">
        <v>256</v>
      </c>
    </row>
    <row r="203" spans="1:5" ht="26.25">
      <c r="A203" s="11" t="s">
        <v>144</v>
      </c>
      <c r="B203" s="56">
        <v>-0.7417588235293806</v>
      </c>
      <c r="C203" s="56"/>
      <c r="D203" s="50">
        <f>B203+C203</f>
        <v>-0.7417588235293806</v>
      </c>
      <c r="E203" s="30" t="s">
        <v>145</v>
      </c>
    </row>
    <row r="204" spans="1:5" ht="26.25">
      <c r="A204" s="11" t="s">
        <v>844</v>
      </c>
      <c r="B204" s="56">
        <v>0</v>
      </c>
      <c r="C204" s="56"/>
      <c r="D204" s="50">
        <f>'522'!G7</f>
        <v>0.15050000000002228</v>
      </c>
      <c r="E204" s="30">
        <v>522</v>
      </c>
    </row>
    <row r="205" spans="1:5" ht="26.25">
      <c r="A205" s="15" t="s">
        <v>525</v>
      </c>
      <c r="B205" s="56">
        <v>0</v>
      </c>
      <c r="C205" s="56"/>
      <c r="D205" s="50">
        <f>'388'!G4+'413'!G5+'427'!G5+'428'!G6+'560'!G7+'561'!G4+'564'!G4</f>
        <v>0.6078799999989428</v>
      </c>
      <c r="E205" s="65" t="s">
        <v>990</v>
      </c>
    </row>
    <row r="206" spans="1:5" ht="30">
      <c r="A206" s="11" t="s">
        <v>146</v>
      </c>
      <c r="B206" s="56">
        <v>-0.01558294008663097</v>
      </c>
      <c r="C206" s="56"/>
      <c r="D206" s="50">
        <f>B206+C206</f>
        <v>-0.01558294008663097</v>
      </c>
      <c r="E206" s="30" t="s">
        <v>147</v>
      </c>
    </row>
    <row r="207" spans="1:5" ht="26.25">
      <c r="A207" s="11" t="s">
        <v>148</v>
      </c>
      <c r="B207" s="56">
        <v>-8.840845724907012</v>
      </c>
      <c r="C207" s="56"/>
      <c r="D207" s="50">
        <f>B207+C207</f>
        <v>-8.840845724907012</v>
      </c>
      <c r="E207" s="30">
        <v>233</v>
      </c>
    </row>
    <row r="208" spans="1:5" ht="26.25">
      <c r="A208" s="15" t="s">
        <v>537</v>
      </c>
      <c r="B208" s="56">
        <v>0</v>
      </c>
      <c r="C208" s="56"/>
      <c r="D208" s="50">
        <f>B208+C208+'392'!G7</f>
        <v>-0.401800000000037</v>
      </c>
      <c r="E208" s="65">
        <v>392</v>
      </c>
    </row>
    <row r="209" spans="1:5" ht="26.25">
      <c r="A209" s="11" t="s">
        <v>149</v>
      </c>
      <c r="B209" s="56">
        <v>1.2350052324831324</v>
      </c>
      <c r="C209" s="56"/>
      <c r="D209" s="50">
        <f>B209+C209+'342'!G4+'353'!G5+'477'!G9</f>
        <v>-0.32365476751678557</v>
      </c>
      <c r="E209" s="30" t="s">
        <v>744</v>
      </c>
    </row>
    <row r="210" spans="1:5" ht="26.25">
      <c r="A210" s="11" t="s">
        <v>150</v>
      </c>
      <c r="B210" s="56">
        <v>2.7318253704390543</v>
      </c>
      <c r="C210" s="56"/>
      <c r="D210" s="50">
        <f>B210+C210+'353'!G7</f>
        <v>-7.754334629560958</v>
      </c>
      <c r="E210" s="30" t="s">
        <v>443</v>
      </c>
    </row>
    <row r="211" spans="1:5" ht="26.25">
      <c r="A211" s="11" t="s">
        <v>682</v>
      </c>
      <c r="B211" s="56">
        <v>0</v>
      </c>
      <c r="C211" s="56"/>
      <c r="D211" s="50">
        <f>'448'!G10+'476'!G11+'480'!G10+'598'!G4</f>
        <v>-0.15569999999956963</v>
      </c>
      <c r="E211" s="65" t="s">
        <v>1113</v>
      </c>
    </row>
    <row r="212" spans="1:5" ht="26.25">
      <c r="A212" s="15" t="s">
        <v>407</v>
      </c>
      <c r="B212" s="56">
        <v>0</v>
      </c>
      <c r="C212" s="56"/>
      <c r="D212" s="50">
        <f>B212+C212+'340'!G5+'436'!G10</f>
        <v>0.49820000000022446</v>
      </c>
      <c r="E212" s="65" t="s">
        <v>654</v>
      </c>
    </row>
    <row r="213" spans="1:5" ht="45">
      <c r="A213" s="11" t="s">
        <v>151</v>
      </c>
      <c r="B213" s="56">
        <v>46.22906284289732</v>
      </c>
      <c r="C213" s="56"/>
      <c r="D213" s="50">
        <f>B213+C213+'310'!G4+'408'!G4+'494'!G4+'517'!G7+'580'!G7</f>
        <v>0.36014802808270474</v>
      </c>
      <c r="E213" s="30" t="s">
        <v>1047</v>
      </c>
    </row>
    <row r="214" spans="1:5" ht="26.25">
      <c r="A214" s="11" t="s">
        <v>1024</v>
      </c>
      <c r="B214" s="56">
        <v>0</v>
      </c>
      <c r="C214" s="56"/>
      <c r="D214" s="50">
        <f>'576'!G4</f>
        <v>-0.03199999999992542</v>
      </c>
      <c r="E214" s="65">
        <v>576</v>
      </c>
    </row>
    <row r="215" spans="1:5" ht="26.25">
      <c r="A215" s="11" t="s">
        <v>152</v>
      </c>
      <c r="B215" s="56">
        <v>0.06681868215576969</v>
      </c>
      <c r="C215" s="56"/>
      <c r="D215" s="50">
        <f>B215+C215</f>
        <v>0.06681868215576969</v>
      </c>
      <c r="E215" s="30" t="s">
        <v>153</v>
      </c>
    </row>
    <row r="216" spans="1:5" ht="25.5">
      <c r="A216" s="11" t="s">
        <v>905</v>
      </c>
      <c r="B216" s="56">
        <v>0</v>
      </c>
      <c r="C216" s="56"/>
      <c r="D216" s="50">
        <f>'540'!G10+'555'!G6</f>
        <v>-0.1813999999999396</v>
      </c>
      <c r="E216" s="65" t="s">
        <v>959</v>
      </c>
    </row>
    <row r="217" spans="1:5" ht="25.5">
      <c r="A217" s="15" t="s">
        <v>523</v>
      </c>
      <c r="B217" s="56">
        <v>0</v>
      </c>
      <c r="C217" s="56"/>
      <c r="D217" s="50">
        <f>'387'!G10</f>
        <v>-0.30570000000000164</v>
      </c>
      <c r="E217" s="65">
        <v>387</v>
      </c>
    </row>
    <row r="218" spans="1:5" ht="25.5">
      <c r="A218" s="11" t="s">
        <v>154</v>
      </c>
      <c r="B218" s="56">
        <v>-3.92491413116943</v>
      </c>
      <c r="C218" s="56"/>
      <c r="D218" s="50">
        <f>B218+C218+'302'!G5+'320'!G8+'371'!G6+'407'!G8+'408'!G5+'411'!G9+'448'!G5</f>
        <v>0.09012614953923048</v>
      </c>
      <c r="E218" s="30" t="s">
        <v>684</v>
      </c>
    </row>
    <row r="219" spans="1:5" ht="25.5">
      <c r="A219" s="11" t="s">
        <v>1138</v>
      </c>
      <c r="B219" s="56">
        <v>0</v>
      </c>
      <c r="C219" s="56"/>
      <c r="D219" s="50">
        <f>'603'!G10</f>
        <v>0.21900000000005093</v>
      </c>
      <c r="E219" s="65">
        <v>603</v>
      </c>
    </row>
    <row r="220" spans="1:5" ht="25.5">
      <c r="A220" s="11" t="s">
        <v>155</v>
      </c>
      <c r="B220" s="56">
        <v>-1.1178249070632091</v>
      </c>
      <c r="C220" s="56"/>
      <c r="D220" s="50">
        <f>B220+C220</f>
        <v>-1.1178249070632091</v>
      </c>
      <c r="E220" s="30">
        <v>281</v>
      </c>
    </row>
    <row r="221" spans="1:5" ht="25.5">
      <c r="A221" s="11" t="s">
        <v>156</v>
      </c>
      <c r="B221" s="56">
        <v>-0.11297899728236871</v>
      </c>
      <c r="C221" s="56"/>
      <c r="D221" s="50">
        <f>B221+C221+'344'!G10+'347'!G8+'403'!G5+'486'!G8+'592'!G4+'597'!G4</f>
        <v>-2696.313178997282</v>
      </c>
      <c r="E221" s="38" t="s">
        <v>1109</v>
      </c>
    </row>
    <row r="222" spans="1:5" ht="25.5">
      <c r="A222" s="11" t="s">
        <v>157</v>
      </c>
      <c r="B222" s="56">
        <v>0.6968857142857701</v>
      </c>
      <c r="C222" s="56"/>
      <c r="D222" s="50">
        <f>B222+C222</f>
        <v>0.6968857142857701</v>
      </c>
      <c r="E222" s="30">
        <v>109</v>
      </c>
    </row>
    <row r="223" spans="1:5" ht="31.5">
      <c r="A223" s="11" t="s">
        <v>640</v>
      </c>
      <c r="B223" s="56">
        <v>0</v>
      </c>
      <c r="C223" s="56"/>
      <c r="D223" s="50">
        <f>'432'!G6+'440'!G5+'444'!G5+'454'!G6+'457'!G6+'462'!G5+'466'!G8+'469'!G7+'475'!G7+'477'!G8+'500'!G7+'507'!G8+'534'!G6+'584'!G5+'590'!G7</f>
        <v>-0.11998000000016873</v>
      </c>
      <c r="E223" s="65" t="s">
        <v>1080</v>
      </c>
    </row>
    <row r="224" spans="1:5" ht="25.5">
      <c r="A224" s="15" t="s">
        <v>305</v>
      </c>
      <c r="B224" s="56">
        <v>0</v>
      </c>
      <c r="C224" s="56"/>
      <c r="D224" s="50">
        <f>'302'!G6</f>
        <v>-89.55660160965806</v>
      </c>
      <c r="E224" s="30">
        <v>302</v>
      </c>
    </row>
    <row r="225" spans="1:5" ht="25.5">
      <c r="A225" s="15" t="s">
        <v>689</v>
      </c>
      <c r="B225" s="56">
        <v>0</v>
      </c>
      <c r="C225" s="56"/>
      <c r="D225" s="50">
        <f>'453'!G6</f>
        <v>0.43349999999963984</v>
      </c>
      <c r="E225" s="65">
        <v>453</v>
      </c>
    </row>
    <row r="226" spans="1:5" ht="25.5">
      <c r="A226" s="15" t="s">
        <v>885</v>
      </c>
      <c r="B226" s="56">
        <v>0</v>
      </c>
      <c r="C226" s="56"/>
      <c r="D226" s="50">
        <f>'535'!G9</f>
        <v>-0.4687999999996464</v>
      </c>
      <c r="E226" s="65">
        <v>535</v>
      </c>
    </row>
    <row r="227" spans="1:5" ht="25.5">
      <c r="A227" s="15" t="s">
        <v>346</v>
      </c>
      <c r="B227" s="56">
        <v>0</v>
      </c>
      <c r="C227" s="56"/>
      <c r="D227" s="50">
        <f>B227+C227+'315'!G5+'316'!G6+'357'!G9</f>
        <v>-2.051069999999953</v>
      </c>
      <c r="E227" s="65" t="s">
        <v>460</v>
      </c>
    </row>
    <row r="228" spans="1:5" ht="25.5">
      <c r="A228" s="15" t="s">
        <v>496</v>
      </c>
      <c r="B228" s="56">
        <v>0</v>
      </c>
      <c r="C228" s="56"/>
      <c r="D228" s="50">
        <f>'376'!G5+'474'!G7</f>
        <v>0.31799999999998363</v>
      </c>
      <c r="E228" s="65" t="s">
        <v>735</v>
      </c>
    </row>
    <row r="229" spans="1:5" ht="25.5">
      <c r="A229" s="15" t="s">
        <v>472</v>
      </c>
      <c r="B229" s="56">
        <v>0</v>
      </c>
      <c r="C229" s="56"/>
      <c r="D229" s="50">
        <f>'363'!G6+'369'!G12</f>
        <v>-3.5511999999998807</v>
      </c>
      <c r="E229" s="65" t="s">
        <v>484</v>
      </c>
    </row>
    <row r="230" spans="1:5" ht="25.5">
      <c r="A230" s="11" t="s">
        <v>158</v>
      </c>
      <c r="B230" s="56">
        <v>10.454676935327228</v>
      </c>
      <c r="C230" s="56"/>
      <c r="D230" s="50">
        <f>B230+C230+'518'!G4</f>
        <v>8.512976935327373</v>
      </c>
      <c r="E230" s="30" t="s">
        <v>837</v>
      </c>
    </row>
    <row r="231" spans="1:5" ht="25.5">
      <c r="A231" s="11" t="s">
        <v>159</v>
      </c>
      <c r="B231" s="56">
        <v>-0.3081432310312948</v>
      </c>
      <c r="C231" s="56"/>
      <c r="D231" s="50">
        <f>B231+C231</f>
        <v>-0.3081432310312948</v>
      </c>
      <c r="E231" s="30" t="s">
        <v>160</v>
      </c>
    </row>
    <row r="232" spans="1:5" ht="25.5">
      <c r="A232" s="11" t="s">
        <v>161</v>
      </c>
      <c r="B232" s="56">
        <v>-7.43786700083524</v>
      </c>
      <c r="C232" s="56"/>
      <c r="D232" s="50">
        <f>B232+C232</f>
        <v>-7.43786700083524</v>
      </c>
      <c r="E232" s="30" t="s">
        <v>162</v>
      </c>
    </row>
    <row r="233" spans="1:5" ht="25.5">
      <c r="A233" s="11" t="s">
        <v>753</v>
      </c>
      <c r="B233" s="56"/>
      <c r="C233" s="56"/>
      <c r="D233" s="50">
        <f>'483'!G4</f>
        <v>-0.33899999999999864</v>
      </c>
      <c r="E233" s="65">
        <v>483</v>
      </c>
    </row>
    <row r="234" spans="1:5" ht="25.5">
      <c r="A234" s="11" t="s">
        <v>772</v>
      </c>
      <c r="B234" s="56"/>
      <c r="C234" s="56"/>
      <c r="D234" s="50">
        <f>'490'!G6</f>
        <v>-0.22440000000005966</v>
      </c>
      <c r="E234" s="65">
        <v>490</v>
      </c>
    </row>
    <row r="235" spans="1:5" ht="25.5">
      <c r="A235" s="11" t="s">
        <v>731</v>
      </c>
      <c r="B235" s="56">
        <v>0</v>
      </c>
      <c r="C235" s="56"/>
      <c r="D235" s="50">
        <f>'474'!G5</f>
        <v>-0.07200000000000273</v>
      </c>
      <c r="E235" s="65">
        <v>474</v>
      </c>
    </row>
    <row r="236" spans="1:5" ht="25.5">
      <c r="A236" s="11" t="s">
        <v>163</v>
      </c>
      <c r="B236" s="56">
        <v>0.4351999999998952</v>
      </c>
      <c r="C236" s="56"/>
      <c r="D236" s="50">
        <f>B236+C236</f>
        <v>0.4351999999998952</v>
      </c>
      <c r="E236" s="30">
        <v>171</v>
      </c>
    </row>
    <row r="237" spans="1:5" ht="25.5">
      <c r="A237" s="11" t="s">
        <v>164</v>
      </c>
      <c r="B237" s="56">
        <v>3.036188764045164</v>
      </c>
      <c r="C237" s="56"/>
      <c r="D237" s="50">
        <f>B237+C237+'497'!G5</f>
        <v>-0.07981123595482131</v>
      </c>
      <c r="E237" s="30" t="s">
        <v>782</v>
      </c>
    </row>
    <row r="238" spans="1:5" ht="33.75" customHeight="1">
      <c r="A238" s="11" t="s">
        <v>373</v>
      </c>
      <c r="B238" s="56">
        <v>0</v>
      </c>
      <c r="C238" s="56"/>
      <c r="D238" s="50">
        <f>B238+C238+'325'!G10+'327'!G7+'338'!G6+'346'!G5+'349'!G4+'353'!G8+'355'!G5+'364'!G7+'370'!G6+'383'!G9+'387'!G6+'410'!G8+'418'!G8</f>
        <v>1.4174055583127654</v>
      </c>
      <c r="E238" s="65" t="s">
        <v>607</v>
      </c>
    </row>
    <row r="239" spans="1:5" ht="25.5">
      <c r="A239" s="11" t="s">
        <v>165</v>
      </c>
      <c r="B239" s="56">
        <v>3.059493442535313</v>
      </c>
      <c r="C239" s="56"/>
      <c r="D239" s="50">
        <f>B239+C239+'375'!G6+'457'!G7</f>
        <v>-0.32450655746492885</v>
      </c>
      <c r="E239" s="30" t="s">
        <v>695</v>
      </c>
    </row>
    <row r="240" spans="1:5" ht="25.5">
      <c r="A240" s="11" t="s">
        <v>166</v>
      </c>
      <c r="B240" s="56">
        <v>4.835735687732381</v>
      </c>
      <c r="C240" s="56"/>
      <c r="D240" s="50">
        <f>B240+C240</f>
        <v>4.835735687732381</v>
      </c>
      <c r="E240" s="30">
        <v>47</v>
      </c>
    </row>
    <row r="241" spans="1:5" ht="25.5">
      <c r="A241" s="11" t="s">
        <v>167</v>
      </c>
      <c r="B241" s="56">
        <v>0.028470588235293803</v>
      </c>
      <c r="C241" s="56"/>
      <c r="D241" s="50">
        <f>B241+C241</f>
        <v>0.028470588235293803</v>
      </c>
      <c r="E241" s="30">
        <v>95</v>
      </c>
    </row>
    <row r="242" spans="1:5" ht="25.5">
      <c r="A242" s="15" t="s">
        <v>422</v>
      </c>
      <c r="B242" s="56">
        <v>0</v>
      </c>
      <c r="C242" s="56"/>
      <c r="D242" s="50">
        <f>B242+C242+'347'!G11+'378'!G9</f>
        <v>0.2560000000000855</v>
      </c>
      <c r="E242" s="65" t="s">
        <v>501</v>
      </c>
    </row>
    <row r="243" spans="1:5" ht="25.5">
      <c r="A243" s="15" t="s">
        <v>321</v>
      </c>
      <c r="B243" s="56">
        <v>0</v>
      </c>
      <c r="C243" s="56"/>
      <c r="D243" s="50">
        <f>B243+C243+'306'!G4</f>
        <v>14.975395161290407</v>
      </c>
      <c r="E243" s="66">
        <v>306</v>
      </c>
    </row>
    <row r="244" spans="1:5" ht="25.5">
      <c r="A244" s="11" t="s">
        <v>168</v>
      </c>
      <c r="B244" s="56">
        <v>-9.905451238563273</v>
      </c>
      <c r="C244" s="56"/>
      <c r="D244" s="50">
        <f>B244+C244+'316'!G13+'445'!G4+'475'!G10+'578'!G8</f>
        <v>-0.39455123856362206</v>
      </c>
      <c r="E244" s="30" t="s">
        <v>1037</v>
      </c>
    </row>
    <row r="245" spans="1:5" ht="75">
      <c r="A245" s="11" t="s">
        <v>169</v>
      </c>
      <c r="B245" s="56">
        <v>16.785917280805677</v>
      </c>
      <c r="C245" s="56">
        <f>'300'!G5</f>
        <v>-16.69294164989924</v>
      </c>
      <c r="D245" s="50">
        <f>B245+C245+'302'!G7+'307'!G8+'308'!G4+'313'!G4+'316'!G10+'318'!G5+'322'!G4+'326'!G6+'341'!G8+'346'!G6+'351'!G4+'355'!G6+'360'!G5+'372'!G5+'382'!G6+'391'!G4+'392'!G4+'392'!G5+'396'!G8+'401'!G9+'403'!G6+'412'!G4+'413'!G6+'418'!G9+'428'!G5+'430'!G6+'444'!G6+'456'!G5+'465'!G7+'467'!G8+'474'!G10+'476'!G13+'479'!G10+'488'!G11+'496'!G6+'499'!G7</f>
        <v>-0.13529023292545617</v>
      </c>
      <c r="E245" s="30" t="s">
        <v>788</v>
      </c>
    </row>
    <row r="246" spans="1:5" ht="25.5">
      <c r="A246" s="15" t="s">
        <v>504</v>
      </c>
      <c r="B246" s="56">
        <v>0</v>
      </c>
      <c r="C246" s="56"/>
      <c r="D246" s="50">
        <f>'380'!G6</f>
        <v>-1.0400999999999954</v>
      </c>
      <c r="E246" s="66">
        <v>380</v>
      </c>
    </row>
    <row r="247" spans="1:5" ht="25.5">
      <c r="A247" s="15" t="s">
        <v>963</v>
      </c>
      <c r="B247" s="56">
        <v>0</v>
      </c>
      <c r="C247" s="56"/>
      <c r="D247" s="50">
        <f>'556'!G10+'557'!G6+'603'!G7+'604'!G5</f>
        <v>-536.2623000000001</v>
      </c>
      <c r="E247" s="66" t="s">
        <v>1154</v>
      </c>
    </row>
    <row r="248" spans="1:5" ht="25.5">
      <c r="A248" s="15" t="s">
        <v>1003</v>
      </c>
      <c r="B248" s="56">
        <v>0</v>
      </c>
      <c r="C248" s="56"/>
      <c r="D248" s="50">
        <f>'571'!G9+'584'!G7</f>
        <v>0.39160000000003947</v>
      </c>
      <c r="E248" s="66" t="s">
        <v>1060</v>
      </c>
    </row>
    <row r="249" spans="1:5" ht="25.5">
      <c r="A249" s="15" t="s">
        <v>499</v>
      </c>
      <c r="B249" s="56">
        <v>0</v>
      </c>
      <c r="C249" s="56"/>
      <c r="D249" s="50">
        <f>'378'!G6+'383'!G5+'527'!G7</f>
        <v>-0.14603999999991402</v>
      </c>
      <c r="E249" s="66" t="s">
        <v>866</v>
      </c>
    </row>
    <row r="250" spans="1:5" ht="25.5">
      <c r="A250" s="15" t="s">
        <v>961</v>
      </c>
      <c r="B250" s="56">
        <v>0</v>
      </c>
      <c r="C250" s="56"/>
      <c r="D250" s="50">
        <f>'556'!G4+'568'!G6+'576'!G9+'581'!G5+'594'!G7</f>
        <v>-0.14334000000008018</v>
      </c>
      <c r="E250" s="66" t="s">
        <v>1090</v>
      </c>
    </row>
    <row r="251" spans="1:5" ht="31.5">
      <c r="A251" s="11" t="s">
        <v>170</v>
      </c>
      <c r="B251" s="56">
        <v>8.326228094229634</v>
      </c>
      <c r="C251" s="56"/>
      <c r="D251" s="50">
        <f>B251+C251+'311'!G5+'355'!G4+'377'!G4+'403'!G9+'424'!G8+'452'!G7+'460'!G5+'478'!G6+'482'!G4+'556'!G11+'557'!G4+'562'!G6</f>
        <v>0.48664952279978024</v>
      </c>
      <c r="E251" s="35" t="s">
        <v>982</v>
      </c>
    </row>
    <row r="252" spans="1:5" ht="25.5">
      <c r="A252" s="15" t="s">
        <v>171</v>
      </c>
      <c r="B252" s="56">
        <v>0.49105830258304195</v>
      </c>
      <c r="C252" s="56"/>
      <c r="D252" s="50">
        <f>B252+C252</f>
        <v>0.49105830258304195</v>
      </c>
      <c r="E252" s="35">
        <v>279</v>
      </c>
    </row>
    <row r="253" spans="1:5" ht="25.5">
      <c r="A253" s="11" t="s">
        <v>606</v>
      </c>
      <c r="B253" s="56">
        <v>0</v>
      </c>
      <c r="C253" s="56"/>
      <c r="D253" s="50">
        <f>'419'!G4</f>
        <v>0.19699999999966167</v>
      </c>
      <c r="E253" s="66">
        <v>419</v>
      </c>
    </row>
    <row r="254" spans="1:5" ht="25.5">
      <c r="A254" s="11" t="s">
        <v>172</v>
      </c>
      <c r="B254" s="56">
        <v>-29.914094825678717</v>
      </c>
      <c r="C254" s="56"/>
      <c r="D254" s="50">
        <f>B254+C254</f>
        <v>-29.914094825678717</v>
      </c>
      <c r="E254" s="34" t="s">
        <v>173</v>
      </c>
    </row>
    <row r="255" spans="1:5" ht="25.5">
      <c r="A255" s="11" t="s">
        <v>174</v>
      </c>
      <c r="B255" s="56">
        <v>8.406420608604208</v>
      </c>
      <c r="C255" s="56"/>
      <c r="D255" s="50">
        <f>B255+C255+'325'!G6</f>
        <v>-10.769205197847384</v>
      </c>
      <c r="E255" s="35" t="s">
        <v>374</v>
      </c>
    </row>
    <row r="256" spans="1:5" ht="25.5">
      <c r="A256" s="11" t="s">
        <v>1057</v>
      </c>
      <c r="B256" s="56">
        <v>0</v>
      </c>
      <c r="C256" s="56"/>
      <c r="D256" s="50">
        <f>'582'!G6</f>
        <v>-0.07899999999995089</v>
      </c>
      <c r="E256" s="35">
        <v>582</v>
      </c>
    </row>
    <row r="257" spans="1:5" ht="25.5">
      <c r="A257" s="15" t="s">
        <v>175</v>
      </c>
      <c r="B257" s="56">
        <v>-3.4566666666664787</v>
      </c>
      <c r="C257" s="56"/>
      <c r="D257" s="50">
        <f>B257+C257+'359'!G6+'364'!G6</f>
        <v>11.088943333333532</v>
      </c>
      <c r="E257" s="35" t="s">
        <v>475</v>
      </c>
    </row>
    <row r="258" spans="1:5" ht="25.5">
      <c r="A258" s="15" t="s">
        <v>1068</v>
      </c>
      <c r="B258" s="56">
        <v>0</v>
      </c>
      <c r="C258" s="56"/>
      <c r="D258" s="50">
        <f>'587'!G7</f>
        <v>0.4719999999998663</v>
      </c>
      <c r="E258" s="35">
        <v>587</v>
      </c>
    </row>
    <row r="259" spans="1:5" ht="25.5">
      <c r="A259" s="15" t="s">
        <v>585</v>
      </c>
      <c r="B259" s="56">
        <v>0</v>
      </c>
      <c r="C259" s="56"/>
      <c r="D259" s="50">
        <f>'410'!G5</f>
        <v>0.31500000000005457</v>
      </c>
      <c r="E259" s="80">
        <v>410</v>
      </c>
    </row>
    <row r="260" spans="1:5" ht="25.5">
      <c r="A260" s="15" t="s">
        <v>176</v>
      </c>
      <c r="B260" s="56">
        <v>1.0084816326530017</v>
      </c>
      <c r="C260" s="56"/>
      <c r="D260" s="50">
        <f>B260+C260</f>
        <v>1.0084816326530017</v>
      </c>
      <c r="E260" s="34">
        <v>289</v>
      </c>
    </row>
    <row r="261" spans="1:5" ht="25.5">
      <c r="A261" s="15" t="s">
        <v>178</v>
      </c>
      <c r="B261" s="56">
        <v>0</v>
      </c>
      <c r="C261" s="56"/>
      <c r="D261" s="50">
        <f>'413'!G4+'429'!G8+'431'!G4+'592'!G5+'602'!G7</f>
        <v>-0.23457999999982349</v>
      </c>
      <c r="E261" s="80" t="s">
        <v>1130</v>
      </c>
    </row>
    <row r="262" spans="1:5" ht="25.5">
      <c r="A262" s="15" t="s">
        <v>345</v>
      </c>
      <c r="B262" s="56">
        <v>0</v>
      </c>
      <c r="C262" s="56"/>
      <c r="D262" s="50">
        <f>B262+C262+'314'!G5+'316'!G7</f>
        <v>-0.06690000000054397</v>
      </c>
      <c r="E262" s="80" t="s">
        <v>349</v>
      </c>
    </row>
    <row r="263" spans="1:5" ht="25.5">
      <c r="A263" s="15" t="s">
        <v>892</v>
      </c>
      <c r="B263" s="56">
        <v>0</v>
      </c>
      <c r="C263" s="56"/>
      <c r="D263" s="50">
        <f>'538'!G5+'545'!G11+'585'!G5</f>
        <v>16.74869999999993</v>
      </c>
      <c r="E263" s="80" t="s">
        <v>1064</v>
      </c>
    </row>
    <row r="264" spans="1:5" ht="25.5">
      <c r="A264" s="11" t="s">
        <v>177</v>
      </c>
      <c r="B264" s="56">
        <v>0.8994666666666262</v>
      </c>
      <c r="C264" s="56"/>
      <c r="D264" s="50">
        <f>B264+C264</f>
        <v>0.8994666666666262</v>
      </c>
      <c r="E264" s="34">
        <v>149</v>
      </c>
    </row>
    <row r="265" spans="1:5" ht="25.5">
      <c r="A265" s="15" t="s">
        <v>178</v>
      </c>
      <c r="B265" s="56">
        <v>-0.0879797480997695</v>
      </c>
      <c r="C265" s="56"/>
      <c r="D265" s="50">
        <f>B265+C265+'306'!G5+'347'!G6+'402'!G5+'411'!G6</f>
        <v>-0.22744910293840803</v>
      </c>
      <c r="E265" s="35" t="s">
        <v>594</v>
      </c>
    </row>
    <row r="266" spans="1:5" ht="25.5">
      <c r="A266" s="15" t="s">
        <v>179</v>
      </c>
      <c r="B266" s="56">
        <v>151.32070333626007</v>
      </c>
      <c r="C266" s="56"/>
      <c r="D266" s="50">
        <f>B266+C266+'339'!G4</f>
        <v>47.01330333625992</v>
      </c>
      <c r="E266" s="35" t="s">
        <v>403</v>
      </c>
    </row>
    <row r="267" spans="1:5" ht="25.5">
      <c r="A267" s="15" t="s">
        <v>622</v>
      </c>
      <c r="B267" s="56">
        <v>0</v>
      </c>
      <c r="C267" s="56"/>
      <c r="D267" s="50">
        <f>'426'!G5+'425'!G8+'474'!G6</f>
        <v>28.711399999999912</v>
      </c>
      <c r="E267" s="65" t="s">
        <v>734</v>
      </c>
    </row>
    <row r="268" spans="1:5" ht="25.5">
      <c r="A268" s="11" t="s">
        <v>180</v>
      </c>
      <c r="B268" s="56">
        <v>-0.2295059701492903</v>
      </c>
      <c r="C268" s="56"/>
      <c r="D268" s="50">
        <f>B268+C268+'475'!G6</f>
        <v>0.437494029850626</v>
      </c>
      <c r="E268" s="34" t="s">
        <v>736</v>
      </c>
    </row>
    <row r="269" spans="1:5" ht="45.75">
      <c r="A269" s="11" t="s">
        <v>181</v>
      </c>
      <c r="B269" s="56">
        <v>7.980903214015342</v>
      </c>
      <c r="C269" s="56">
        <f>'300'!G7</f>
        <v>-0.1789134808853987</v>
      </c>
      <c r="D269" s="50">
        <f>B269+C269+'308'!G5+'325'!G7+'369'!G9+'374'!G9+'407'!G10+'426'!G7+'446'!G8+'475'!G4+'483'!G7+'535'!G5</f>
        <v>0.01773417025944468</v>
      </c>
      <c r="E269" s="30" t="s">
        <v>887</v>
      </c>
    </row>
    <row r="270" spans="1:5" ht="25.5">
      <c r="A270" s="15" t="s">
        <v>347</v>
      </c>
      <c r="B270" s="56">
        <v>0</v>
      </c>
      <c r="C270" s="56"/>
      <c r="D270" s="50">
        <f>B270+C270+'317'!G4</f>
        <v>-0.33320000000003347</v>
      </c>
      <c r="E270" s="65">
        <v>317</v>
      </c>
    </row>
    <row r="271" spans="1:5" ht="31.5">
      <c r="A271" s="15" t="s">
        <v>431</v>
      </c>
      <c r="B271" s="56">
        <v>0</v>
      </c>
      <c r="C271" s="56"/>
      <c r="D271" s="50">
        <f>'350'!G11+'409'!G6+'415'!G4+'418'!G10+'421'!G5+'423'!G8+'428'!G4+'433'!G4+'436'!G6+'452'!G6+'465'!G4+'476'!G5+'555'!G9+'576'!G8+'596'!G5</f>
        <v>-0.13255000000040695</v>
      </c>
      <c r="E271" s="65" t="s">
        <v>1101</v>
      </c>
    </row>
    <row r="272" spans="1:5" ht="25.5">
      <c r="A272" s="11" t="s">
        <v>862</v>
      </c>
      <c r="B272" s="56">
        <v>0</v>
      </c>
      <c r="C272" s="56"/>
      <c r="D272" s="50">
        <f>'527'!G5</f>
        <v>-0.4237000000000535</v>
      </c>
      <c r="E272" s="65">
        <v>527</v>
      </c>
    </row>
    <row r="273" spans="1:5" ht="25.5">
      <c r="A273" s="15" t="s">
        <v>780</v>
      </c>
      <c r="B273" s="56">
        <v>0</v>
      </c>
      <c r="C273" s="56"/>
      <c r="D273" s="50">
        <f>'497'!G4+'514'!G5+'593'!G4</f>
        <v>-0.23569999999989477</v>
      </c>
      <c r="E273" s="65" t="s">
        <v>1094</v>
      </c>
    </row>
    <row r="274" spans="1:5" ht="31.5">
      <c r="A274" s="15" t="s">
        <v>182</v>
      </c>
      <c r="B274" s="56">
        <f>5-5</f>
        <v>0</v>
      </c>
      <c r="C274" s="56"/>
      <c r="D274" s="50">
        <f>B274+C274+'305'!G6+'321'!G6+'322'!G5+'326'!G7+'363'!G4+'378'!G4+'400'!G6+'422'!G8+'425'!G9+'473'!G5+'479'!G4+'498'!G7+'504'!G5+'518'!G6+'523'!G6+'536'!G5+'538'!G4+'570'!G7</f>
        <v>41.184112094683655</v>
      </c>
      <c r="E274" s="30" t="s">
        <v>1007</v>
      </c>
    </row>
    <row r="275" spans="1:5" ht="45.75">
      <c r="A275" s="11" t="s">
        <v>183</v>
      </c>
      <c r="B275" s="56">
        <v>1.2556274174827422</v>
      </c>
      <c r="C275" s="56"/>
      <c r="D275" s="50">
        <f>B275+C275+'316'!G8+'323'!G9+'324'!G5+'326'!G5+'357'!G8+'362'!G4+'402'!G7+'414'!G5+'425'!G11+'435'!G6+'467'!G4+'480'!G4+'517'!G12+'540'!G6+'543'!G10+'577'!G7+'582'!G8</f>
        <v>0.27146271416569334</v>
      </c>
      <c r="E275" s="30" t="s">
        <v>1056</v>
      </c>
    </row>
    <row r="276" spans="1:5" ht="31.5">
      <c r="A276" s="11" t="s">
        <v>184</v>
      </c>
      <c r="B276" s="56">
        <v>-10.115194395506933</v>
      </c>
      <c r="C276" s="56"/>
      <c r="D276" s="50">
        <f>B276+C276+'345'!G4+'387'!G7+'437'!G6+'437'!G7+'441'!G7+'459'!G6+'459'!G7+'461'!G4+'472'!G4+'523'!G4</f>
        <v>-409.4506943955073</v>
      </c>
      <c r="E276" s="30" t="s">
        <v>853</v>
      </c>
    </row>
    <row r="277" spans="1:5" ht="25.5">
      <c r="A277" s="11" t="s">
        <v>185</v>
      </c>
      <c r="B277" s="56">
        <v>2.50513107620381</v>
      </c>
      <c r="C277" s="56"/>
      <c r="D277" s="50">
        <f>B277+C277+'314'!G4+'319'!G7+'339'!G5+'387'!G8+'470'!G5+'561'!G5</f>
        <v>0.06169774286996699</v>
      </c>
      <c r="E277" s="30" t="s">
        <v>976</v>
      </c>
    </row>
    <row r="278" spans="1:5" ht="28.5" customHeight="1">
      <c r="A278" s="11" t="s">
        <v>186</v>
      </c>
      <c r="B278" s="56">
        <v>46.592575448599746</v>
      </c>
      <c r="C278" s="56"/>
      <c r="D278" s="50">
        <f>B278+C278</f>
        <v>46.592575448599746</v>
      </c>
      <c r="E278" s="30" t="s">
        <v>187</v>
      </c>
    </row>
    <row r="279" spans="1:5" ht="25.5">
      <c r="A279" s="15" t="s">
        <v>188</v>
      </c>
      <c r="B279" s="56">
        <v>0</v>
      </c>
      <c r="C279" s="56"/>
      <c r="D279" s="50">
        <f>B279+C279+'306'!G6+'344'!G5+'348'!G9+'394'!G4+'395'!G6+'397'!G4+'487'!G4+'564'!G5+'571'!G7+'576'!G10+'597'!G7</f>
        <v>0.4519838709676378</v>
      </c>
      <c r="E279" s="30" t="s">
        <v>1110</v>
      </c>
    </row>
    <row r="280" spans="1:5" ht="31.5">
      <c r="A280" s="11" t="s">
        <v>189</v>
      </c>
      <c r="B280" s="56">
        <v>6.585061122225625</v>
      </c>
      <c r="C280" s="56">
        <f>'300'!G4</f>
        <v>0.09878873239449604</v>
      </c>
      <c r="D280" s="50">
        <f>B280+C280+'306'!G9+'315'!G7+'325'!G5+'352'!G5+'382'!G7+'386'!G4+'390'!G7+'391'!G5+'410'!G7+'445'!G5+'473'!G6+'481'!G4+'565'!G4</f>
        <v>0.03156273085187422</v>
      </c>
      <c r="E280" s="30" t="s">
        <v>997</v>
      </c>
    </row>
    <row r="281" spans="1:5" ht="25.5">
      <c r="A281" s="11" t="s">
        <v>190</v>
      </c>
      <c r="B281" s="56">
        <v>-0.38766391911256903</v>
      </c>
      <c r="C281" s="56"/>
      <c r="D281" s="50">
        <f>B281+C281+'389'!G5+'400'!G5</f>
        <v>17.67043608088717</v>
      </c>
      <c r="E281" s="30" t="s">
        <v>560</v>
      </c>
    </row>
    <row r="282" spans="1:5" ht="25.5">
      <c r="A282" s="15" t="s">
        <v>191</v>
      </c>
      <c r="B282" s="56">
        <v>0.7507510204081314</v>
      </c>
      <c r="C282" s="56"/>
      <c r="D282" s="50">
        <f>B282+C282+'303'!G5+'304'!G6</f>
        <v>-0.9760735469451731</v>
      </c>
      <c r="E282" s="30" t="s">
        <v>318</v>
      </c>
    </row>
    <row r="283" spans="1:5" ht="25.5">
      <c r="A283" s="15" t="s">
        <v>598</v>
      </c>
      <c r="B283" s="56">
        <v>0</v>
      </c>
      <c r="C283" s="56"/>
      <c r="D283" s="50">
        <f>'414'!G6</f>
        <v>0.27299999999991087</v>
      </c>
      <c r="E283" s="83">
        <v>414</v>
      </c>
    </row>
    <row r="284" spans="1:5" ht="25.5">
      <c r="A284" s="11" t="s">
        <v>192</v>
      </c>
      <c r="B284" s="56">
        <v>-6.313964477611904</v>
      </c>
      <c r="C284" s="56"/>
      <c r="D284" s="50">
        <f>B284+C284</f>
        <v>-6.313964477611904</v>
      </c>
      <c r="E284" s="30" t="s">
        <v>193</v>
      </c>
    </row>
    <row r="285" spans="1:5" ht="25.5">
      <c r="A285" s="11" t="s">
        <v>980</v>
      </c>
      <c r="B285" s="56">
        <v>0</v>
      </c>
      <c r="C285" s="56"/>
      <c r="D285" s="50">
        <f>'563'!G7+'576'!G6+'579'!G5</f>
        <v>0.02720000000010714</v>
      </c>
      <c r="E285" s="83" t="s">
        <v>1040</v>
      </c>
    </row>
    <row r="286" spans="1:5" ht="25.5">
      <c r="A286" s="11" t="s">
        <v>672</v>
      </c>
      <c r="B286" s="56">
        <v>0</v>
      </c>
      <c r="C286" s="56"/>
      <c r="D286" s="50">
        <f>'443'!G4</f>
        <v>0.37800000000004275</v>
      </c>
      <c r="E286" s="83">
        <v>443</v>
      </c>
    </row>
    <row r="287" spans="1:5" ht="31.5">
      <c r="A287" s="11" t="s">
        <v>194</v>
      </c>
      <c r="B287" s="56">
        <v>19.751527991240096</v>
      </c>
      <c r="C287" s="56"/>
      <c r="D287" s="50">
        <f>B287+C287+'310'!G8+'338'!G4+'347'!G5+'352'!G10+'355'!G7+'370'!G8+'381'!G7+'395'!G7+'475'!G13+'563'!G6+'572'!G13+'586'!G6+'598'!G5</f>
        <v>0.29342914350337423</v>
      </c>
      <c r="E287" s="30" t="s">
        <v>1112</v>
      </c>
    </row>
    <row r="288" spans="1:5" ht="25.5">
      <c r="A288" s="15" t="s">
        <v>428</v>
      </c>
      <c r="B288" s="57">
        <v>0</v>
      </c>
      <c r="C288" s="57"/>
      <c r="D288" s="50">
        <f>'350'!G7+'396'!G5+'438'!G6+'454'!G5+'479'!G6+'591'!G4</f>
        <v>-0.41525800000027857</v>
      </c>
      <c r="E288" s="83" t="s">
        <v>1078</v>
      </c>
    </row>
    <row r="289" spans="1:5" ht="25.5">
      <c r="A289" s="15" t="s">
        <v>412</v>
      </c>
      <c r="B289" s="57">
        <v>0</v>
      </c>
      <c r="C289" s="57"/>
      <c r="D289" s="50">
        <f>B289+C289+'342'!G6+'524'!G11</f>
        <v>10.986999999999966</v>
      </c>
      <c r="E289" s="94" t="s">
        <v>854</v>
      </c>
    </row>
    <row r="290" spans="1:5" ht="25.5">
      <c r="A290" s="11" t="s">
        <v>195</v>
      </c>
      <c r="B290" s="57">
        <v>-33.09544626569698</v>
      </c>
      <c r="C290" s="57"/>
      <c r="D290" s="90">
        <f>B290+C290</f>
        <v>-33.09544626569698</v>
      </c>
      <c r="E290" s="91" t="s">
        <v>196</v>
      </c>
    </row>
    <row r="291" spans="1:5" ht="25.5">
      <c r="A291" s="15" t="s">
        <v>590</v>
      </c>
      <c r="B291" s="57">
        <v>0</v>
      </c>
      <c r="C291" s="57"/>
      <c r="D291" s="90">
        <f>'411'!G7+'499'!G6+'516'!G4</f>
        <v>-0.19280000000003383</v>
      </c>
      <c r="E291" s="83" t="s">
        <v>827</v>
      </c>
    </row>
    <row r="292" spans="1:5" ht="25.5">
      <c r="A292" s="15" t="s">
        <v>500</v>
      </c>
      <c r="B292" s="57">
        <v>0</v>
      </c>
      <c r="C292" s="57"/>
      <c r="D292" s="50">
        <f>'379'!G6</f>
        <v>-15.800000000000011</v>
      </c>
      <c r="E292" s="94">
        <v>379</v>
      </c>
    </row>
    <row r="293" spans="1:5" ht="25.5">
      <c r="A293" s="15" t="s">
        <v>639</v>
      </c>
      <c r="B293" s="57">
        <v>0</v>
      </c>
      <c r="C293" s="57"/>
      <c r="D293" s="90">
        <f>'431'!G8+'467'!G10</f>
        <v>0.28880000000003747</v>
      </c>
      <c r="E293" s="109" t="s">
        <v>717</v>
      </c>
    </row>
    <row r="294" spans="1:5" ht="25.5">
      <c r="A294" s="39" t="s">
        <v>197</v>
      </c>
      <c r="B294" s="57">
        <v>-4.52523529411792</v>
      </c>
      <c r="C294" s="57"/>
      <c r="D294" s="50">
        <f>B294+C294</f>
        <v>-4.52523529411792</v>
      </c>
      <c r="E294" s="111">
        <v>246</v>
      </c>
    </row>
    <row r="295" spans="1:5" ht="25.5">
      <c r="A295" s="39" t="s">
        <v>937</v>
      </c>
      <c r="B295" s="57">
        <v>0</v>
      </c>
      <c r="C295" s="57"/>
      <c r="D295" s="50">
        <f>'548'!G7</f>
        <v>-0.32199999999988904</v>
      </c>
      <c r="E295" s="94">
        <v>548</v>
      </c>
    </row>
    <row r="296" spans="1:5" ht="45.75">
      <c r="A296" s="15" t="s">
        <v>410</v>
      </c>
      <c r="B296" s="57">
        <v>0</v>
      </c>
      <c r="C296" s="57"/>
      <c r="D296" s="50">
        <f>'341'!G7+'364'!G9+'386'!G7+'393'!G4+'396'!G4+'409'!G8+'416'!G6+'418'!G6+'421'!G6+'424'!G6+'431'!G6+'435'!G11+'444'!G4+'452'!G5+'478'!G5+'479'!G8+'481'!G7+'486'!G5+'496'!G4+'503'!G7+'508'!G4+'512'!G5+'513'!G8+'523'!G7+'527'!G6+'544'!G7+'547'!G10+'559'!G4+'567'!G4+'571'!G8+'601'!G6</f>
        <v>-0.4362023012536156</v>
      </c>
      <c r="E296" s="143" t="s">
        <v>1121</v>
      </c>
    </row>
    <row r="297" spans="1:5" ht="25.5">
      <c r="A297" s="39" t="s">
        <v>1137</v>
      </c>
      <c r="B297" s="57"/>
      <c r="C297" s="57"/>
      <c r="D297" s="90">
        <f>'603'!G9</f>
        <v>0.1570000000000391</v>
      </c>
      <c r="E297" s="142">
        <v>603</v>
      </c>
    </row>
    <row r="298" spans="1:5" ht="25.5">
      <c r="A298" s="40" t="s">
        <v>198</v>
      </c>
      <c r="B298" s="57">
        <v>0.004197183098654023</v>
      </c>
      <c r="C298" s="57"/>
      <c r="D298" s="90">
        <f>B298+C298</f>
        <v>0.004197183098654023</v>
      </c>
      <c r="E298" s="91">
        <v>216</v>
      </c>
    </row>
    <row r="299" spans="1:5" ht="25.5">
      <c r="A299" s="15" t="s">
        <v>437</v>
      </c>
      <c r="B299" s="57">
        <v>0</v>
      </c>
      <c r="C299" s="57"/>
      <c r="D299" s="50">
        <f>'351'!G5+'357'!G10+'393'!G5+'413'!G7+'425'!G10+'433'!G8+'435'!G7+'436'!G8+'448'!G7+'488'!G9+'516'!G5+'592'!G9</f>
        <v>0.15573999999998023</v>
      </c>
      <c r="E299" s="94" t="s">
        <v>1085</v>
      </c>
    </row>
    <row r="300" spans="1:5" ht="25.5">
      <c r="A300" s="40" t="s">
        <v>199</v>
      </c>
      <c r="B300" s="57">
        <v>0.6226805273834088</v>
      </c>
      <c r="C300" s="57"/>
      <c r="D300" s="90">
        <f>B300+C300+'537'!G6+'538'!G6</f>
        <v>211.3542205273834</v>
      </c>
      <c r="E300" s="91" t="s">
        <v>894</v>
      </c>
    </row>
    <row r="301" spans="1:5" ht="25.5">
      <c r="A301" s="40" t="s">
        <v>971</v>
      </c>
      <c r="B301" s="57">
        <v>0</v>
      </c>
      <c r="C301" s="57"/>
      <c r="D301" s="90">
        <f>'559'!G5+'573'!G5+'596'!G8</f>
        <v>-0.13085000000018</v>
      </c>
      <c r="E301" s="109" t="s">
        <v>1100</v>
      </c>
    </row>
    <row r="302" spans="1:5" ht="25.5">
      <c r="A302" s="39" t="s">
        <v>457</v>
      </c>
      <c r="B302" s="57">
        <v>0</v>
      </c>
      <c r="C302" s="57"/>
      <c r="D302" s="90">
        <f>'358'!G8</f>
        <v>-0.1819799999998395</v>
      </c>
      <c r="E302" s="109">
        <v>358</v>
      </c>
    </row>
    <row r="303" spans="1:5" ht="25.5">
      <c r="A303" s="39" t="s">
        <v>793</v>
      </c>
      <c r="B303" s="57">
        <v>0</v>
      </c>
      <c r="C303" s="57"/>
      <c r="D303" s="90">
        <f>'503'!G5</f>
        <v>-0.17340000000058353</v>
      </c>
      <c r="E303" s="109">
        <v>502</v>
      </c>
    </row>
    <row r="304" spans="1:5" ht="25.5">
      <c r="A304" s="40" t="s">
        <v>200</v>
      </c>
      <c r="B304" s="57">
        <v>4.240088475836416</v>
      </c>
      <c r="C304" s="57"/>
      <c r="D304" s="90">
        <f>B304+C304+'340'!G7+'344'!G4+'364'!G5+'435'!G5+'441'!G10+'451'!G6+'469'!G4+'474'!G8+'487'!G5+'524'!G8+'534'!G5</f>
        <v>21.463988475835805</v>
      </c>
      <c r="E304" s="95" t="s">
        <v>886</v>
      </c>
    </row>
    <row r="305" spans="1:5" ht="25.5">
      <c r="A305" s="39" t="s">
        <v>471</v>
      </c>
      <c r="B305" s="57">
        <v>0</v>
      </c>
      <c r="C305" s="57"/>
      <c r="D305" s="90">
        <f>'363'!G5+'378'!G5+'520'!G5</f>
        <v>-0.14240000000012287</v>
      </c>
      <c r="E305" s="109" t="s">
        <v>835</v>
      </c>
    </row>
    <row r="306" spans="1:5" ht="25.5">
      <c r="A306" s="39" t="s">
        <v>449</v>
      </c>
      <c r="B306" s="57">
        <v>0</v>
      </c>
      <c r="C306" s="57"/>
      <c r="D306" s="90">
        <f>'356'!G5+'398'!G4+'414'!G8+'430'!G4+'458'!G6+'486'!G9+'524'!G6+'525'!G7+'559'!G6+'572'!G9+'586'!G8+'593'!G7</f>
        <v>66.6791399999995</v>
      </c>
      <c r="E306" s="109" t="s">
        <v>1095</v>
      </c>
    </row>
    <row r="307" spans="1:5" ht="25.5">
      <c r="A307" s="40" t="s">
        <v>201</v>
      </c>
      <c r="B307" s="57">
        <v>6.8688965212755875</v>
      </c>
      <c r="C307" s="57"/>
      <c r="D307" s="90">
        <f>B307+C307</f>
        <v>6.8688965212755875</v>
      </c>
      <c r="E307" s="91" t="s">
        <v>202</v>
      </c>
    </row>
    <row r="308" spans="1:5" ht="25.5">
      <c r="A308" s="40" t="s">
        <v>676</v>
      </c>
      <c r="B308" s="57">
        <v>0</v>
      </c>
      <c r="C308" s="57"/>
      <c r="D308" s="127">
        <f>'446'!G7</f>
        <v>0.0024000000000228283</v>
      </c>
      <c r="E308" s="109">
        <v>446</v>
      </c>
    </row>
    <row r="309" spans="1:5" ht="31.5">
      <c r="A309" s="49" t="s">
        <v>203</v>
      </c>
      <c r="B309" s="58">
        <v>3.09982620842743</v>
      </c>
      <c r="C309" s="58"/>
      <c r="D309" s="51">
        <f>B309+C309+'369'!G5+'376'!G4+'379'!G5+'386'!G5+'390'!G6+'404'!G4+'418'!G4+'420'!G4+'424'!G7+'437'!G4+'441'!G8+'455'!G4+'457'!G8+'464'!G6+'503'!G6+'513'!G5+'517'!G11+'547'!G6+'580'!G4+'598'!G8</f>
        <v>-0.4333545447120173</v>
      </c>
      <c r="E309" s="128" t="s">
        <v>1111</v>
      </c>
    </row>
    <row r="310" spans="1:5" ht="25.5">
      <c r="A310" s="41" t="s">
        <v>204</v>
      </c>
      <c r="B310" s="59">
        <v>42.77319291282765</v>
      </c>
      <c r="C310" s="59"/>
      <c r="D310" s="52">
        <f>B310+C310+'303'!G9+'315'!G6+'392'!G6+'404'!G5+'410'!G9+'596'!G4</f>
        <v>0.196350807564329</v>
      </c>
      <c r="E310" s="42" t="s">
        <v>1099</v>
      </c>
    </row>
    <row r="311" spans="1:5" ht="25.5">
      <c r="A311" s="11" t="s">
        <v>649</v>
      </c>
      <c r="B311" s="59">
        <v>0</v>
      </c>
      <c r="C311" s="59"/>
      <c r="D311" s="52">
        <f>'435'!G4+'521'!G6</f>
        <v>0.19920000000001892</v>
      </c>
      <c r="E311" s="83" t="s">
        <v>839</v>
      </c>
    </row>
    <row r="312" spans="1:5" ht="25.5">
      <c r="A312" s="88" t="s">
        <v>415</v>
      </c>
      <c r="B312" s="59">
        <v>0</v>
      </c>
      <c r="C312" s="59"/>
      <c r="D312" s="52">
        <f>B312+C312+'344'!G7+'442'!G5+'475'!G12+'511'!G5+'517'!G8+'564'!G12</f>
        <v>0.18759999999952015</v>
      </c>
      <c r="E312" s="83" t="s">
        <v>987</v>
      </c>
    </row>
    <row r="313" spans="1:5" ht="25.5">
      <c r="A313" s="41" t="s">
        <v>205</v>
      </c>
      <c r="B313" s="59">
        <v>1.4049868694856968</v>
      </c>
      <c r="C313" s="59"/>
      <c r="D313" s="50">
        <f>B313+C313+'446'!G4+'515'!G5+'542'!G7</f>
        <v>0.19828686948596896</v>
      </c>
      <c r="E313" s="42" t="s">
        <v>914</v>
      </c>
    </row>
    <row r="314" spans="1:5" ht="25.5">
      <c r="A314" s="15" t="s">
        <v>377</v>
      </c>
      <c r="B314" s="59">
        <v>0</v>
      </c>
      <c r="C314" s="59"/>
      <c r="D314" s="50">
        <f>B314+C314+'326'!G8+'475'!G8+'546'!G5+'600'!G4</f>
        <v>-0.40262464358465877</v>
      </c>
      <c r="E314" s="83" t="s">
        <v>1123</v>
      </c>
    </row>
    <row r="315" spans="1:5" ht="25.5">
      <c r="A315" s="15" t="s">
        <v>1139</v>
      </c>
      <c r="B315" s="59">
        <v>0</v>
      </c>
      <c r="C315" s="59"/>
      <c r="D315" s="50">
        <f>'603'!G12</f>
        <v>68.7482</v>
      </c>
      <c r="E315" s="83">
        <v>603</v>
      </c>
    </row>
    <row r="316" spans="1:5" ht="25.5">
      <c r="A316" s="11" t="s">
        <v>206</v>
      </c>
      <c r="B316" s="59">
        <v>0.018533333333266455</v>
      </c>
      <c r="C316" s="59"/>
      <c r="D316" s="50">
        <f>B316+C316</f>
        <v>0.018533333333266455</v>
      </c>
      <c r="E316" s="42">
        <v>128</v>
      </c>
    </row>
    <row r="317" spans="1:5" ht="25.5">
      <c r="A317" s="11" t="s">
        <v>207</v>
      </c>
      <c r="B317" s="56">
        <v>20.188039907978293</v>
      </c>
      <c r="C317" s="56"/>
      <c r="D317" s="50">
        <f>B317+C317</f>
        <v>20.188039907978293</v>
      </c>
      <c r="E317" s="30" t="s">
        <v>208</v>
      </c>
    </row>
    <row r="318" spans="1:5" ht="25.5">
      <c r="A318" s="15" t="s">
        <v>209</v>
      </c>
      <c r="B318" s="56">
        <v>0.06890895522383289</v>
      </c>
      <c r="C318" s="56"/>
      <c r="D318" s="50">
        <f>B318+C318</f>
        <v>0.06890895522383289</v>
      </c>
      <c r="E318" s="30">
        <v>282</v>
      </c>
    </row>
    <row r="319" spans="1:5" ht="25.5">
      <c r="A319" s="11" t="s">
        <v>210</v>
      </c>
      <c r="B319" s="56">
        <v>0.3344244551705202</v>
      </c>
      <c r="C319" s="56"/>
      <c r="D319" s="50">
        <f>B319+C319+'347'!G10</f>
        <v>-1.6595755448294511</v>
      </c>
      <c r="E319" s="30" t="s">
        <v>424</v>
      </c>
    </row>
    <row r="320" spans="1:5" ht="25.5">
      <c r="A320" s="15" t="s">
        <v>211</v>
      </c>
      <c r="B320" s="56">
        <v>0.051307254353105236</v>
      </c>
      <c r="C320" s="56"/>
      <c r="D320" s="50">
        <f>B320+C320</f>
        <v>0.051307254353105236</v>
      </c>
      <c r="E320" s="30" t="s">
        <v>212</v>
      </c>
    </row>
    <row r="321" spans="1:5" ht="25.5">
      <c r="A321" s="15" t="s">
        <v>479</v>
      </c>
      <c r="B321" s="56">
        <v>0</v>
      </c>
      <c r="C321" s="56"/>
      <c r="D321" s="50">
        <f>B321+C321+'369'!G7+'377'!G6+'387'!G5+'406'!G4+'407'!G9+'418'!G5+'426'!G4+'425'!G6+'433'!G10+'436'!G5+'458'!G4+'475'!G11+'476'!G4</f>
        <v>-0.26089999999970814</v>
      </c>
      <c r="E321" s="65" t="s">
        <v>741</v>
      </c>
    </row>
    <row r="322" spans="1:5" ht="25.5">
      <c r="A322" s="15" t="s">
        <v>852</v>
      </c>
      <c r="B322" s="56">
        <v>0</v>
      </c>
      <c r="C322" s="56"/>
      <c r="D322" s="50">
        <f>'524'!G9+'527'!G4+'539'!G11+'604'!G7</f>
        <v>-633.0370999999996</v>
      </c>
      <c r="E322" s="65" t="s">
        <v>1152</v>
      </c>
    </row>
    <row r="323" spans="1:5" ht="25.5">
      <c r="A323" s="11" t="s">
        <v>213</v>
      </c>
      <c r="B323" s="56">
        <v>1.9091505617977305</v>
      </c>
      <c r="C323" s="56"/>
      <c r="D323" s="50">
        <f>B323+C323</f>
        <v>1.9091505617977305</v>
      </c>
      <c r="E323" s="30">
        <v>60</v>
      </c>
    </row>
    <row r="324" spans="1:5" ht="25.5">
      <c r="A324" s="11" t="s">
        <v>214</v>
      </c>
      <c r="B324" s="56">
        <v>0</v>
      </c>
      <c r="C324" s="56"/>
      <c r="D324" s="50">
        <f>B324+C324+'352'!G7+'364'!G4+'505'!G6</f>
        <v>-0.4735000000000582</v>
      </c>
      <c r="E324" s="30" t="s">
        <v>798</v>
      </c>
    </row>
    <row r="325" spans="1:5" ht="25.5">
      <c r="A325" s="11" t="s">
        <v>643</v>
      </c>
      <c r="B325" s="56">
        <v>0</v>
      </c>
      <c r="C325" s="56"/>
      <c r="D325" s="50">
        <f>'433'!G6</f>
        <v>0.36880000000002156</v>
      </c>
      <c r="E325" s="65">
        <v>433</v>
      </c>
    </row>
    <row r="326" spans="1:5" ht="25.5">
      <c r="A326" s="11" t="s">
        <v>757</v>
      </c>
      <c r="B326" s="56"/>
      <c r="C326" s="56"/>
      <c r="D326" s="50">
        <f>'485'!G6+'490'!G4+'517'!G4+'525'!G4+'530'!G6+'535'!G8+'579'!G4+'591'!G5</f>
        <v>0.3124000000000251</v>
      </c>
      <c r="E326" s="65" t="s">
        <v>1079</v>
      </c>
    </row>
    <row r="327" spans="1:5" ht="25.5">
      <c r="A327" s="15" t="s">
        <v>610</v>
      </c>
      <c r="B327" s="56">
        <v>0</v>
      </c>
      <c r="C327" s="56"/>
      <c r="D327" s="50">
        <f>'421'!G10+'488'!G10</f>
        <v>-0.3626000000001568</v>
      </c>
      <c r="E327" s="65" t="s">
        <v>766</v>
      </c>
    </row>
    <row r="328" spans="1:5" ht="25.5">
      <c r="A328" s="15" t="s">
        <v>359</v>
      </c>
      <c r="B328" s="56">
        <v>0</v>
      </c>
      <c r="C328" s="56"/>
      <c r="D328" s="50">
        <f>B328+C328+'321'!G9</f>
        <v>0.004823232323246884</v>
      </c>
      <c r="E328" s="65">
        <v>321</v>
      </c>
    </row>
    <row r="329" spans="1:5" ht="25.5">
      <c r="A329" s="15" t="s">
        <v>383</v>
      </c>
      <c r="B329" s="56">
        <v>0</v>
      </c>
      <c r="C329" s="56"/>
      <c r="D329" s="50">
        <f>B329+C329+'327'!G6+'329'!G7+'334'!G7+'339'!G8+'349'!G7+'352'!G6+'358'!G6+'439'!G5+'440'!G4+'477'!G7+'573'!G6+'577'!G4</f>
        <v>-0.47019579929133215</v>
      </c>
      <c r="E329" s="65" t="s">
        <v>1033</v>
      </c>
    </row>
    <row r="330" spans="1:5" ht="31.5">
      <c r="A330" s="15" t="s">
        <v>215</v>
      </c>
      <c r="B330" s="56">
        <v>0.2963173666980765</v>
      </c>
      <c r="C330" s="56"/>
      <c r="D330" s="50">
        <f>B330+C330+'307'!G5+'316'!G12+'321'!G7+'322'!G7+'344'!G6+'348'!G4+'359'!G5+'362'!G5+'363'!G8+'383'!G4+'420'!G5+'448'!G9+'451'!G5+'472'!G6+'485'!G10+'488'!G4+'535'!G4+'582'!G4</f>
        <v>0.03528456491451948</v>
      </c>
      <c r="E330" s="30" t="s">
        <v>1051</v>
      </c>
    </row>
    <row r="331" spans="1:5" ht="25.5">
      <c r="A331" s="15" t="s">
        <v>1107</v>
      </c>
      <c r="B331" s="56">
        <v>0</v>
      </c>
      <c r="C331" s="56"/>
      <c r="D331" s="50">
        <f>'598'!G6+'603'!G4</f>
        <v>0.21490000000017062</v>
      </c>
      <c r="E331" s="30" t="s">
        <v>1140</v>
      </c>
    </row>
    <row r="332" spans="1:5" ht="25.5">
      <c r="A332" s="126" t="s">
        <v>871</v>
      </c>
      <c r="B332" s="56">
        <v>0</v>
      </c>
      <c r="C332" s="56"/>
      <c r="D332" s="50">
        <f>'530'!G5</f>
        <v>-0.10980000000017753</v>
      </c>
      <c r="E332" s="65">
        <v>530</v>
      </c>
    </row>
    <row r="333" spans="1:5" ht="25.5">
      <c r="A333" s="11" t="s">
        <v>666</v>
      </c>
      <c r="B333" s="56">
        <v>0</v>
      </c>
      <c r="C333" s="56"/>
      <c r="D333" s="50">
        <f>'442'!G4+'443'!G7+'466'!G9+'471'!G4+'480'!G9+'549'!G8+'574'!G5</f>
        <v>-0.2544000000009419</v>
      </c>
      <c r="E333" s="65" t="s">
        <v>1016</v>
      </c>
    </row>
    <row r="334" spans="1:5" ht="25.5">
      <c r="A334" s="11" t="s">
        <v>216</v>
      </c>
      <c r="B334" s="56">
        <v>1.0937563218390096</v>
      </c>
      <c r="C334" s="56"/>
      <c r="D334" s="50">
        <f>B334+C334</f>
        <v>1.0937563218390096</v>
      </c>
      <c r="E334" s="30">
        <v>150</v>
      </c>
    </row>
    <row r="335" spans="1:5" ht="25.5">
      <c r="A335" s="11" t="s">
        <v>217</v>
      </c>
      <c r="B335" s="56">
        <v>-2.9425373134328083</v>
      </c>
      <c r="C335" s="56"/>
      <c r="D335" s="50">
        <f>B335+C335</f>
        <v>-2.9425373134328083</v>
      </c>
      <c r="E335" s="30">
        <v>241</v>
      </c>
    </row>
    <row r="336" spans="1:5" ht="25.5">
      <c r="A336" s="11" t="s">
        <v>218</v>
      </c>
      <c r="B336" s="56">
        <v>0.17467951318462838</v>
      </c>
      <c r="C336" s="56"/>
      <c r="D336" s="50">
        <f>B336+C336+'329'!G9+'338'!G8+'433'!G5+'436'!G4+'467'!G9</f>
        <v>-0.27392750084356976</v>
      </c>
      <c r="E336" s="30" t="s">
        <v>718</v>
      </c>
    </row>
    <row r="337" spans="1:5" ht="25.5">
      <c r="A337" s="11" t="s">
        <v>851</v>
      </c>
      <c r="B337" s="56">
        <v>0</v>
      </c>
      <c r="C337" s="56"/>
      <c r="D337" s="50">
        <f>'524'!G4+'539'!G8+'541'!G6+'569'!G6+'572'!G10+'588'!G5+'590'!G4+'600'!G8+'605'!G5</f>
        <v>-1287.4757999999993</v>
      </c>
      <c r="E337" s="65" t="s">
        <v>1150</v>
      </c>
    </row>
    <row r="338" spans="1:5" ht="25.5">
      <c r="A338" s="11" t="s">
        <v>219</v>
      </c>
      <c r="B338" s="56">
        <v>6.030189069854316</v>
      </c>
      <c r="C338" s="56"/>
      <c r="D338" s="50">
        <f>B338+C338+'348'!G7+'578'!G9+'581'!G4</f>
        <v>-2.5639109301457097</v>
      </c>
      <c r="E338" s="35" t="s">
        <v>1045</v>
      </c>
    </row>
    <row r="339" spans="1:5" ht="25.5">
      <c r="A339" s="11" t="s">
        <v>220</v>
      </c>
      <c r="B339" s="56">
        <v>-3.07000000000005</v>
      </c>
      <c r="C339" s="56"/>
      <c r="D339" s="50">
        <f>B339+C339</f>
        <v>-3.07000000000005</v>
      </c>
      <c r="E339" s="34">
        <v>224</v>
      </c>
    </row>
    <row r="340" spans="1:5" ht="25.5">
      <c r="A340" s="11" t="s">
        <v>1063</v>
      </c>
      <c r="B340" s="56">
        <v>0</v>
      </c>
      <c r="C340" s="56"/>
      <c r="D340" s="50">
        <f>'585'!G6</f>
        <v>0.008599999999205465</v>
      </c>
      <c r="E340" s="80">
        <v>585</v>
      </c>
    </row>
    <row r="341" spans="1:5" ht="25.5">
      <c r="A341" s="15" t="s">
        <v>221</v>
      </c>
      <c r="B341" s="56">
        <v>35.121483693857414</v>
      </c>
      <c r="C341" s="56"/>
      <c r="D341" s="50">
        <f>B341+C341</f>
        <v>35.121483693857414</v>
      </c>
      <c r="E341" s="35" t="s">
        <v>222</v>
      </c>
    </row>
    <row r="342" spans="1:5" ht="45.75">
      <c r="A342" s="15" t="s">
        <v>223</v>
      </c>
      <c r="B342" s="56">
        <v>0</v>
      </c>
      <c r="C342" s="56"/>
      <c r="D342" s="50">
        <f>B342+C342+'316'!G5+'321'!G8+'323'!G12+'346'!G4+'351'!G6+'363'!G7+'369'!G6+'374'!G4+'381'!G6+'382'!G5+'390'!G4+'405'!G7+'416'!G8+'421'!G7+'424'!G9+'427'!G9+'433'!G7+'447'!G10+'464'!G9+'487'!G6+'495'!G5+'513'!G6+'541'!G5+'588'!G6+'604'!G4</f>
        <v>-1563.2477196262219</v>
      </c>
      <c r="E342" s="35" t="s">
        <v>1153</v>
      </c>
    </row>
    <row r="343" spans="1:5" ht="25.5">
      <c r="A343" s="15" t="s">
        <v>224</v>
      </c>
      <c r="B343" s="56">
        <v>0</v>
      </c>
      <c r="C343" s="56">
        <f>'300'!G6</f>
        <v>-0.20337927565391567</v>
      </c>
      <c r="D343" s="50">
        <f>B343+C343</f>
        <v>-0.20337927565391567</v>
      </c>
      <c r="E343" s="80">
        <v>300</v>
      </c>
    </row>
    <row r="344" spans="1:5" ht="25.5">
      <c r="A344" s="11" t="s">
        <v>225</v>
      </c>
      <c r="B344" s="56">
        <v>2.9230177121770566</v>
      </c>
      <c r="C344" s="56"/>
      <c r="D344" s="50">
        <f>B344+C344</f>
        <v>2.9230177121770566</v>
      </c>
      <c r="E344" s="34">
        <v>194</v>
      </c>
    </row>
    <row r="345" spans="1:5" ht="25.5">
      <c r="A345" s="11" t="s">
        <v>929</v>
      </c>
      <c r="B345" s="56">
        <v>0</v>
      </c>
      <c r="C345" s="56"/>
      <c r="D345" s="50">
        <f>B345+C345+'545'!G5</f>
        <v>-0.14420000000018263</v>
      </c>
      <c r="E345" s="80">
        <v>545</v>
      </c>
    </row>
    <row r="346" spans="1:5" ht="25.5">
      <c r="A346" s="11" t="s">
        <v>226</v>
      </c>
      <c r="B346" s="56">
        <v>2.701133157960683</v>
      </c>
      <c r="C346" s="56"/>
      <c r="D346" s="50">
        <f>B346+C346+'418'!G7</f>
        <v>0.32893315796066247</v>
      </c>
      <c r="E346" s="35" t="s">
        <v>608</v>
      </c>
    </row>
    <row r="347" spans="1:5" ht="25.5">
      <c r="A347" s="11" t="s">
        <v>832</v>
      </c>
      <c r="B347" s="56">
        <v>0</v>
      </c>
      <c r="C347" s="56"/>
      <c r="D347" s="50">
        <f>'519'!G7+'539'!G5</f>
        <v>0.10169999999874335</v>
      </c>
      <c r="E347" s="80" t="s">
        <v>900</v>
      </c>
    </row>
    <row r="348" spans="1:5" ht="25.5">
      <c r="A348" s="11" t="s">
        <v>874</v>
      </c>
      <c r="B348" s="56">
        <v>0</v>
      </c>
      <c r="C348" s="56"/>
      <c r="D348" s="50">
        <f>'531'!G12+'538'!G9</f>
        <v>18.67429999999922</v>
      </c>
      <c r="E348" s="80" t="s">
        <v>895</v>
      </c>
    </row>
    <row r="349" spans="1:5" ht="25.5">
      <c r="A349" s="11" t="s">
        <v>857</v>
      </c>
      <c r="B349" s="56">
        <v>0</v>
      </c>
      <c r="C349" s="56"/>
      <c r="D349" s="50">
        <f>'525'!G8</f>
        <v>-0.18170000000009168</v>
      </c>
      <c r="E349" s="80">
        <v>525</v>
      </c>
    </row>
    <row r="350" spans="1:5" ht="25.5">
      <c r="A350" s="11" t="s">
        <v>227</v>
      </c>
      <c r="B350" s="56">
        <v>6.7210111524161675</v>
      </c>
      <c r="C350" s="56"/>
      <c r="D350" s="50">
        <f>B350+C350+'306'!G8+'309'!G5+'311'!G4+'390'!G5+'397'!G5+'416'!G5+'481'!G6+'520'!G4+'555'!G8+'557'!G8+'572'!G11</f>
        <v>0.3243131360084135</v>
      </c>
      <c r="E350" s="30" t="s">
        <v>1012</v>
      </c>
    </row>
    <row r="351" spans="1:5" ht="25.5">
      <c r="A351" s="11" t="s">
        <v>1148</v>
      </c>
      <c r="B351" s="56">
        <v>0</v>
      </c>
      <c r="C351" s="56"/>
      <c r="D351" s="50">
        <f>'604'!G8</f>
        <v>-703.8995000000001</v>
      </c>
      <c r="E351" s="65">
        <v>604</v>
      </c>
    </row>
    <row r="352" spans="1:5" ht="25.5">
      <c r="A352" s="11" t="s">
        <v>228</v>
      </c>
      <c r="B352" s="56">
        <v>18.961397682707343</v>
      </c>
      <c r="C352" s="56"/>
      <c r="D352" s="50">
        <f>B352+C352+'302'!G8+'325'!G4+'359'!G8+'367'!G4+'375'!G4+'402'!G8+'476'!G9+'574'!G4</f>
        <v>0.053687524661938824</v>
      </c>
      <c r="E352" s="30" t="s">
        <v>1017</v>
      </c>
    </row>
    <row r="353" spans="1:5" ht="25.5">
      <c r="A353" s="15" t="s">
        <v>389</v>
      </c>
      <c r="B353" s="56">
        <v>0</v>
      </c>
      <c r="C353" s="56"/>
      <c r="D353" s="50">
        <f>B353+C353+'330-333'!G4</f>
        <v>0.43012999999700696</v>
      </c>
      <c r="E353" s="65" t="s">
        <v>396</v>
      </c>
    </row>
    <row r="354" spans="1:5" ht="25.5">
      <c r="A354" s="15" t="s">
        <v>505</v>
      </c>
      <c r="B354" s="56">
        <v>0</v>
      </c>
      <c r="C354" s="56"/>
      <c r="D354" s="50">
        <f>'380'!G7+'394'!G7+'405'!G6+'411'!G8+'423'!G5+'429'!G6+'442'!G7+'572'!G8+'583'!G5</f>
        <v>-0.906500000000392</v>
      </c>
      <c r="E354" s="65" t="s">
        <v>1052</v>
      </c>
    </row>
    <row r="355" spans="1:5" ht="25.5">
      <c r="A355" s="15" t="s">
        <v>616</v>
      </c>
      <c r="B355" s="56">
        <v>0</v>
      </c>
      <c r="C355" s="56"/>
      <c r="D355" s="50">
        <f>'424'!G4</f>
        <v>0.0907999999999447</v>
      </c>
      <c r="E355" s="65">
        <v>424</v>
      </c>
    </row>
    <row r="356" spans="1:5" ht="25.5">
      <c r="A356" s="15" t="s">
        <v>483</v>
      </c>
      <c r="B356" s="56">
        <v>0</v>
      </c>
      <c r="C356" s="56"/>
      <c r="D356" s="50">
        <f>'371'!G4+'374'!G6</f>
        <v>36.68513999999982</v>
      </c>
      <c r="E356" s="65" t="s">
        <v>494</v>
      </c>
    </row>
    <row r="357" spans="1:5" ht="25.5">
      <c r="A357" s="15" t="s">
        <v>229</v>
      </c>
      <c r="B357" s="56">
        <v>-0.3702024190243378</v>
      </c>
      <c r="C357" s="56"/>
      <c r="D357" s="50">
        <f>B357+C357+'329'!G5+'341'!G4+'345'!G9+'374'!G7+'416'!G9+'417'!G4+'466'!G6+'473'!G7+'506'!G6+'605'!G4</f>
        <v>-2722.7536958458786</v>
      </c>
      <c r="E357" s="30" t="s">
        <v>1149</v>
      </c>
    </row>
    <row r="358" spans="1:5" ht="25.5">
      <c r="A358" s="15" t="s">
        <v>638</v>
      </c>
      <c r="B358" s="56">
        <v>0</v>
      </c>
      <c r="C358" s="56"/>
      <c r="D358" s="50">
        <f>'431'!G7</f>
        <v>5.50649999999996</v>
      </c>
      <c r="E358" s="65">
        <v>431</v>
      </c>
    </row>
    <row r="359" spans="1:5" ht="25.5">
      <c r="A359" s="15" t="s">
        <v>430</v>
      </c>
      <c r="B359" s="56">
        <v>0</v>
      </c>
      <c r="C359" s="56"/>
      <c r="D359" s="50">
        <f>'350'!G10+'352'!G8</f>
        <v>12.801242000000002</v>
      </c>
      <c r="E359" s="65" t="s">
        <v>439</v>
      </c>
    </row>
    <row r="360" spans="1:5" ht="25.5">
      <c r="A360" s="15" t="s">
        <v>230</v>
      </c>
      <c r="B360" s="56">
        <v>36.861355375757796</v>
      </c>
      <c r="C360" s="56"/>
      <c r="D360" s="50">
        <f>B360+C360+'325'!G11</f>
        <v>-5.510241398435653</v>
      </c>
      <c r="E360" s="30" t="s">
        <v>375</v>
      </c>
    </row>
    <row r="361" spans="1:5" ht="25.5">
      <c r="A361" s="11" t="s">
        <v>231</v>
      </c>
      <c r="B361" s="56">
        <v>7.176805092936775</v>
      </c>
      <c r="C361" s="56"/>
      <c r="D361" s="50">
        <f>B361+C361</f>
        <v>7.176805092936775</v>
      </c>
      <c r="E361" s="30">
        <v>47</v>
      </c>
    </row>
    <row r="362" spans="1:5" ht="25.5">
      <c r="A362" s="11" t="s">
        <v>232</v>
      </c>
      <c r="B362" s="56">
        <v>1.1924749487498048</v>
      </c>
      <c r="C362" s="56"/>
      <c r="D362" s="50">
        <f>B362+C362</f>
        <v>1.1924749487498048</v>
      </c>
      <c r="E362" s="30" t="s">
        <v>233</v>
      </c>
    </row>
    <row r="363" spans="1:5" ht="25.5">
      <c r="A363" s="15" t="s">
        <v>317</v>
      </c>
      <c r="B363" s="56">
        <v>0</v>
      </c>
      <c r="C363" s="56"/>
      <c r="D363" s="50">
        <f>B363+C363+'305'!G7+'306'!G7</f>
        <v>4.804733842235976</v>
      </c>
      <c r="E363" s="65" t="s">
        <v>323</v>
      </c>
    </row>
    <row r="364" spans="1:5" ht="25.5">
      <c r="A364" s="15" t="s">
        <v>625</v>
      </c>
      <c r="B364" s="56">
        <v>0</v>
      </c>
      <c r="C364" s="56"/>
      <c r="D364" s="50">
        <f>'427'!G4+'437'!G5+'441'!G5+'466'!G7+'513'!G4+'528'!G6+'531'!G5</f>
        <v>-0.37609999999955335</v>
      </c>
      <c r="E364" s="65" t="s">
        <v>875</v>
      </c>
    </row>
    <row r="365" spans="1:5" ht="25.5">
      <c r="A365" s="15" t="s">
        <v>535</v>
      </c>
      <c r="B365" s="56">
        <v>0</v>
      </c>
      <c r="C365" s="56"/>
      <c r="D365" s="50">
        <f>'391'!G6+'398'!G6+'400'!G8+'532'!G10+'544'!G8+'554'!G7</f>
        <v>0.15309999999982438</v>
      </c>
      <c r="E365" s="65" t="s">
        <v>957</v>
      </c>
    </row>
    <row r="366" spans="1:5" ht="31.5">
      <c r="A366" s="11" t="s">
        <v>234</v>
      </c>
      <c r="B366" s="56">
        <v>2.442424242424238</v>
      </c>
      <c r="C366" s="56"/>
      <c r="D366" s="50">
        <f>B366+C366+'378'!G8+'415'!G5+'513'!G7+'563'!G5</f>
        <v>-0.29557575757570476</v>
      </c>
      <c r="E366" s="30" t="s">
        <v>983</v>
      </c>
    </row>
    <row r="367" spans="1:5" ht="25.5">
      <c r="A367" s="15" t="s">
        <v>429</v>
      </c>
      <c r="B367" s="56">
        <v>0</v>
      </c>
      <c r="C367" s="56"/>
      <c r="D367" s="50">
        <f>'350'!G9</f>
        <v>-0.48285800000002155</v>
      </c>
      <c r="E367" s="65">
        <v>350</v>
      </c>
    </row>
    <row r="368" spans="1:5" ht="25.5">
      <c r="A368" s="11" t="s">
        <v>235</v>
      </c>
      <c r="B368" s="56">
        <v>6.017449376720265</v>
      </c>
      <c r="C368" s="56"/>
      <c r="D368" s="50">
        <f aca="true" t="shared" si="1" ref="D368:D376">B368+C368</f>
        <v>6.017449376720265</v>
      </c>
      <c r="E368" s="30" t="s">
        <v>236</v>
      </c>
    </row>
    <row r="369" spans="1:5" ht="25.5">
      <c r="A369" s="11" t="s">
        <v>237</v>
      </c>
      <c r="B369" s="56">
        <v>1.1351302597282427</v>
      </c>
      <c r="C369" s="56"/>
      <c r="D369" s="50">
        <f t="shared" si="1"/>
        <v>1.1351302597282427</v>
      </c>
      <c r="E369" s="34" t="s">
        <v>238</v>
      </c>
    </row>
    <row r="370" spans="1:5" ht="25.5">
      <c r="A370" s="11" t="s">
        <v>1043</v>
      </c>
      <c r="B370" s="56">
        <v>0</v>
      </c>
      <c r="C370" s="56"/>
      <c r="D370" s="50">
        <f>'580'!G8</f>
        <v>0.620200000000068</v>
      </c>
      <c r="E370" s="80">
        <v>580</v>
      </c>
    </row>
    <row r="371" spans="1:5" ht="25.5">
      <c r="A371" s="11" t="s">
        <v>239</v>
      </c>
      <c r="B371" s="56">
        <v>-14.301456186530174</v>
      </c>
      <c r="C371" s="56"/>
      <c r="D371" s="50">
        <f t="shared" si="1"/>
        <v>-14.301456186530174</v>
      </c>
      <c r="E371" s="35" t="s">
        <v>240</v>
      </c>
    </row>
    <row r="372" spans="1:5" ht="25.5">
      <c r="A372" s="11" t="s">
        <v>241</v>
      </c>
      <c r="B372" s="56">
        <v>-0.37727988284905223</v>
      </c>
      <c r="C372" s="56"/>
      <c r="D372" s="50">
        <f t="shared" si="1"/>
        <v>-0.37727988284905223</v>
      </c>
      <c r="E372" s="35" t="s">
        <v>242</v>
      </c>
    </row>
    <row r="373" spans="1:5" ht="25.5">
      <c r="A373" s="11" t="s">
        <v>243</v>
      </c>
      <c r="B373" s="56">
        <v>-88.34230000000025</v>
      </c>
      <c r="C373" s="56"/>
      <c r="D373" s="50">
        <f t="shared" si="1"/>
        <v>-88.34230000000025</v>
      </c>
      <c r="E373" s="34">
        <v>179</v>
      </c>
    </row>
    <row r="374" spans="1:5" ht="25.5">
      <c r="A374" s="11" t="s">
        <v>244</v>
      </c>
      <c r="B374" s="56">
        <v>0</v>
      </c>
      <c r="C374" s="56"/>
      <c r="D374" s="50">
        <f>B374+C374+'595'!G5</f>
        <v>1.8954000000001088</v>
      </c>
      <c r="E374" s="34" t="s">
        <v>1089</v>
      </c>
    </row>
    <row r="375" spans="1:5" ht="25.5">
      <c r="A375" s="11" t="s">
        <v>916</v>
      </c>
      <c r="B375" s="56">
        <v>0</v>
      </c>
      <c r="C375" s="56"/>
      <c r="D375" s="50">
        <f>'544'!G5</f>
        <v>-0.4239999999997508</v>
      </c>
      <c r="E375" s="80">
        <v>544</v>
      </c>
    </row>
    <row r="376" spans="1:5" ht="25.5">
      <c r="A376" s="11" t="s">
        <v>245</v>
      </c>
      <c r="B376" s="56">
        <v>-1.2860804541588777</v>
      </c>
      <c r="C376" s="56"/>
      <c r="D376" s="50">
        <f t="shared" si="1"/>
        <v>-1.2860804541588777</v>
      </c>
      <c r="E376" s="34" t="s">
        <v>246</v>
      </c>
    </row>
    <row r="377" spans="1:5" ht="25.5">
      <c r="A377" s="15" t="s">
        <v>482</v>
      </c>
      <c r="B377" s="56">
        <v>0</v>
      </c>
      <c r="C377" s="56"/>
      <c r="D377" s="50">
        <f>'370'!G7+'383'!G10+'389'!G7+'575'!G6</f>
        <v>1.7317999999999074</v>
      </c>
      <c r="E377" s="80" t="s">
        <v>1026</v>
      </c>
    </row>
    <row r="378" spans="1:5" ht="25.5">
      <c r="A378" s="11" t="s">
        <v>381</v>
      </c>
      <c r="B378" s="56">
        <v>0</v>
      </c>
      <c r="C378" s="56"/>
      <c r="D378" s="50">
        <f>B378+C378+'327'!G4+'334'!G4+'334'!G5+'347'!G4+'350'!G5+'357'!G11+'372'!G8+'379'!G4+'405'!G4+'440'!G9+'570'!G4+'577'!G6+'580'!G5</f>
        <v>0.04559400000005098</v>
      </c>
      <c r="E378" s="80" t="s">
        <v>1046</v>
      </c>
    </row>
    <row r="379" spans="1:5" ht="25.5">
      <c r="A379" s="11" t="s">
        <v>1119</v>
      </c>
      <c r="B379" s="56">
        <v>0</v>
      </c>
      <c r="C379" s="56"/>
      <c r="D379" s="50">
        <f>'601'!G4</f>
        <v>-163.98239999999998</v>
      </c>
      <c r="E379" s="80">
        <v>601</v>
      </c>
    </row>
    <row r="380" spans="1:5" ht="45.75">
      <c r="A380" s="15" t="s">
        <v>408</v>
      </c>
      <c r="B380" s="56">
        <v>0</v>
      </c>
      <c r="C380" s="56"/>
      <c r="D380" s="50">
        <f>B380+C380+'340'!G9+'358'!G7+'414'!G7+'433'!G9+'435'!G8+'435'!G9+'450'!G4+'453'!G5+'460'!G4+'462'!G6+'464'!G7+'471'!G5+'475'!G5+'477'!G5+'477'!G6+'480'!G8+'486'!G4+'489'!G5+'491'!G6+'499'!G5+'504'!G7+'512'!G4+'519'!G5+'519'!G6+'526'!G4+'529'!G5+'531'!G11+'537'!G5+'542'!G4+'540'!G7+'543'!G9+'545'!G7+'568'!G4+'568'!G5+'578'!G6+'589'!G4+'589'!G5+'590'!G5+'598'!G7+'603'!G5+'603'!G6+'605'!G6</f>
        <v>-1343.2887100000007</v>
      </c>
      <c r="E380" s="80" t="s">
        <v>1151</v>
      </c>
    </row>
    <row r="381" spans="1:5" ht="25.5">
      <c r="A381" s="11" t="s">
        <v>247</v>
      </c>
      <c r="B381" s="56">
        <v>8.620830279867448</v>
      </c>
      <c r="C381" s="56"/>
      <c r="D381" s="50">
        <f>B381+C381</f>
        <v>8.620830279867448</v>
      </c>
      <c r="E381" s="35" t="s">
        <v>248</v>
      </c>
    </row>
    <row r="382" spans="1:5" ht="25.5">
      <c r="A382" s="11" t="s">
        <v>249</v>
      </c>
      <c r="B382" s="56">
        <v>6.633252505582078</v>
      </c>
      <c r="C382" s="56"/>
      <c r="D382" s="50">
        <f>B382+C382</f>
        <v>6.633252505582078</v>
      </c>
      <c r="E382" s="34" t="s">
        <v>250</v>
      </c>
    </row>
    <row r="383" spans="1:5" ht="25.5">
      <c r="A383" s="11" t="s">
        <v>694</v>
      </c>
      <c r="B383" s="56">
        <v>0</v>
      </c>
      <c r="C383" s="56"/>
      <c r="D383" s="50">
        <f>'456'!G6+'573'!G4</f>
        <v>-0.46415000000069995</v>
      </c>
      <c r="E383" s="80" t="s">
        <v>1018</v>
      </c>
    </row>
    <row r="384" spans="1:5" ht="31.5">
      <c r="A384" s="15" t="s">
        <v>400</v>
      </c>
      <c r="B384" s="56">
        <v>0</v>
      </c>
      <c r="C384" s="56"/>
      <c r="D384" s="50">
        <f>B384+C384+'339'!G6+'359'!G7+'362'!G8+'422'!G4+'425'!G7+'470'!G6+'479'!G7+'514'!G6+'522'!G6+'539'!G6+'543'!G7+'545'!G4+'551'!G5+'570'!G6+'585'!G4</f>
        <v>-0.5446800000005823</v>
      </c>
      <c r="E384" s="80" t="s">
        <v>1062</v>
      </c>
    </row>
    <row r="385" spans="1:5" ht="25.5">
      <c r="A385" s="15" t="s">
        <v>251</v>
      </c>
      <c r="B385" s="56">
        <v>0.1448835820901877</v>
      </c>
      <c r="C385" s="56"/>
      <c r="D385" s="50">
        <f>B385+C385+'448'!G4+'449'!G4</f>
        <v>0.4615835820893608</v>
      </c>
      <c r="E385" s="35" t="s">
        <v>687</v>
      </c>
    </row>
    <row r="386" spans="1:5" ht="25.5">
      <c r="A386" s="11" t="s">
        <v>252</v>
      </c>
      <c r="B386" s="56">
        <v>-0.2964344827586558</v>
      </c>
      <c r="C386" s="56"/>
      <c r="D386" s="50">
        <f>B386+C386</f>
        <v>-0.2964344827586558</v>
      </c>
      <c r="E386" s="34">
        <v>176</v>
      </c>
    </row>
    <row r="387" spans="1:5" ht="25.5">
      <c r="A387" s="11" t="s">
        <v>763</v>
      </c>
      <c r="B387" s="56">
        <v>0</v>
      </c>
      <c r="C387" s="56"/>
      <c r="D387" s="50">
        <f>'488'!G7</f>
        <v>-2.054399999999987</v>
      </c>
      <c r="E387" s="80">
        <v>488</v>
      </c>
    </row>
    <row r="388" spans="1:5" ht="31.5">
      <c r="A388" s="11" t="s">
        <v>253</v>
      </c>
      <c r="B388" s="56">
        <v>-1.9700000000000273</v>
      </c>
      <c r="C388" s="56"/>
      <c r="D388" s="50">
        <f>B388+C388</f>
        <v>-1.9700000000000273</v>
      </c>
      <c r="E388" s="34">
        <v>224</v>
      </c>
    </row>
    <row r="389" spans="1:5" ht="25.5">
      <c r="A389" s="11" t="s">
        <v>953</v>
      </c>
      <c r="B389" s="56">
        <v>0</v>
      </c>
      <c r="C389" s="56"/>
      <c r="D389" s="50">
        <f>'554'!G6+'557'!G5+'560'!G5+'565'!G6+'566'!G6+'570'!G8+'581'!G6+'589'!G6</f>
        <v>0.02281999999979689</v>
      </c>
      <c r="E389" s="80" t="s">
        <v>1074</v>
      </c>
    </row>
    <row r="390" spans="1:5" ht="25.5">
      <c r="A390" s="15" t="s">
        <v>507</v>
      </c>
      <c r="B390" s="56">
        <v>0</v>
      </c>
      <c r="C390" s="56"/>
      <c r="D390" s="50">
        <f>B390+C390+'382'!G4+'531'!G10</f>
        <v>0.23240000000009786</v>
      </c>
      <c r="E390" s="80" t="s">
        <v>876</v>
      </c>
    </row>
    <row r="391" spans="1:5" ht="25.5">
      <c r="A391" s="15" t="s">
        <v>452</v>
      </c>
      <c r="B391" s="56">
        <v>0</v>
      </c>
      <c r="C391" s="56"/>
      <c r="D391" s="50">
        <f>B391+C391+'357'!G5+'364'!G8+'391'!G10+'482'!G5</f>
        <v>-0.17629000000005135</v>
      </c>
      <c r="E391" s="80" t="s">
        <v>751</v>
      </c>
    </row>
    <row r="392" spans="1:5" ht="25.5">
      <c r="A392" s="11" t="s">
        <v>357</v>
      </c>
      <c r="B392" s="56">
        <v>0</v>
      </c>
      <c r="C392" s="56"/>
      <c r="D392" s="50">
        <f>B392+C392+'320'!G7+'407'!G12</f>
        <v>0.12073902439010453</v>
      </c>
      <c r="E392" s="80" t="s">
        <v>581</v>
      </c>
    </row>
    <row r="393" spans="1:5" ht="31.5">
      <c r="A393" s="11" t="s">
        <v>254</v>
      </c>
      <c r="B393" s="56">
        <v>-0.1150172419457931</v>
      </c>
      <c r="C393" s="56"/>
      <c r="D393" s="50">
        <f>B393+C393+'319'!G5+'389'!G8+'474'!G4</f>
        <v>0.3982938691652862</v>
      </c>
      <c r="E393" s="30" t="s">
        <v>733</v>
      </c>
    </row>
    <row r="394" spans="1:5" ht="25.5">
      <c r="A394" s="15" t="s">
        <v>572</v>
      </c>
      <c r="B394" s="56">
        <v>0</v>
      </c>
      <c r="C394" s="56"/>
      <c r="D394" s="50">
        <f>'403'!G10</f>
        <v>0.09059999999988122</v>
      </c>
      <c r="E394" s="65">
        <v>403</v>
      </c>
    </row>
    <row r="395" spans="1:5" ht="31.5">
      <c r="A395" s="11" t="s">
        <v>749</v>
      </c>
      <c r="B395" s="56">
        <v>0</v>
      </c>
      <c r="C395" s="56"/>
      <c r="D395" s="50">
        <f>'482'!G8</f>
        <v>-0.20000000000004547</v>
      </c>
      <c r="E395" s="65">
        <v>482</v>
      </c>
    </row>
    <row r="396" spans="1:5" ht="25.5">
      <c r="A396" s="15" t="s">
        <v>708</v>
      </c>
      <c r="B396" s="56">
        <v>0</v>
      </c>
      <c r="C396" s="56"/>
      <c r="D396" s="50">
        <f>'464'!G4+'470'!G4+'510'!G6</f>
        <v>0.42429999999990287</v>
      </c>
      <c r="E396" s="65" t="s">
        <v>812</v>
      </c>
    </row>
    <row r="397" spans="1:5" ht="25.5">
      <c r="A397" s="126" t="s">
        <v>791</v>
      </c>
      <c r="B397" s="56">
        <v>0</v>
      </c>
      <c r="C397" s="56"/>
      <c r="D397" s="50">
        <f>'500'!G6+'540'!G8</f>
        <v>-0.2991999999998143</v>
      </c>
      <c r="E397" s="65" t="s">
        <v>906</v>
      </c>
    </row>
    <row r="398" spans="1:5" ht="25.5">
      <c r="A398" s="11" t="s">
        <v>255</v>
      </c>
      <c r="B398" s="56">
        <v>1.9459866171004023</v>
      </c>
      <c r="C398" s="56"/>
      <c r="D398" s="50">
        <f>B398+C398+'304'!G7+'493'!G4</f>
        <v>-4.798733422979694</v>
      </c>
      <c r="E398" s="30" t="s">
        <v>781</v>
      </c>
    </row>
    <row r="399" spans="1:5" ht="25.5">
      <c r="A399" s="11" t="s">
        <v>468</v>
      </c>
      <c r="B399" s="56">
        <v>0</v>
      </c>
      <c r="C399" s="56"/>
      <c r="D399" s="50">
        <f>'362'!G6</f>
        <v>-17.24165000000039</v>
      </c>
      <c r="E399" s="65">
        <v>362</v>
      </c>
    </row>
    <row r="400" spans="1:5" ht="25.5">
      <c r="A400" s="15" t="s">
        <v>492</v>
      </c>
      <c r="B400" s="56">
        <v>0</v>
      </c>
      <c r="C400" s="56"/>
      <c r="D400" s="50">
        <f>'374'!G8+'394'!G5</f>
        <v>0.1470000000000482</v>
      </c>
      <c r="E400" s="65" t="s">
        <v>546</v>
      </c>
    </row>
    <row r="401" spans="1:5" ht="25.5">
      <c r="A401" s="15" t="s">
        <v>506</v>
      </c>
      <c r="B401" s="56">
        <v>0</v>
      </c>
      <c r="C401" s="56"/>
      <c r="D401" s="50">
        <f>'381'!G5+'411'!G5+'419'!G6+'468'!G4+'506'!G7+'511'!G6+'528'!G4+'531'!G6+'554'!G8+'558'!G5+'559'!G9+'564'!G11+'567'!G5</f>
        <v>0.2127800000002935</v>
      </c>
      <c r="E401" s="65" t="s">
        <v>999</v>
      </c>
    </row>
    <row r="402" spans="1:5" ht="25.5">
      <c r="A402" s="15" t="s">
        <v>795</v>
      </c>
      <c r="B402" s="56">
        <v>0</v>
      </c>
      <c r="C402" s="56"/>
      <c r="D402" s="50">
        <f>'506'!G5+'507'!G4+'524'!G10+'534'!G4+'541'!G8+'572'!G7+'588'!G9</f>
        <v>-0.49599999999952615</v>
      </c>
      <c r="E402" s="65" t="s">
        <v>1075</v>
      </c>
    </row>
    <row r="403" spans="1:5" ht="25.5">
      <c r="A403" s="15" t="s">
        <v>681</v>
      </c>
      <c r="B403" s="56">
        <v>0</v>
      </c>
      <c r="C403" s="56"/>
      <c r="D403" s="50">
        <f>'448'!G8</f>
        <v>-0.34669999999999845</v>
      </c>
      <c r="E403" s="65">
        <v>448</v>
      </c>
    </row>
    <row r="404" spans="1:5" ht="25.5">
      <c r="A404" s="15" t="s">
        <v>1067</v>
      </c>
      <c r="B404" s="56">
        <v>0</v>
      </c>
      <c r="C404" s="56"/>
      <c r="D404" s="50">
        <f>'586'!G7</f>
        <v>0.43270000000006803</v>
      </c>
      <c r="E404" s="65">
        <v>586</v>
      </c>
    </row>
    <row r="405" spans="1:5" ht="25.5">
      <c r="A405" s="36" t="s">
        <v>256</v>
      </c>
      <c r="B405" s="56">
        <v>0.7379448639157431</v>
      </c>
      <c r="C405" s="56"/>
      <c r="D405" s="50">
        <f>B405+C405</f>
        <v>0.7379448639157431</v>
      </c>
      <c r="E405" s="30" t="s">
        <v>257</v>
      </c>
    </row>
    <row r="406" spans="1:5" ht="25.5">
      <c r="A406" s="36" t="s">
        <v>258</v>
      </c>
      <c r="B406" s="56">
        <v>0.16304337137825087</v>
      </c>
      <c r="C406" s="56"/>
      <c r="D406" s="50">
        <f>B406+C406</f>
        <v>0.16304337137825087</v>
      </c>
      <c r="E406" s="30" t="s">
        <v>257</v>
      </c>
    </row>
    <row r="407" spans="1:5" ht="25.5">
      <c r="A407" s="11" t="s">
        <v>259</v>
      </c>
      <c r="B407" s="60">
        <v>-1.948836693129607</v>
      </c>
      <c r="C407" s="60"/>
      <c r="D407" s="50">
        <f>B407+C407</f>
        <v>-1.948836693129607</v>
      </c>
      <c r="E407" s="30" t="s">
        <v>260</v>
      </c>
    </row>
    <row r="408" spans="1:5" ht="25.5">
      <c r="A408" s="11" t="s">
        <v>261</v>
      </c>
      <c r="B408" s="56">
        <v>0.2373907806690454</v>
      </c>
      <c r="C408" s="56"/>
      <c r="D408" s="50">
        <f>B408+C408</f>
        <v>0.2373907806690454</v>
      </c>
      <c r="E408" s="30" t="s">
        <v>262</v>
      </c>
    </row>
    <row r="409" spans="1:5" ht="25.5">
      <c r="A409" s="11" t="s">
        <v>263</v>
      </c>
      <c r="B409" s="56">
        <v>0.6719600314401077</v>
      </c>
      <c r="C409" s="56"/>
      <c r="D409" s="50">
        <f>B409+C409+'307'!G6+'357'!G4</f>
        <v>-1.2079886030980447</v>
      </c>
      <c r="E409" s="30" t="s">
        <v>458</v>
      </c>
    </row>
    <row r="410" spans="1:5" ht="25.5">
      <c r="A410" s="11" t="s">
        <v>264</v>
      </c>
      <c r="B410" s="56">
        <v>-17.755762859074366</v>
      </c>
      <c r="C410" s="56"/>
      <c r="D410" s="50">
        <f>B410+C410</f>
        <v>-17.755762859074366</v>
      </c>
      <c r="E410" s="30">
        <v>201.243</v>
      </c>
    </row>
    <row r="411" spans="1:5" ht="25.5">
      <c r="A411" s="11" t="s">
        <v>265</v>
      </c>
      <c r="B411" s="56">
        <v>-0.7358782287822123</v>
      </c>
      <c r="C411" s="56"/>
      <c r="D411" s="50">
        <f>B411+C411</f>
        <v>-0.7358782287822123</v>
      </c>
      <c r="E411" s="30">
        <v>97</v>
      </c>
    </row>
    <row r="412" spans="1:5" ht="25.5">
      <c r="A412" s="11" t="s">
        <v>715</v>
      </c>
      <c r="B412" s="56">
        <v>0</v>
      </c>
      <c r="C412" s="56"/>
      <c r="D412" s="50">
        <f>'466'!G5</f>
        <v>-0.049999999999954525</v>
      </c>
      <c r="E412" s="30">
        <v>466</v>
      </c>
    </row>
    <row r="413" spans="1:5" ht="25.5">
      <c r="A413" s="15" t="s">
        <v>355</v>
      </c>
      <c r="B413" s="56">
        <v>0</v>
      </c>
      <c r="C413" s="56"/>
      <c r="D413" s="50">
        <f>B413+C413+'320'!G4+'324'!G4+'327'!G9+'344'!G8+'349'!G10+'353'!G6+'356'!G6+'406'!G5+'434'!G5+'443'!G5</f>
        <v>0.2162076664777146</v>
      </c>
      <c r="E413" s="65" t="s">
        <v>673</v>
      </c>
    </row>
    <row r="414" spans="1:5" ht="25.5">
      <c r="A414" s="11" t="s">
        <v>266</v>
      </c>
      <c r="B414" s="56">
        <v>11.393464426315745</v>
      </c>
      <c r="C414" s="56"/>
      <c r="D414" s="50">
        <f>B414+C414</f>
        <v>11.393464426315745</v>
      </c>
      <c r="E414" s="30">
        <v>18</v>
      </c>
    </row>
    <row r="415" spans="1:5" ht="25.5">
      <c r="A415" s="11" t="s">
        <v>897</v>
      </c>
      <c r="B415" s="56">
        <v>0</v>
      </c>
      <c r="C415" s="56"/>
      <c r="D415" s="50">
        <f>'539'!G10+'551'!G7+'587'!G8</f>
        <v>-0.03840000000002419</v>
      </c>
      <c r="E415" s="30" t="s">
        <v>1069</v>
      </c>
    </row>
    <row r="416" spans="1:5" ht="25.5">
      <c r="A416" s="11" t="s">
        <v>267</v>
      </c>
      <c r="B416" s="56">
        <v>5.942128301886839</v>
      </c>
      <c r="C416" s="56"/>
      <c r="D416" s="50">
        <f>B416+C416+'308'!G9+'326'!G4</f>
        <v>0.04558817968762696</v>
      </c>
      <c r="E416" s="30" t="s">
        <v>379</v>
      </c>
    </row>
    <row r="417" spans="1:5" ht="45.75">
      <c r="A417" s="11" t="s">
        <v>758</v>
      </c>
      <c r="B417" s="56">
        <v>0</v>
      </c>
      <c r="C417" s="56"/>
      <c r="D417" s="50">
        <f>'485'!G8+'488'!G6+'489'!G6+'491'!G4+'494'!G6+'495'!G4+'498'!G8+'502'!G5+'504'!G4+'508'!G5+'511'!G4+'514'!G7+'521'!G4+'522'!G8+'524'!G5+'525'!G10+'529'!G4+'530'!G4+'531'!G7+'532'!G5+'535'!G7+'538'!G7+'547'!G9+'549'!G7+'556'!G7+'557'!G9+'559'!G8+'563'!G4+'564'!G6+'566'!G4+'588'!G7+'594'!G6+'597'!G6+'602'!G4</f>
        <v>-0.3319200000022988</v>
      </c>
      <c r="E417" s="65" t="s">
        <v>1132</v>
      </c>
    </row>
    <row r="418" spans="1:5" ht="25.5">
      <c r="A418" s="11" t="s">
        <v>712</v>
      </c>
      <c r="B418" s="56">
        <v>0</v>
      </c>
      <c r="C418" s="56"/>
      <c r="D418" s="50">
        <f>'465'!G6</f>
        <v>0.7104000000000497</v>
      </c>
      <c r="E418" s="65">
        <v>465</v>
      </c>
    </row>
    <row r="419" spans="1:6" ht="25.5">
      <c r="A419" s="11" t="s">
        <v>268</v>
      </c>
      <c r="B419" s="56">
        <v>0</v>
      </c>
      <c r="C419" s="56"/>
      <c r="D419" s="50">
        <f>B419+C419+'324'!G6+'374'!G5+'425'!G13</f>
        <v>-0.2659859719439055</v>
      </c>
      <c r="E419" s="30" t="s">
        <v>623</v>
      </c>
      <c r="F419" s="43"/>
    </row>
    <row r="420" spans="1:6" ht="25.5">
      <c r="A420" s="15" t="s">
        <v>269</v>
      </c>
      <c r="B420" s="56">
        <v>0.7951898989899746</v>
      </c>
      <c r="C420" s="56"/>
      <c r="D420" s="50">
        <f>B420+C420</f>
        <v>0.7951898989899746</v>
      </c>
      <c r="E420" s="30">
        <v>288</v>
      </c>
      <c r="F420" s="43"/>
    </row>
    <row r="421" spans="1:6" ht="25.5">
      <c r="A421" s="11" t="s">
        <v>584</v>
      </c>
      <c r="B421" s="56">
        <v>0</v>
      </c>
      <c r="C421" s="56"/>
      <c r="D421" s="50">
        <f>'410'!G4</f>
        <v>-0.310799999999972</v>
      </c>
      <c r="E421" s="65">
        <v>410</v>
      </c>
      <c r="F421" s="43"/>
    </row>
    <row r="422" spans="1:6" ht="25.5">
      <c r="A422" s="15" t="s">
        <v>531</v>
      </c>
      <c r="B422" s="56">
        <v>0</v>
      </c>
      <c r="C422" s="56"/>
      <c r="D422" s="50">
        <f>'390'!G8</f>
        <v>23.69360000000006</v>
      </c>
      <c r="E422" s="65">
        <v>390</v>
      </c>
      <c r="F422" s="43"/>
    </row>
    <row r="423" spans="1:6" ht="31.5">
      <c r="A423" s="11" t="s">
        <v>645</v>
      </c>
      <c r="B423" s="56">
        <v>0</v>
      </c>
      <c r="C423" s="56"/>
      <c r="D423" s="50">
        <f>'434'!G4+'460'!G7+'467'!G5</f>
        <v>-0.4597999999998592</v>
      </c>
      <c r="E423" s="65" t="s">
        <v>719</v>
      </c>
      <c r="F423" s="43"/>
    </row>
    <row r="424" spans="1:6" ht="25.5">
      <c r="A424" s="11" t="s">
        <v>893</v>
      </c>
      <c r="B424" s="56">
        <v>0</v>
      </c>
      <c r="C424" s="56"/>
      <c r="D424" s="50">
        <f>'538'!G8</f>
        <v>-0.2519000000000915</v>
      </c>
      <c r="E424" s="65">
        <v>538</v>
      </c>
      <c r="F424" s="43"/>
    </row>
    <row r="425" spans="1:5" ht="25.5">
      <c r="A425" s="44" t="s">
        <v>270</v>
      </c>
      <c r="B425" s="56">
        <v>7.131369924571686</v>
      </c>
      <c r="C425" s="56"/>
      <c r="D425" s="50">
        <f>B425+C425+'308'!G7+'350'!G6+'463'!G4</f>
        <v>0.25808216946978746</v>
      </c>
      <c r="E425" s="30" t="s">
        <v>705</v>
      </c>
    </row>
    <row r="426" spans="1:5" ht="25.5">
      <c r="A426" s="44" t="s">
        <v>271</v>
      </c>
      <c r="B426" s="56">
        <v>31.191849100083118</v>
      </c>
      <c r="C426" s="56"/>
      <c r="D426" s="50">
        <f>B426+C426+'322'!G6+'341'!G9+'360'!G4+'425'!G12+'525'!G9</f>
        <v>-0.6483018858327796</v>
      </c>
      <c r="E426" s="30" t="s">
        <v>858</v>
      </c>
    </row>
    <row r="427" spans="1:6" ht="25.5">
      <c r="A427" s="11" t="s">
        <v>272</v>
      </c>
      <c r="B427" s="56">
        <v>32.01769973750169</v>
      </c>
      <c r="C427" s="56"/>
      <c r="D427" s="50">
        <f>B427+C427+'395'!G8+'421'!G9+'547'!G7+'560'!G4+'602'!G8</f>
        <v>6.277699737501393</v>
      </c>
      <c r="E427" s="30" t="s">
        <v>1133</v>
      </c>
      <c r="F427" s="43"/>
    </row>
    <row r="428" spans="1:6" ht="25.5">
      <c r="A428" s="11" t="s">
        <v>850</v>
      </c>
      <c r="B428" s="56">
        <v>0</v>
      </c>
      <c r="C428" s="56"/>
      <c r="D428" s="50">
        <f>'523'!G5+'532'!G8+'571'!G4</f>
        <v>0.9903000000000475</v>
      </c>
      <c r="E428" s="65" t="s">
        <v>1009</v>
      </c>
      <c r="F428" s="43"/>
    </row>
    <row r="429" spans="1:6" ht="25.5">
      <c r="A429" s="15" t="s">
        <v>351</v>
      </c>
      <c r="B429" s="56">
        <v>0</v>
      </c>
      <c r="C429" s="56"/>
      <c r="D429" s="50">
        <f>B429+C429+'319'!G8+'393'!G6+'395'!G5+'403'!G4+'537'!G10+'555'!G5+'600'!G10</f>
        <v>0.23148888888817964</v>
      </c>
      <c r="E429" s="65" t="s">
        <v>1122</v>
      </c>
      <c r="F429" s="43"/>
    </row>
    <row r="430" spans="1:6" ht="25.5">
      <c r="A430" s="15" t="s">
        <v>273</v>
      </c>
      <c r="B430" s="56">
        <v>-7.881811764705844</v>
      </c>
      <c r="C430" s="56"/>
      <c r="D430" s="50">
        <f>B430+C430+'310'!G7+'419'!G7+'492'!G4+'572'!G4</f>
        <v>0.2502705398206899</v>
      </c>
      <c r="E430" s="30" t="s">
        <v>1011</v>
      </c>
      <c r="F430" s="43"/>
    </row>
    <row r="431" spans="1:6" ht="25.5">
      <c r="A431" s="15" t="s">
        <v>366</v>
      </c>
      <c r="B431" s="56">
        <v>0</v>
      </c>
      <c r="C431" s="56"/>
      <c r="D431" s="50">
        <f>B431+C431+'323'!G7+'326'!G9+'328'!G6+'575'!G5</f>
        <v>16.30911018434881</v>
      </c>
      <c r="E431" s="65" t="s">
        <v>1025</v>
      </c>
      <c r="F431" s="43"/>
    </row>
    <row r="432" spans="1:6" ht="25.5">
      <c r="A432" s="15" t="s">
        <v>469</v>
      </c>
      <c r="B432" s="56">
        <v>0</v>
      </c>
      <c r="C432" s="56"/>
      <c r="D432" s="50">
        <f>'362'!G7</f>
        <v>-3.5821900000000824</v>
      </c>
      <c r="E432" s="65">
        <v>362</v>
      </c>
      <c r="F432" s="43"/>
    </row>
    <row r="433" spans="1:6" ht="25.5">
      <c r="A433" s="15" t="s">
        <v>711</v>
      </c>
      <c r="B433" s="56">
        <v>0</v>
      </c>
      <c r="C433" s="56"/>
      <c r="D433" s="50">
        <f>'465'!G5</f>
        <v>0.058800000000246655</v>
      </c>
      <c r="E433" s="65">
        <v>465</v>
      </c>
      <c r="F433" s="43"/>
    </row>
    <row r="434" spans="1:5" ht="25.5">
      <c r="A434" s="33" t="s">
        <v>274</v>
      </c>
      <c r="B434" s="56">
        <v>-0.34808717845774595</v>
      </c>
      <c r="C434" s="56"/>
      <c r="D434" s="50">
        <f>B434+C434</f>
        <v>-0.34808717845774595</v>
      </c>
      <c r="E434" s="30" t="s">
        <v>275</v>
      </c>
    </row>
    <row r="435" spans="1:5" ht="25.5">
      <c r="A435" s="33" t="s">
        <v>962</v>
      </c>
      <c r="B435" s="56">
        <v>0</v>
      </c>
      <c r="C435" s="56"/>
      <c r="D435" s="50">
        <f>'556'!G9</f>
        <v>0.21100000000001273</v>
      </c>
      <c r="E435" s="65">
        <v>556</v>
      </c>
    </row>
    <row r="436" spans="1:5" ht="25.5">
      <c r="A436" s="33" t="s">
        <v>276</v>
      </c>
      <c r="B436" s="56">
        <v>0</v>
      </c>
      <c r="C436" s="56"/>
      <c r="D436" s="50">
        <f>B436+C436+'403'!G8+'496'!G5+'603'!G11</f>
        <v>0.5056999999999334</v>
      </c>
      <c r="E436" s="30" t="s">
        <v>1141</v>
      </c>
    </row>
    <row r="437" spans="1:5" ht="25.5">
      <c r="A437" s="45" t="s">
        <v>515</v>
      </c>
      <c r="B437" s="56">
        <v>0</v>
      </c>
      <c r="C437" s="56"/>
      <c r="D437" s="50">
        <f>'385'!G6+'399'!G6+'432'!G5+'537'!G4</f>
        <v>0.16419999999948232</v>
      </c>
      <c r="E437" s="65" t="s">
        <v>889</v>
      </c>
    </row>
    <row r="438" spans="1:5" ht="25.5">
      <c r="A438" s="45" t="s">
        <v>277</v>
      </c>
      <c r="B438" s="56">
        <v>-0.4378757609922559</v>
      </c>
      <c r="C438" s="56"/>
      <c r="D438" s="50">
        <f>B438+C438</f>
        <v>-0.4378757609922559</v>
      </c>
      <c r="E438" s="30">
        <v>254</v>
      </c>
    </row>
    <row r="439" spans="1:5" ht="25.5">
      <c r="A439" s="45" t="s">
        <v>626</v>
      </c>
      <c r="B439" s="56">
        <v>0</v>
      </c>
      <c r="C439" s="56"/>
      <c r="D439" s="50">
        <f>'427'!G8+'479'!G9</f>
        <v>0.15239999999994325</v>
      </c>
      <c r="E439" s="65" t="s">
        <v>747</v>
      </c>
    </row>
    <row r="440" spans="1:5" ht="25.5">
      <c r="A440" s="11" t="s">
        <v>278</v>
      </c>
      <c r="B440" s="56">
        <v>1.1311475065616605</v>
      </c>
      <c r="C440" s="56"/>
      <c r="D440" s="50">
        <f>B440+C440</f>
        <v>1.1311475065616605</v>
      </c>
      <c r="E440" s="30" t="s">
        <v>279</v>
      </c>
    </row>
    <row r="441" spans="1:5" ht="25.5">
      <c r="A441" s="11" t="s">
        <v>667</v>
      </c>
      <c r="B441" s="56">
        <v>0</v>
      </c>
      <c r="C441" s="56"/>
      <c r="D441" s="50">
        <f>'442'!G6</f>
        <v>0.3629999999999427</v>
      </c>
      <c r="E441" s="65">
        <v>442</v>
      </c>
    </row>
    <row r="442" spans="1:5" ht="25.5">
      <c r="A442" s="15" t="s">
        <v>280</v>
      </c>
      <c r="B442" s="56">
        <v>34.15341870059831</v>
      </c>
      <c r="C442" s="56"/>
      <c r="D442" s="50">
        <f>B442+C442+'384'!G5+'443'!G6+'570'!G5</f>
        <v>0.4176187005982115</v>
      </c>
      <c r="E442" s="30" t="s">
        <v>1008</v>
      </c>
    </row>
    <row r="443" spans="1:5" ht="25.5">
      <c r="A443" s="11" t="s">
        <v>358</v>
      </c>
      <c r="B443" s="56">
        <v>0</v>
      </c>
      <c r="C443" s="56"/>
      <c r="D443" s="50">
        <f>B443+C443+'321'!G4+'338'!G5</f>
        <v>0.020222222222230357</v>
      </c>
      <c r="E443" s="65" t="s">
        <v>435</v>
      </c>
    </row>
    <row r="444" spans="1:5" ht="25.5">
      <c r="A444" s="11" t="s">
        <v>761</v>
      </c>
      <c r="B444" s="56">
        <v>0</v>
      </c>
      <c r="C444" s="56"/>
      <c r="D444" s="50">
        <f>'486'!G6</f>
        <v>9.391599999999926</v>
      </c>
      <c r="E444" s="65">
        <v>486</v>
      </c>
    </row>
    <row r="445" spans="1:5" ht="25.5">
      <c r="A445" s="36" t="s">
        <v>281</v>
      </c>
      <c r="B445" s="56">
        <v>17.847172187281444</v>
      </c>
      <c r="C445" s="56"/>
      <c r="D445" s="50">
        <f>B445+C445</f>
        <v>17.847172187281444</v>
      </c>
      <c r="E445" s="34" t="s">
        <v>282</v>
      </c>
    </row>
    <row r="446" spans="1:5" ht="25.5">
      <c r="A446" s="11" t="s">
        <v>740</v>
      </c>
      <c r="B446" s="56">
        <v>0</v>
      </c>
      <c r="C446" s="56"/>
      <c r="D446" s="50">
        <f>'476'!G12+'592'!G8</f>
        <v>-0.4512999999999465</v>
      </c>
      <c r="E446" s="65" t="s">
        <v>1084</v>
      </c>
    </row>
    <row r="447" spans="1:5" ht="25.5">
      <c r="A447" s="11" t="s">
        <v>830</v>
      </c>
      <c r="B447" s="56">
        <v>0</v>
      </c>
      <c r="C447" s="56"/>
      <c r="D447" s="50">
        <f>'517'!G5+'543'!G11</f>
        <v>0.42909999999983484</v>
      </c>
      <c r="E447" s="65" t="s">
        <v>919</v>
      </c>
    </row>
    <row r="448" spans="1:5" ht="25.5">
      <c r="A448" s="44" t="s">
        <v>619</v>
      </c>
      <c r="B448" s="56">
        <v>0</v>
      </c>
      <c r="C448" s="56"/>
      <c r="D448" s="50">
        <f>'425'!G5+'519'!G4+'524'!G7</f>
        <v>0.05190000000004602</v>
      </c>
      <c r="E448" s="65" t="s">
        <v>855</v>
      </c>
    </row>
    <row r="449" spans="1:5" ht="25.5">
      <c r="A449" s="44" t="s">
        <v>778</v>
      </c>
      <c r="B449" s="56">
        <v>0</v>
      </c>
      <c r="C449" s="56"/>
      <c r="D449" s="50">
        <f>'494'!G5</f>
        <v>0.39840000000003783</v>
      </c>
      <c r="E449" s="65">
        <v>494</v>
      </c>
    </row>
    <row r="450" spans="1:5" ht="25.5">
      <c r="A450" s="44" t="s">
        <v>697</v>
      </c>
      <c r="B450" s="56">
        <v>0</v>
      </c>
      <c r="C450" s="56"/>
      <c r="D450" s="50">
        <f>'459'!G5</f>
        <v>0.41599999999994</v>
      </c>
      <c r="E450" s="65">
        <v>459</v>
      </c>
    </row>
    <row r="451" spans="1:5" ht="25.5">
      <c r="A451" s="11" t="s">
        <v>283</v>
      </c>
      <c r="B451" s="56">
        <v>-0.2740235955055823</v>
      </c>
      <c r="C451" s="56"/>
      <c r="D451" s="50">
        <f>B451+C451</f>
        <v>-0.2740235955055823</v>
      </c>
      <c r="E451" s="34">
        <v>135</v>
      </c>
    </row>
    <row r="452" spans="1:5" ht="25.5">
      <c r="A452" s="11" t="s">
        <v>702</v>
      </c>
      <c r="B452" s="56">
        <v>0</v>
      </c>
      <c r="C452" s="56"/>
      <c r="D452" s="50">
        <f>'461'!G5+'464'!G5+'505'!G5</f>
        <v>0.29619999999965785</v>
      </c>
      <c r="E452" s="65" t="s">
        <v>797</v>
      </c>
    </row>
    <row r="453" spans="1:5" ht="31.5">
      <c r="A453" s="15" t="s">
        <v>284</v>
      </c>
      <c r="B453" s="56">
        <v>27.73621123595467</v>
      </c>
      <c r="C453" s="56">
        <f>'300'!G9</f>
        <v>0.3191841046277659</v>
      </c>
      <c r="D453" s="50">
        <f>B453+C453+'304'!G5+'305'!G5+'310'!G5+'316'!G11+'340'!G6+'396'!G7+'422'!G7+'440'!G8+'484'!G4+'490'!G5+'496'!G7+'507'!G6+'529'!G6+'533'!G5+'532'!G7+'539'!G7+'593'!G6</f>
        <v>-0.4091015378845668</v>
      </c>
      <c r="E453" s="35" t="s">
        <v>1091</v>
      </c>
    </row>
    <row r="454" spans="1:5" ht="25.5">
      <c r="A454" s="11" t="s">
        <v>285</v>
      </c>
      <c r="B454" s="56">
        <v>-0.19644444444446663</v>
      </c>
      <c r="C454" s="56"/>
      <c r="D454" s="50">
        <f>B454+C454</f>
        <v>-0.19644444444446663</v>
      </c>
      <c r="E454" s="34">
        <v>3</v>
      </c>
    </row>
    <row r="455" spans="1:5" ht="25.5">
      <c r="A455" s="11" t="s">
        <v>286</v>
      </c>
      <c r="B455" s="56">
        <v>4.417925842696633</v>
      </c>
      <c r="C455" s="56"/>
      <c r="D455" s="50">
        <f>B455+C455</f>
        <v>4.417925842696633</v>
      </c>
      <c r="E455" s="34">
        <v>89</v>
      </c>
    </row>
    <row r="456" spans="1:5" ht="25.5">
      <c r="A456" s="11" t="s">
        <v>394</v>
      </c>
      <c r="B456" s="56">
        <v>0</v>
      </c>
      <c r="C456" s="56"/>
      <c r="D456" s="50">
        <f>B456+C456+'335'!G4</f>
        <v>0.21739999999999782</v>
      </c>
      <c r="E456" s="80">
        <v>336</v>
      </c>
    </row>
    <row r="457" spans="1:5" ht="25.5">
      <c r="A457" s="11" t="s">
        <v>1129</v>
      </c>
      <c r="B457" s="56">
        <v>0</v>
      </c>
      <c r="C457" s="56"/>
      <c r="D457" s="50">
        <f>'602'!G6</f>
        <v>0.32300000000009277</v>
      </c>
      <c r="E457" s="80">
        <v>602</v>
      </c>
    </row>
    <row r="458" spans="1:5" ht="25.5">
      <c r="A458" s="15" t="s">
        <v>287</v>
      </c>
      <c r="B458" s="56">
        <v>0.2698507100316121</v>
      </c>
      <c r="C458" s="56"/>
      <c r="D458" s="50">
        <f>B458+C458+'304'!G4+'323'!G5</f>
        <v>26.093678534912122</v>
      </c>
      <c r="E458" s="35" t="s">
        <v>369</v>
      </c>
    </row>
    <row r="459" spans="1:5" ht="25.5">
      <c r="A459" s="11" t="s">
        <v>288</v>
      </c>
      <c r="B459" s="56">
        <v>23.718100432324235</v>
      </c>
      <c r="C459" s="56"/>
      <c r="D459" s="50">
        <f>B459+C459</f>
        <v>23.718100432324235</v>
      </c>
      <c r="E459" s="34" t="s">
        <v>289</v>
      </c>
    </row>
    <row r="460" spans="1:5" ht="25.5">
      <c r="A460" s="11" t="s">
        <v>290</v>
      </c>
      <c r="B460" s="56">
        <v>0.3924204326317806</v>
      </c>
      <c r="C460" s="56"/>
      <c r="D460" s="50">
        <f>B460+C460</f>
        <v>0.3924204326317806</v>
      </c>
      <c r="E460" s="35" t="s">
        <v>291</v>
      </c>
    </row>
    <row r="461" spans="1:5" ht="25.5">
      <c r="A461" s="15" t="s">
        <v>481</v>
      </c>
      <c r="B461" s="56">
        <v>0</v>
      </c>
      <c r="C461" s="56"/>
      <c r="D461" s="50">
        <f>'369'!G11</f>
        <v>-1.4253999999999678</v>
      </c>
      <c r="E461" s="80">
        <v>369</v>
      </c>
    </row>
    <row r="462" spans="1:5" ht="25.5">
      <c r="A462" s="11" t="s">
        <v>387</v>
      </c>
      <c r="B462" s="56">
        <v>0</v>
      </c>
      <c r="C462" s="56"/>
      <c r="D462" s="50">
        <f>B462+C462+'329'!G4+'335'!G7+'342'!G7+'345'!G7+'348'!G6+'394'!G6</f>
        <v>-2.9074170340677483</v>
      </c>
      <c r="E462" s="80" t="s">
        <v>547</v>
      </c>
    </row>
    <row r="463" spans="1:5" ht="25.5">
      <c r="A463" s="11" t="s">
        <v>1002</v>
      </c>
      <c r="B463" s="56">
        <v>0</v>
      </c>
      <c r="C463" s="56"/>
      <c r="D463" s="50">
        <f>'571'!G6</f>
        <v>0.4879999999999427</v>
      </c>
      <c r="E463" s="80">
        <v>571</v>
      </c>
    </row>
    <row r="464" spans="1:5" ht="25.5">
      <c r="A464" s="11" t="s">
        <v>292</v>
      </c>
      <c r="B464" s="56">
        <v>-0.15499136260604018</v>
      </c>
      <c r="C464" s="56"/>
      <c r="D464" s="50">
        <f>B464+C464+'307'!G7+'328'!G4+'335'!G6</f>
        <v>-0.19533072003531515</v>
      </c>
      <c r="E464" s="30" t="s">
        <v>398</v>
      </c>
    </row>
    <row r="465" spans="1:5" ht="25.5">
      <c r="A465" s="15" t="s">
        <v>454</v>
      </c>
      <c r="B465" s="56">
        <v>0</v>
      </c>
      <c r="C465" s="56"/>
      <c r="D465" s="50">
        <f>'357'!G7</f>
        <v>0.05270999999993364</v>
      </c>
      <c r="E465" s="80">
        <v>357</v>
      </c>
    </row>
    <row r="466" spans="1:5" ht="25.5">
      <c r="A466" s="15" t="s">
        <v>621</v>
      </c>
      <c r="B466" s="56">
        <v>0</v>
      </c>
      <c r="C466" s="56"/>
      <c r="D466" s="50">
        <f>'425'!G14+'493'!G6+'586'!G5+'594'!G4+'602'!G5</f>
        <v>-0.04130000000054679</v>
      </c>
      <c r="E466" s="80" t="s">
        <v>1134</v>
      </c>
    </row>
    <row r="467" spans="1:5" ht="25.5">
      <c r="A467" s="15" t="s">
        <v>287</v>
      </c>
      <c r="B467" s="56">
        <v>0</v>
      </c>
      <c r="C467" s="56"/>
      <c r="D467" s="50">
        <f>'600'!G9</f>
        <v>0.46789999999964493</v>
      </c>
      <c r="E467" s="80">
        <v>600</v>
      </c>
    </row>
    <row r="468" spans="1:5" ht="25.5">
      <c r="A468" s="15" t="s">
        <v>825</v>
      </c>
      <c r="B468" s="56">
        <v>0</v>
      </c>
      <c r="C468" s="56"/>
      <c r="D468" s="50">
        <f>'516'!G7+'517'!G9+'520'!G7</f>
        <v>1.036100000000033</v>
      </c>
      <c r="E468" s="80" t="s">
        <v>834</v>
      </c>
    </row>
    <row r="469" spans="1:5" ht="25.5">
      <c r="A469" s="15" t="s">
        <v>936</v>
      </c>
      <c r="B469" s="56">
        <v>0</v>
      </c>
      <c r="C469" s="56"/>
      <c r="D469" s="50">
        <f>'579'!G8</f>
        <v>0.18499999999994543</v>
      </c>
      <c r="E469" s="80">
        <v>579</v>
      </c>
    </row>
    <row r="470" spans="1:5" ht="25.5">
      <c r="A470" s="11" t="s">
        <v>293</v>
      </c>
      <c r="B470" s="56">
        <v>-0.36963409120745894</v>
      </c>
      <c r="C470" s="56"/>
      <c r="D470" s="50">
        <f>B470+C470</f>
        <v>-0.36963409120745894</v>
      </c>
      <c r="E470" s="34" t="s">
        <v>294</v>
      </c>
    </row>
    <row r="471" spans="1:5" ht="25.5">
      <c r="A471" s="11" t="s">
        <v>833</v>
      </c>
      <c r="B471" s="56">
        <v>0</v>
      </c>
      <c r="C471" s="56"/>
      <c r="D471" s="50">
        <f>'520'!G6</f>
        <v>0.31739999999990687</v>
      </c>
      <c r="E471" s="80">
        <v>520</v>
      </c>
    </row>
    <row r="472" spans="1:5" ht="25.5">
      <c r="A472" s="36" t="s">
        <v>295</v>
      </c>
      <c r="B472" s="56">
        <v>0</v>
      </c>
      <c r="C472" s="56"/>
      <c r="D472" s="50">
        <f>B472+C472+'358'!G5</f>
        <v>-0.17178000000001248</v>
      </c>
      <c r="E472" s="35" t="s">
        <v>461</v>
      </c>
    </row>
    <row r="476" ht="25.5">
      <c r="A476" s="47" t="s">
        <v>296</v>
      </c>
    </row>
  </sheetData>
  <sheetProtection/>
  <hyperlinks>
    <hyperlink ref="A14" r:id="rId1" display="Alen@"/>
    <hyperlink ref="B1" r:id="rId2" display="http://foto.sibmama.ru/displayimage.php?pos=-542914"/>
    <hyperlink ref="A399" r:id="rId3" display="Настеньк@"/>
    <hyperlink ref="A397" r:id="rId4" display="Н@стя"/>
    <hyperlink ref="A332" r:id="rId5" display="Вер@чк@"/>
  </hyperlinks>
  <printOptions/>
  <pageMargins left="0.7" right="0.7" top="0.75" bottom="0.75" header="0.3" footer="0.3"/>
  <pageSetup horizontalDpi="600" verticalDpi="600" orientation="portrait" paperSize="9" r:id="rId8"/>
  <legacyDrawing r:id="rId7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70.66</v>
      </c>
      <c r="E1" s="5" t="s">
        <v>2</v>
      </c>
    </row>
    <row r="2" s="5" customFormat="1" ht="14.25">
      <c r="A2" s="6" t="s">
        <v>325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12">
        <v>26.99</v>
      </c>
      <c r="C4" s="12">
        <v>0.38</v>
      </c>
      <c r="D4" s="11">
        <f aca="true" t="shared" si="0" ref="D4:D10">C4/$C$11*$D$11</f>
        <v>0.7755102040816326</v>
      </c>
      <c r="E4" s="11">
        <f aca="true" t="shared" si="1" ref="E4:E9">(B4+D4)*$D$1</f>
        <v>1961.910951020408</v>
      </c>
      <c r="F4" s="13">
        <f>3600-60</f>
        <v>3540</v>
      </c>
      <c r="G4" s="14">
        <f aca="true" t="shared" si="2" ref="G4:G9">-E4+F4</f>
        <v>1578.089048979592</v>
      </c>
      <c r="H4" s="74" t="s">
        <v>329</v>
      </c>
    </row>
    <row r="5" spans="1:7" s="10" customFormat="1" ht="14.25">
      <c r="A5" s="15" t="s">
        <v>301</v>
      </c>
      <c r="B5" s="63">
        <v>12.57</v>
      </c>
      <c r="C5" s="64">
        <v>0.08</v>
      </c>
      <c r="D5" s="11">
        <f t="shared" si="0"/>
        <v>0.16326530612244897</v>
      </c>
      <c r="E5" s="11">
        <f t="shared" si="1"/>
        <v>899.7325265306123</v>
      </c>
      <c r="F5" s="13">
        <f>867+33</f>
        <v>900</v>
      </c>
      <c r="G5" s="14">
        <f t="shared" si="2"/>
        <v>0.2674734693877099</v>
      </c>
    </row>
    <row r="6" spans="1:7" s="10" customFormat="1" ht="14.25">
      <c r="A6" s="11" t="s">
        <v>34</v>
      </c>
      <c r="B6" s="12">
        <v>49.86</v>
      </c>
      <c r="C6" s="12">
        <v>0.51</v>
      </c>
      <c r="D6" s="11">
        <f t="shared" si="0"/>
        <v>1.0408163265306123</v>
      </c>
      <c r="E6" s="11">
        <f t="shared" si="1"/>
        <v>3596.6516816326525</v>
      </c>
      <c r="F6" s="13"/>
      <c r="G6" s="14">
        <f t="shared" si="2"/>
        <v>-3596.6516816326525</v>
      </c>
    </row>
    <row r="7" spans="1:7" s="10" customFormat="1" ht="14.25">
      <c r="A7" s="15" t="s">
        <v>270</v>
      </c>
      <c r="B7" s="63">
        <v>25.14</v>
      </c>
      <c r="C7" s="64">
        <v>0.83</v>
      </c>
      <c r="D7" s="11">
        <f t="shared" si="0"/>
        <v>1.693877551020408</v>
      </c>
      <c r="E7" s="11">
        <f t="shared" si="1"/>
        <v>1896.081787755102</v>
      </c>
      <c r="F7" s="67">
        <f>1844+45</f>
        <v>1889</v>
      </c>
      <c r="G7" s="14">
        <f t="shared" si="2"/>
        <v>-7.081787755101914</v>
      </c>
    </row>
    <row r="8" spans="1:7" s="10" customFormat="1" ht="14.25">
      <c r="A8" s="11" t="s">
        <v>58</v>
      </c>
      <c r="B8" s="16">
        <v>16.8</v>
      </c>
      <c r="C8" s="17">
        <v>0.38</v>
      </c>
      <c r="D8" s="11">
        <f t="shared" si="0"/>
        <v>0.7755102040816326</v>
      </c>
      <c r="E8" s="11">
        <f t="shared" si="1"/>
        <v>1241.8855510204082</v>
      </c>
      <c r="F8" s="13">
        <f>1209+34</f>
        <v>1243</v>
      </c>
      <c r="G8" s="14">
        <f t="shared" si="2"/>
        <v>1.1144489795917707</v>
      </c>
    </row>
    <row r="9" spans="1:7" s="10" customFormat="1" ht="14.25">
      <c r="A9" s="11" t="s">
        <v>267</v>
      </c>
      <c r="B9" s="64">
        <v>30.13</v>
      </c>
      <c r="C9" s="64">
        <v>0.49</v>
      </c>
      <c r="D9" s="11">
        <f t="shared" si="0"/>
        <v>0.9999999999999999</v>
      </c>
      <c r="E9" s="11">
        <f t="shared" si="1"/>
        <v>2199.6458</v>
      </c>
      <c r="F9" s="13">
        <f>2134+60</f>
        <v>2194</v>
      </c>
      <c r="G9" s="14">
        <f t="shared" si="2"/>
        <v>-5.645799999999781</v>
      </c>
    </row>
    <row r="10" spans="1:7" s="10" customFormat="1" ht="14.25">
      <c r="A10" s="15" t="s">
        <v>10</v>
      </c>
      <c r="B10" s="24"/>
      <c r="C10" s="20">
        <v>2.23</v>
      </c>
      <c r="D10" s="11">
        <f t="shared" si="0"/>
        <v>4.551020408163265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4.9</v>
      </c>
      <c r="D11" s="24">
        <v>10</v>
      </c>
      <c r="E11" s="24"/>
      <c r="F11" s="24"/>
      <c r="G11" s="24"/>
    </row>
    <row r="14" ht="14.2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1" sqref="A11: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4.25">
      <c r="A2" s="6" t="s">
        <v>562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139</v>
      </c>
      <c r="B4" s="63">
        <v>2.83</v>
      </c>
      <c r="C4" s="64"/>
      <c r="D4" s="103">
        <f>C4*1</f>
        <v>0</v>
      </c>
      <c r="E4" s="103">
        <f>(B4+D4)*$D$1</f>
        <v>162.69670000000002</v>
      </c>
      <c r="F4" s="79">
        <v>163</v>
      </c>
      <c r="G4" s="14">
        <f>-E4+F4</f>
        <v>0.3032999999999788</v>
      </c>
      <c r="H4" s="74"/>
    </row>
    <row r="5" spans="1:7" s="10" customFormat="1" ht="14.25">
      <c r="A5" s="15" t="s">
        <v>178</v>
      </c>
      <c r="B5" s="63">
        <v>9.18</v>
      </c>
      <c r="C5" s="64"/>
      <c r="D5" s="103">
        <f>C5*1</f>
        <v>0</v>
      </c>
      <c r="E5" s="104">
        <f>(B5+D5)*$D$1</f>
        <v>527.7582</v>
      </c>
      <c r="F5" s="85">
        <v>532</v>
      </c>
      <c r="G5" s="77">
        <f>-E5+F5</f>
        <v>4.241800000000012</v>
      </c>
    </row>
    <row r="6" spans="1:7" s="10" customFormat="1" ht="14.25">
      <c r="A6" s="15" t="s">
        <v>565</v>
      </c>
      <c r="B6" s="63">
        <v>5.16</v>
      </c>
      <c r="C6" s="64"/>
      <c r="D6" s="103">
        <f>C6*1</f>
        <v>0</v>
      </c>
      <c r="E6" s="104">
        <f>(B6+D6)*$D$1</f>
        <v>296.64840000000004</v>
      </c>
      <c r="F6" s="79">
        <v>297</v>
      </c>
      <c r="G6" s="77">
        <f>-E6+F6</f>
        <v>0.35159999999996217</v>
      </c>
    </row>
    <row r="7" spans="1:7" s="10" customFormat="1" ht="14.25">
      <c r="A7" s="15" t="s">
        <v>455</v>
      </c>
      <c r="B7" s="12">
        <v>36.39</v>
      </c>
      <c r="C7" s="12"/>
      <c r="D7" s="103">
        <f>C7*1</f>
        <v>0</v>
      </c>
      <c r="E7" s="103">
        <f>(B7+D7)*$D$1</f>
        <v>2092.0611</v>
      </c>
      <c r="F7" s="79">
        <v>2092</v>
      </c>
      <c r="G7" s="14">
        <f>-E7+F7</f>
        <v>-0.06109999999989668</v>
      </c>
    </row>
    <row r="8" spans="1:7" s="10" customFormat="1" ht="14.25">
      <c r="A8" s="15" t="s">
        <v>228</v>
      </c>
      <c r="B8" s="63">
        <v>56.41</v>
      </c>
      <c r="C8" s="64"/>
      <c r="D8" s="103">
        <f>C8*1</f>
        <v>0</v>
      </c>
      <c r="E8" s="104">
        <f>(B8+D8)*$D$1</f>
        <v>3243.0108999999998</v>
      </c>
      <c r="F8" s="79">
        <v>3257</v>
      </c>
      <c r="G8" s="77">
        <f>-E8+F8</f>
        <v>13.989100000000235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4.25">
      <c r="A2" s="6" t="s">
        <v>570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351</v>
      </c>
      <c r="B4" s="63">
        <v>9.34</v>
      </c>
      <c r="C4" s="64"/>
      <c r="D4" s="103">
        <f aca="true" t="shared" si="0" ref="D4:D10">C4*1</f>
        <v>0</v>
      </c>
      <c r="E4" s="103">
        <f aca="true" t="shared" si="1" ref="E4:E10">(B4+D4)*$D$1</f>
        <v>542.9342</v>
      </c>
      <c r="F4" s="78">
        <v>115</v>
      </c>
      <c r="G4" s="14">
        <f aca="true" t="shared" si="2" ref="G4:G10">-E4+F4</f>
        <v>-427.93420000000003</v>
      </c>
      <c r="H4" s="74"/>
    </row>
    <row r="5" spans="1:7" s="10" customFormat="1" ht="14.25">
      <c r="A5" s="15" t="s">
        <v>156</v>
      </c>
      <c r="B5" s="63">
        <v>7.78</v>
      </c>
      <c r="C5" s="64"/>
      <c r="D5" s="103">
        <f t="shared" si="0"/>
        <v>0</v>
      </c>
      <c r="E5" s="104">
        <f t="shared" si="1"/>
        <v>452.25140000000005</v>
      </c>
      <c r="F5" s="79">
        <v>453</v>
      </c>
      <c r="G5" s="77">
        <f t="shared" si="2"/>
        <v>0.7485999999999535</v>
      </c>
    </row>
    <row r="6" spans="1:7" s="10" customFormat="1" ht="14.25">
      <c r="A6" s="15" t="s">
        <v>169</v>
      </c>
      <c r="B6" s="63">
        <v>13.56</v>
      </c>
      <c r="C6" s="64"/>
      <c r="D6" s="103">
        <f t="shared" si="0"/>
        <v>0</v>
      </c>
      <c r="E6" s="104">
        <f t="shared" si="1"/>
        <v>788.2428000000001</v>
      </c>
      <c r="F6" s="79">
        <v>736</v>
      </c>
      <c r="G6" s="77">
        <f t="shared" si="2"/>
        <v>-52.2428000000001</v>
      </c>
    </row>
    <row r="7" spans="1:7" s="10" customFormat="1" ht="14.25">
      <c r="A7" s="15" t="s">
        <v>427</v>
      </c>
      <c r="B7" s="12">
        <v>26.89</v>
      </c>
      <c r="C7" s="12"/>
      <c r="D7" s="103">
        <f t="shared" si="0"/>
        <v>0</v>
      </c>
      <c r="E7" s="103">
        <f t="shared" si="1"/>
        <v>1563.1157</v>
      </c>
      <c r="F7" s="79">
        <f>1000+563</f>
        <v>1563</v>
      </c>
      <c r="G7" s="14">
        <f t="shared" si="2"/>
        <v>-0.11570000000006075</v>
      </c>
    </row>
    <row r="8" spans="1:7" s="10" customFormat="1" ht="14.25">
      <c r="A8" s="15" t="s">
        <v>276</v>
      </c>
      <c r="B8" s="63">
        <v>31.19</v>
      </c>
      <c r="C8" s="64"/>
      <c r="D8" s="103">
        <f>C8*1</f>
        <v>0</v>
      </c>
      <c r="E8" s="104">
        <f t="shared" si="1"/>
        <v>1813.0747000000001</v>
      </c>
      <c r="F8" s="79">
        <v>1813</v>
      </c>
      <c r="G8" s="77">
        <f t="shared" si="2"/>
        <v>-0.07470000000012078</v>
      </c>
    </row>
    <row r="9" spans="1:7" s="10" customFormat="1" ht="14.25">
      <c r="A9" s="15" t="s">
        <v>338</v>
      </c>
      <c r="B9" s="12">
        <v>15.01</v>
      </c>
      <c r="C9" s="12"/>
      <c r="D9" s="103">
        <f>C9*1</f>
        <v>0</v>
      </c>
      <c r="E9" s="103">
        <f t="shared" si="1"/>
        <v>872.5313</v>
      </c>
      <c r="F9" s="79">
        <v>872</v>
      </c>
      <c r="G9" s="14">
        <f t="shared" si="2"/>
        <v>-0.5312999999999874</v>
      </c>
    </row>
    <row r="10" spans="1:7" s="10" customFormat="1" ht="14.25">
      <c r="A10" s="15" t="s">
        <v>571</v>
      </c>
      <c r="B10" s="63">
        <v>14.38</v>
      </c>
      <c r="C10" s="64"/>
      <c r="D10" s="103">
        <f t="shared" si="0"/>
        <v>0</v>
      </c>
      <c r="E10" s="104">
        <f t="shared" si="1"/>
        <v>835.9094000000001</v>
      </c>
      <c r="F10" s="79">
        <v>836</v>
      </c>
      <c r="G10" s="77">
        <f t="shared" si="2"/>
        <v>0.09059999999988122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4.25">
      <c r="A2" s="6" t="s">
        <v>570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67.83</v>
      </c>
      <c r="C4" s="64"/>
      <c r="D4" s="103">
        <f>C4*1</f>
        <v>0</v>
      </c>
      <c r="E4" s="103">
        <f>(B4+D4)*$D$1</f>
        <v>3942.9579</v>
      </c>
      <c r="F4" s="78">
        <f>3900+25</f>
        <v>3925</v>
      </c>
      <c r="G4" s="14">
        <f>-E4+F4</f>
        <v>-17.95789999999988</v>
      </c>
      <c r="H4" s="74"/>
    </row>
    <row r="5" spans="1:7" s="10" customFormat="1" ht="14.25">
      <c r="A5" s="15" t="s">
        <v>204</v>
      </c>
      <c r="B5" s="63">
        <v>8.66</v>
      </c>
      <c r="C5" s="64"/>
      <c r="D5" s="103">
        <f>C5*1</f>
        <v>0</v>
      </c>
      <c r="E5" s="104">
        <f>(B5+D5)*$D$1</f>
        <v>503.40580000000006</v>
      </c>
      <c r="F5" s="79">
        <v>503</v>
      </c>
      <c r="G5" s="77">
        <f>-E5+F5</f>
        <v>-0.4058000000000561</v>
      </c>
    </row>
    <row r="6" spans="1:7" s="10" customFormat="1" ht="14.25">
      <c r="A6" s="15" t="s">
        <v>331</v>
      </c>
      <c r="B6" s="63">
        <v>7.5</v>
      </c>
      <c r="C6" s="64"/>
      <c r="D6" s="103">
        <f>C6*1</f>
        <v>0</v>
      </c>
      <c r="E6" s="104">
        <f>(B6+D6)*$D$1</f>
        <v>435.975</v>
      </c>
      <c r="F6" s="79">
        <v>435</v>
      </c>
      <c r="G6" s="77">
        <f>-E6+F6</f>
        <v>-0.9750000000000227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T33" sqref="T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4.25">
      <c r="A2" s="6" t="s">
        <v>574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42.31</v>
      </c>
      <c r="C4" s="64"/>
      <c r="D4" s="103">
        <f>C4*1</f>
        <v>0</v>
      </c>
      <c r="E4" s="103">
        <f>(B4+D4)*$D$1</f>
        <v>2535.6383</v>
      </c>
      <c r="F4" s="78">
        <v>2536</v>
      </c>
      <c r="G4" s="14">
        <f>-E4+F4</f>
        <v>0.36169999999992797</v>
      </c>
      <c r="H4" s="74"/>
    </row>
    <row r="5" spans="1:7" s="10" customFormat="1" ht="14.25">
      <c r="A5" s="15" t="s">
        <v>520</v>
      </c>
      <c r="B5" s="63">
        <v>16.35</v>
      </c>
      <c r="C5" s="64"/>
      <c r="D5" s="103">
        <f>C5*1</f>
        <v>0</v>
      </c>
      <c r="E5" s="104">
        <f>(B5+D5)*$D$1</f>
        <v>979.8555000000001</v>
      </c>
      <c r="F5" s="79">
        <v>980</v>
      </c>
      <c r="G5" s="77">
        <f>-E5+F5</f>
        <v>0.14449999999987995</v>
      </c>
    </row>
    <row r="6" spans="1:7" s="10" customFormat="1" ht="14.25">
      <c r="A6" s="15" t="s">
        <v>505</v>
      </c>
      <c r="B6" s="63">
        <v>19.03</v>
      </c>
      <c r="C6" s="64"/>
      <c r="D6" s="103">
        <f>C6*1</f>
        <v>0</v>
      </c>
      <c r="E6" s="104">
        <f>(B6+D6)*$D$1</f>
        <v>1140.4679</v>
      </c>
      <c r="F6" s="79">
        <v>1141</v>
      </c>
      <c r="G6" s="77">
        <f>-E6+F6</f>
        <v>0.5320999999999003</v>
      </c>
    </row>
    <row r="7" spans="1:7" s="10" customFormat="1" ht="14.25">
      <c r="A7" s="15" t="s">
        <v>223</v>
      </c>
      <c r="B7" s="12">
        <v>25.94</v>
      </c>
      <c r="C7" s="12"/>
      <c r="D7" s="103">
        <f>C7*1</f>
        <v>0</v>
      </c>
      <c r="E7" s="103">
        <f>(B7+D7)*$D$1</f>
        <v>1554.5842</v>
      </c>
      <c r="F7" s="79">
        <v>1549</v>
      </c>
      <c r="G7" s="14">
        <f>-E7+F7</f>
        <v>-5.58420000000001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4.25">
      <c r="A2" s="6" t="s">
        <v>574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479</v>
      </c>
      <c r="B4" s="63">
        <v>12.37</v>
      </c>
      <c r="C4" s="64"/>
      <c r="D4" s="103">
        <f>C4*1</f>
        <v>0</v>
      </c>
      <c r="E4" s="103">
        <f>(B4+D4)*$D$1</f>
        <v>741.3340999999999</v>
      </c>
      <c r="F4" s="78">
        <v>742</v>
      </c>
      <c r="G4" s="14">
        <f>-E4+F4</f>
        <v>0.6659000000000788</v>
      </c>
      <c r="H4" s="74"/>
    </row>
    <row r="5" spans="1:7" s="10" customFormat="1" ht="14.25">
      <c r="A5" s="15" t="s">
        <v>355</v>
      </c>
      <c r="B5" s="63">
        <v>33.93</v>
      </c>
      <c r="C5" s="64"/>
      <c r="D5" s="103">
        <f>C5*1</f>
        <v>0</v>
      </c>
      <c r="E5" s="104">
        <f>(B5+D5)*$D$1</f>
        <v>2033.4249</v>
      </c>
      <c r="F5" s="79">
        <v>2050</v>
      </c>
      <c r="G5" s="77">
        <f>-E5+F5</f>
        <v>16.57510000000002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42219</v>
      </c>
      <c r="C1" s="3" t="s">
        <v>1</v>
      </c>
      <c r="D1" s="4">
        <v>61.43</v>
      </c>
      <c r="E1" s="5" t="s">
        <v>2</v>
      </c>
    </row>
    <row r="2" s="5" customFormat="1" ht="14.25">
      <c r="A2" s="6" t="s">
        <v>576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520</v>
      </c>
      <c r="B4" s="63">
        <v>7.63</v>
      </c>
      <c r="C4" s="64"/>
      <c r="D4" s="103">
        <f aca="true" t="shared" si="0" ref="D4:D13">C4*1</f>
        <v>0</v>
      </c>
      <c r="E4" s="103">
        <f aca="true" t="shared" si="1" ref="E4:E13">(B4+D4)*$D$1</f>
        <v>468.7109</v>
      </c>
      <c r="F4" s="78">
        <v>469</v>
      </c>
      <c r="G4" s="14">
        <f aca="true" t="shared" si="2" ref="G4:G13">-E4+F4</f>
        <v>0.289100000000019</v>
      </c>
      <c r="H4" s="74"/>
    </row>
    <row r="5" spans="1:7" s="10" customFormat="1" ht="14.25">
      <c r="A5" s="15" t="s">
        <v>382</v>
      </c>
      <c r="B5" s="63">
        <v>3.54</v>
      </c>
      <c r="C5" s="64"/>
      <c r="D5" s="103">
        <f t="shared" si="0"/>
        <v>0</v>
      </c>
      <c r="E5" s="104">
        <f t="shared" si="1"/>
        <v>217.4622</v>
      </c>
      <c r="F5" s="79">
        <v>218</v>
      </c>
      <c r="G5" s="77">
        <f t="shared" si="2"/>
        <v>0.5378000000000043</v>
      </c>
    </row>
    <row r="6" spans="1:7" s="10" customFormat="1" ht="14.25">
      <c r="A6" s="15" t="s">
        <v>577</v>
      </c>
      <c r="B6" s="63">
        <v>13.16</v>
      </c>
      <c r="C6" s="64"/>
      <c r="D6" s="103">
        <f t="shared" si="0"/>
        <v>0</v>
      </c>
      <c r="E6" s="104">
        <f t="shared" si="1"/>
        <v>808.4188</v>
      </c>
      <c r="F6" s="79">
        <v>808</v>
      </c>
      <c r="G6" s="77">
        <f t="shared" si="2"/>
        <v>-0.4188000000000329</v>
      </c>
    </row>
    <row r="7" spans="1:7" s="10" customFormat="1" ht="14.25">
      <c r="A7" s="15" t="s">
        <v>512</v>
      </c>
      <c r="B7" s="12">
        <v>6.19</v>
      </c>
      <c r="C7" s="12"/>
      <c r="D7" s="103">
        <f t="shared" si="0"/>
        <v>0</v>
      </c>
      <c r="E7" s="103">
        <f t="shared" si="1"/>
        <v>380.2517</v>
      </c>
      <c r="F7" s="79">
        <v>385</v>
      </c>
      <c r="G7" s="14">
        <f t="shared" si="2"/>
        <v>4.748299999999972</v>
      </c>
    </row>
    <row r="8" spans="1:7" s="10" customFormat="1" ht="14.25">
      <c r="A8" s="15" t="s">
        <v>154</v>
      </c>
      <c r="B8" s="63">
        <v>7.86</v>
      </c>
      <c r="C8" s="64"/>
      <c r="D8" s="103">
        <f t="shared" si="0"/>
        <v>0</v>
      </c>
      <c r="E8" s="104">
        <f t="shared" si="1"/>
        <v>482.8398</v>
      </c>
      <c r="F8" s="79">
        <v>453</v>
      </c>
      <c r="G8" s="77">
        <f t="shared" si="2"/>
        <v>-29.839800000000025</v>
      </c>
    </row>
    <row r="9" spans="1:8" s="10" customFormat="1" ht="14.25">
      <c r="A9" s="11" t="s">
        <v>479</v>
      </c>
      <c r="B9" s="63">
        <v>10.4</v>
      </c>
      <c r="C9" s="64"/>
      <c r="D9" s="103">
        <f t="shared" si="0"/>
        <v>0</v>
      </c>
      <c r="E9" s="103">
        <f t="shared" si="1"/>
        <v>638.8720000000001</v>
      </c>
      <c r="F9" s="78">
        <v>633</v>
      </c>
      <c r="G9" s="14">
        <f t="shared" si="2"/>
        <v>-5.872000000000071</v>
      </c>
      <c r="H9" s="74"/>
    </row>
    <row r="10" spans="1:7" s="10" customFormat="1" ht="14.25">
      <c r="A10" s="15" t="s">
        <v>301</v>
      </c>
      <c r="B10" s="63">
        <v>11.47</v>
      </c>
      <c r="C10" s="64"/>
      <c r="D10" s="103">
        <f t="shared" si="0"/>
        <v>0</v>
      </c>
      <c r="E10" s="104">
        <f t="shared" si="1"/>
        <v>704.6021000000001</v>
      </c>
      <c r="F10" s="79">
        <v>706</v>
      </c>
      <c r="G10" s="77">
        <f t="shared" si="2"/>
        <v>1.397899999999936</v>
      </c>
    </row>
    <row r="11" spans="1:7" s="10" customFormat="1" ht="14.25">
      <c r="A11" s="15" t="s">
        <v>367</v>
      </c>
      <c r="B11" s="63">
        <v>28.92</v>
      </c>
      <c r="C11" s="64"/>
      <c r="D11" s="103">
        <f t="shared" si="0"/>
        <v>0</v>
      </c>
      <c r="E11" s="104">
        <f t="shared" si="1"/>
        <v>1776.5556000000001</v>
      </c>
      <c r="F11" s="79">
        <v>1800</v>
      </c>
      <c r="G11" s="77">
        <f t="shared" si="2"/>
        <v>23.44439999999986</v>
      </c>
    </row>
    <row r="12" spans="1:7" s="10" customFormat="1" ht="14.25">
      <c r="A12" s="15" t="s">
        <v>357</v>
      </c>
      <c r="B12" s="12">
        <v>10.36</v>
      </c>
      <c r="C12" s="12"/>
      <c r="D12" s="103">
        <f t="shared" si="0"/>
        <v>0</v>
      </c>
      <c r="E12" s="103">
        <f t="shared" si="1"/>
        <v>636.4148</v>
      </c>
      <c r="F12" s="79">
        <v>637</v>
      </c>
      <c r="G12" s="14">
        <f t="shared" si="2"/>
        <v>0.5851999999999862</v>
      </c>
    </row>
    <row r="13" spans="1:7" s="10" customFormat="1" ht="14.25">
      <c r="A13" s="15" t="s">
        <v>578</v>
      </c>
      <c r="B13" s="63">
        <v>14</v>
      </c>
      <c r="C13" s="64"/>
      <c r="D13" s="103">
        <f t="shared" si="0"/>
        <v>0</v>
      </c>
      <c r="E13" s="104">
        <f t="shared" si="1"/>
        <v>860.02</v>
      </c>
      <c r="F13" s="79">
        <v>900</v>
      </c>
      <c r="G13" s="77">
        <f t="shared" si="2"/>
        <v>39.98000000000002</v>
      </c>
    </row>
    <row r="14" spans="1:7" s="25" customFormat="1" ht="14.25">
      <c r="A14" s="24"/>
      <c r="B14" s="24"/>
      <c r="C14" s="24">
        <f>SUM(C4:C8)</f>
        <v>0</v>
      </c>
      <c r="D14" s="24"/>
      <c r="E14" s="24"/>
      <c r="F14" s="24"/>
      <c r="G14" s="24"/>
    </row>
    <row r="16" ht="30.75">
      <c r="A16" s="26" t="s">
        <v>538</v>
      </c>
    </row>
    <row r="17" spans="1:2" ht="14.25">
      <c r="A17" s="71" t="s">
        <v>154</v>
      </c>
      <c r="B17" s="72" t="s">
        <v>579</v>
      </c>
    </row>
    <row r="18" spans="1:2" ht="14.25">
      <c r="A18" s="71" t="s">
        <v>357</v>
      </c>
      <c r="B18" s="27" t="s">
        <v>580</v>
      </c>
    </row>
    <row r="19" ht="14.25">
      <c r="B19" s="27"/>
    </row>
  </sheetData>
  <sheetProtection/>
  <hyperlinks>
    <hyperlink ref="B17" r:id="rId1" display="http://ru.iherb.com/Acure-Organics-Shampoo-Lemongrass-Argan-Stem-Cell-8-fl-oz-235-ml/40491"/>
    <hyperlink ref="B18" r:id="rId2" display="http://ru.iherb.com/Nelson-Bach-USA-Pure-Clear-Acne-Treatment-Gel-Step-4-1-oz-30-g/6744"/>
  </hyperlinks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H7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4.25">
      <c r="A2" s="6" t="s">
        <v>582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335</v>
      </c>
      <c r="B4" s="63">
        <v>35.86</v>
      </c>
      <c r="C4" s="64"/>
      <c r="D4" s="103"/>
      <c r="E4" s="103">
        <f>(B4+D4)*$D$1</f>
        <v>2294.3228</v>
      </c>
      <c r="F4" s="78">
        <f>2295+12</f>
        <v>2307</v>
      </c>
      <c r="G4" s="14">
        <f>-E4+F4</f>
        <v>12.677200000000084</v>
      </c>
      <c r="H4" s="74"/>
    </row>
    <row r="5" spans="1:7" s="10" customFormat="1" ht="14.25">
      <c r="A5" s="15" t="s">
        <v>154</v>
      </c>
      <c r="B5" s="63">
        <v>5.99</v>
      </c>
      <c r="C5" s="64" t="s">
        <v>583</v>
      </c>
      <c r="D5" s="103"/>
      <c r="E5" s="104">
        <f>(B5+D5)*$D$1</f>
        <v>383.2402</v>
      </c>
      <c r="F5" s="79">
        <v>384</v>
      </c>
      <c r="G5" s="77">
        <f>-E5+F5</f>
        <v>0.7597999999999843</v>
      </c>
    </row>
    <row r="6" spans="1:7" s="10" customFormat="1" ht="14.25">
      <c r="A6" s="15" t="s">
        <v>563</v>
      </c>
      <c r="B6" s="63">
        <v>33.53</v>
      </c>
      <c r="C6" s="64"/>
      <c r="D6" s="103"/>
      <c r="E6" s="104">
        <f>(B6+D6)*$D$1</f>
        <v>2145.2494</v>
      </c>
      <c r="F6" s="79">
        <v>2145</v>
      </c>
      <c r="G6" s="77">
        <f>-E6+F6</f>
        <v>-0.2494000000001506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11" sqref="A11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4.25">
      <c r="A2" s="6" t="s">
        <v>582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520</v>
      </c>
      <c r="B4" s="63">
        <v>62.23</v>
      </c>
      <c r="C4" s="64"/>
      <c r="D4" s="103">
        <f>C4*1</f>
        <v>0</v>
      </c>
      <c r="E4" s="103">
        <f>(B4+D4)*$D$1</f>
        <v>3981.4754</v>
      </c>
      <c r="F4" s="78">
        <v>3981</v>
      </c>
      <c r="G4" s="14">
        <f>-E4+F4</f>
        <v>-0.47539999999980864</v>
      </c>
      <c r="H4" s="74"/>
    </row>
    <row r="5" spans="1:7" s="10" customFormat="1" ht="14.25">
      <c r="A5" s="15" t="s">
        <v>427</v>
      </c>
      <c r="B5" s="63">
        <v>6.46</v>
      </c>
      <c r="C5" s="64"/>
      <c r="D5" s="103">
        <f>C5*1</f>
        <v>0</v>
      </c>
      <c r="E5" s="104">
        <f>(B5+D5)*$D$1</f>
        <v>413.3108</v>
      </c>
      <c r="F5" s="79">
        <v>413</v>
      </c>
      <c r="G5" s="77">
        <f>-E5+F5</f>
        <v>-0.310799999999972</v>
      </c>
    </row>
    <row r="6" spans="1:7" s="10" customFormat="1" ht="14.25">
      <c r="A6" s="15" t="s">
        <v>431</v>
      </c>
      <c r="B6" s="63">
        <v>6.96</v>
      </c>
      <c r="C6" s="64"/>
      <c r="D6" s="103">
        <f>C6*1</f>
        <v>0</v>
      </c>
      <c r="E6" s="104">
        <f>(B6+D6)*$D$1</f>
        <v>445.3008</v>
      </c>
      <c r="F6" s="79">
        <v>445</v>
      </c>
      <c r="G6" s="77">
        <f>-E6+F6</f>
        <v>-0.3007999999999811</v>
      </c>
    </row>
    <row r="7" spans="1:7" s="10" customFormat="1" ht="14.25">
      <c r="A7" s="15" t="s">
        <v>93</v>
      </c>
      <c r="B7" s="12">
        <v>22.22</v>
      </c>
      <c r="C7" s="12"/>
      <c r="D7" s="103">
        <f>C7*1</f>
        <v>0</v>
      </c>
      <c r="E7" s="103">
        <f>(B7+D7)*$D$1</f>
        <v>1421.6355999999998</v>
      </c>
      <c r="F7" s="79">
        <v>1460</v>
      </c>
      <c r="G7" s="14">
        <f>-E7+F7</f>
        <v>38.36440000000016</v>
      </c>
    </row>
    <row r="8" spans="1:7" s="10" customFormat="1" ht="14.25">
      <c r="A8" s="15" t="s">
        <v>410</v>
      </c>
      <c r="B8" s="63">
        <v>51.46</v>
      </c>
      <c r="C8" s="64"/>
      <c r="D8" s="103">
        <f>C8*1</f>
        <v>0</v>
      </c>
      <c r="E8" s="104">
        <f>(B8+D8)*$D$1</f>
        <v>3292.4108</v>
      </c>
      <c r="F8" s="79">
        <v>3300</v>
      </c>
      <c r="G8" s="77">
        <f>-E8+F8</f>
        <v>7.589199999999892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4.25">
      <c r="A2" s="6" t="s">
        <v>582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584</v>
      </c>
      <c r="B4" s="63">
        <v>6.46</v>
      </c>
      <c r="C4" s="64"/>
      <c r="D4" s="103">
        <f aca="true" t="shared" si="0" ref="D4:D9">C4*1</f>
        <v>0</v>
      </c>
      <c r="E4" s="103">
        <f aca="true" t="shared" si="1" ref="E4:E9">(B4+D4)*$D$1</f>
        <v>413.3108</v>
      </c>
      <c r="F4" s="78">
        <v>413</v>
      </c>
      <c r="G4" s="14">
        <f aca="true" t="shared" si="2" ref="G4:G9">-E4+F4</f>
        <v>-0.310799999999972</v>
      </c>
      <c r="H4" s="74"/>
    </row>
    <row r="5" spans="1:7" s="10" customFormat="1" ht="14.25">
      <c r="A5" s="15" t="s">
        <v>585</v>
      </c>
      <c r="B5" s="63">
        <v>15.75</v>
      </c>
      <c r="C5" s="64"/>
      <c r="D5" s="103">
        <f t="shared" si="0"/>
        <v>0</v>
      </c>
      <c r="E5" s="104">
        <f t="shared" si="1"/>
        <v>1007.685</v>
      </c>
      <c r="F5" s="79">
        <v>1008</v>
      </c>
      <c r="G5" s="77">
        <f t="shared" si="2"/>
        <v>0.31500000000005457</v>
      </c>
    </row>
    <row r="6" spans="1:7" s="10" customFormat="1" ht="14.25">
      <c r="A6" s="15" t="s">
        <v>105</v>
      </c>
      <c r="B6" s="63">
        <v>5.39</v>
      </c>
      <c r="C6" s="64"/>
      <c r="D6" s="103">
        <f t="shared" si="0"/>
        <v>0</v>
      </c>
      <c r="E6" s="104">
        <f t="shared" si="1"/>
        <v>344.8522</v>
      </c>
      <c r="F6" s="79">
        <v>345</v>
      </c>
      <c r="G6" s="77">
        <f t="shared" si="2"/>
        <v>0.14780000000001792</v>
      </c>
    </row>
    <row r="7" spans="1:7" s="10" customFormat="1" ht="14.25">
      <c r="A7" s="15" t="s">
        <v>189</v>
      </c>
      <c r="B7" s="12">
        <v>17.66</v>
      </c>
      <c r="C7" s="12"/>
      <c r="D7" s="103">
        <f t="shared" si="0"/>
        <v>0</v>
      </c>
      <c r="E7" s="103">
        <f t="shared" si="1"/>
        <v>1129.8868</v>
      </c>
      <c r="F7" s="79">
        <v>1135</v>
      </c>
      <c r="G7" s="14">
        <f t="shared" si="2"/>
        <v>5.113200000000006</v>
      </c>
    </row>
    <row r="8" spans="1:7" s="10" customFormat="1" ht="14.25">
      <c r="A8" s="15" t="s">
        <v>373</v>
      </c>
      <c r="B8" s="63">
        <v>17.99</v>
      </c>
      <c r="C8" s="64"/>
      <c r="D8" s="103">
        <f t="shared" si="0"/>
        <v>0</v>
      </c>
      <c r="E8" s="104">
        <f t="shared" si="1"/>
        <v>1151.0002</v>
      </c>
      <c r="F8" s="79">
        <v>1151</v>
      </c>
      <c r="G8" s="77">
        <f t="shared" si="2"/>
        <v>-0.0001999999999497959</v>
      </c>
    </row>
    <row r="9" spans="1:8" s="10" customFormat="1" ht="14.25">
      <c r="A9" s="11" t="s">
        <v>204</v>
      </c>
      <c r="B9" s="63">
        <v>33.58</v>
      </c>
      <c r="C9" s="64"/>
      <c r="D9" s="103">
        <f t="shared" si="0"/>
        <v>0</v>
      </c>
      <c r="E9" s="103">
        <f t="shared" si="1"/>
        <v>2148.4483999999998</v>
      </c>
      <c r="F9" s="78">
        <v>2148</v>
      </c>
      <c r="G9" s="14">
        <f t="shared" si="2"/>
        <v>-0.448399999999765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30.75">
      <c r="A12" s="26" t="s">
        <v>538</v>
      </c>
    </row>
    <row r="13" spans="1:2" ht="14.25">
      <c r="A13" s="71" t="s">
        <v>105</v>
      </c>
      <c r="B13" s="72" t="s">
        <v>529</v>
      </c>
    </row>
    <row r="14" ht="14.25">
      <c r="B14" s="27"/>
    </row>
  </sheetData>
  <sheetProtection/>
  <hyperlinks>
    <hyperlink ref="B13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4.25">
      <c r="A2" s="6" t="s">
        <v>588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5.39</v>
      </c>
      <c r="C4" s="64"/>
      <c r="D4" s="103">
        <f aca="true" t="shared" si="0" ref="D4:D9">C4*1</f>
        <v>0</v>
      </c>
      <c r="E4" s="103">
        <f aca="true" t="shared" si="1" ref="E4:E9">(B4+D4)*$D$1</f>
        <v>349.8649</v>
      </c>
      <c r="F4" s="78">
        <v>350</v>
      </c>
      <c r="G4" s="14">
        <f aca="true" t="shared" si="2" ref="G4:G9">-E4+F4</f>
        <v>0.13510000000002265</v>
      </c>
      <c r="H4" s="74"/>
    </row>
    <row r="5" spans="1:7" s="10" customFormat="1" ht="14.25">
      <c r="A5" s="15" t="s">
        <v>506</v>
      </c>
      <c r="B5" s="63">
        <v>38.75</v>
      </c>
      <c r="C5" s="64"/>
      <c r="D5" s="103">
        <f t="shared" si="0"/>
        <v>0</v>
      </c>
      <c r="E5" s="104">
        <f t="shared" si="1"/>
        <v>2515.2625</v>
      </c>
      <c r="F5" s="79">
        <v>2515</v>
      </c>
      <c r="G5" s="77">
        <f t="shared" si="2"/>
        <v>-0.2624999999998181</v>
      </c>
    </row>
    <row r="6" spans="1:7" s="10" customFormat="1" ht="14.25">
      <c r="A6" s="15" t="s">
        <v>589</v>
      </c>
      <c r="B6" s="63">
        <v>22.71</v>
      </c>
      <c r="C6" s="64"/>
      <c r="D6" s="103">
        <f t="shared" si="0"/>
        <v>0</v>
      </c>
      <c r="E6" s="104">
        <f t="shared" si="1"/>
        <v>1474.1061</v>
      </c>
      <c r="F6" s="79">
        <v>1474</v>
      </c>
      <c r="G6" s="77">
        <f t="shared" si="2"/>
        <v>-0.10609999999996944</v>
      </c>
    </row>
    <row r="7" spans="1:7" s="10" customFormat="1" ht="14.25">
      <c r="A7" s="15" t="s">
        <v>590</v>
      </c>
      <c r="B7" s="12">
        <v>14.96</v>
      </c>
      <c r="C7" s="12"/>
      <c r="D7" s="103">
        <f t="shared" si="0"/>
        <v>0</v>
      </c>
      <c r="E7" s="103">
        <f t="shared" si="1"/>
        <v>971.0536</v>
      </c>
      <c r="F7" s="79">
        <v>971</v>
      </c>
      <c r="G7" s="14">
        <f t="shared" si="2"/>
        <v>-0.053599999999960346</v>
      </c>
    </row>
    <row r="8" spans="1:7" s="10" customFormat="1" ht="14.25">
      <c r="A8" s="15" t="s">
        <v>505</v>
      </c>
      <c r="B8" s="63">
        <v>38.88</v>
      </c>
      <c r="C8" s="64"/>
      <c r="D8" s="103">
        <f t="shared" si="0"/>
        <v>0</v>
      </c>
      <c r="E8" s="104">
        <f t="shared" si="1"/>
        <v>2523.7008</v>
      </c>
      <c r="F8" s="79">
        <v>2524</v>
      </c>
      <c r="G8" s="77">
        <f t="shared" si="2"/>
        <v>0.29919999999992797</v>
      </c>
    </row>
    <row r="9" spans="1:8" s="10" customFormat="1" ht="14.25">
      <c r="A9" s="11" t="s">
        <v>154</v>
      </c>
      <c r="B9" s="63">
        <v>4.95</v>
      </c>
      <c r="C9" s="64"/>
      <c r="D9" s="103">
        <f t="shared" si="0"/>
        <v>0</v>
      </c>
      <c r="E9" s="103">
        <f t="shared" si="1"/>
        <v>321.3045</v>
      </c>
      <c r="F9" s="79">
        <v>321</v>
      </c>
      <c r="G9" s="14">
        <f t="shared" si="2"/>
        <v>-0.30450000000001864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105"/>
      <c r="G10" s="24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42039</v>
      </c>
      <c r="C1" s="3" t="s">
        <v>1</v>
      </c>
      <c r="D1" s="4">
        <v>68.53</v>
      </c>
      <c r="E1" s="5" t="s">
        <v>2</v>
      </c>
    </row>
    <row r="2" s="5" customFormat="1" ht="14.25">
      <c r="A2" s="6" t="s">
        <v>330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14.39</v>
      </c>
      <c r="C4" s="64">
        <v>0.57</v>
      </c>
      <c r="D4" s="11">
        <f aca="true" t="shared" si="0" ref="D4:D10">C4/$C$11*$D$11</f>
        <v>1.7538461538461536</v>
      </c>
      <c r="E4" s="11">
        <f aca="true" t="shared" si="1" ref="E4:E9">(B4+D4)*$D$1</f>
        <v>1106.337776923077</v>
      </c>
      <c r="F4" s="13">
        <v>1100</v>
      </c>
      <c r="G4" s="14">
        <f aca="true" t="shared" si="2" ref="G4:G9">-E4+F4</f>
        <v>-6.3377769230769445</v>
      </c>
      <c r="H4" s="74"/>
    </row>
    <row r="5" spans="1:7" s="10" customFormat="1" ht="14.25">
      <c r="A5" s="15" t="s">
        <v>227</v>
      </c>
      <c r="B5" s="63">
        <v>22.94</v>
      </c>
      <c r="C5" s="64">
        <v>0.3</v>
      </c>
      <c r="D5" s="11">
        <f t="shared" si="0"/>
        <v>0.923076923076923</v>
      </c>
      <c r="E5" s="11">
        <f t="shared" si="1"/>
        <v>1635.3366615384616</v>
      </c>
      <c r="F5" s="13">
        <f>1559+51</f>
        <v>1610</v>
      </c>
      <c r="G5" s="14">
        <f t="shared" si="2"/>
        <v>-25.336661538461613</v>
      </c>
    </row>
    <row r="6" spans="1:7" s="10" customFormat="1" ht="14.25">
      <c r="A6" s="11" t="s">
        <v>29</v>
      </c>
      <c r="B6" s="12">
        <v>4.19</v>
      </c>
      <c r="C6" s="12">
        <v>0.24</v>
      </c>
      <c r="D6" s="11">
        <f t="shared" si="0"/>
        <v>0.7384615384615384</v>
      </c>
      <c r="E6" s="11">
        <f t="shared" si="1"/>
        <v>337.74746923076924</v>
      </c>
      <c r="F6" s="13"/>
      <c r="G6" s="14">
        <f t="shared" si="2"/>
        <v>-337.74746923076924</v>
      </c>
    </row>
    <row r="7" spans="1:7" s="10" customFormat="1" ht="14.25">
      <c r="A7" s="15" t="s">
        <v>315</v>
      </c>
      <c r="B7" s="63">
        <v>8.99</v>
      </c>
      <c r="C7" s="64">
        <v>0.06</v>
      </c>
      <c r="D7" s="11">
        <f t="shared" si="0"/>
        <v>0.1846153846153846</v>
      </c>
      <c r="E7" s="11">
        <f>(B7+D7)*$D$1</f>
        <v>628.7363923076923</v>
      </c>
      <c r="F7" s="13">
        <f>622+7</f>
        <v>629</v>
      </c>
      <c r="G7" s="14">
        <f>-E7+F7</f>
        <v>0.2636076923076871</v>
      </c>
    </row>
    <row r="8" spans="1:7" s="10" customFormat="1" ht="14.25">
      <c r="A8" s="11" t="s">
        <v>332</v>
      </c>
      <c r="B8" s="12">
        <v>14</v>
      </c>
      <c r="C8" s="12">
        <v>0.05</v>
      </c>
      <c r="D8" s="11">
        <f t="shared" si="0"/>
        <v>0.15384615384615385</v>
      </c>
      <c r="E8" s="11">
        <f>(B8+D8)*$D$1</f>
        <v>969.9630769230769</v>
      </c>
      <c r="F8" s="13">
        <f>960+10</f>
        <v>970</v>
      </c>
      <c r="G8" s="14">
        <f>-E8+F8</f>
        <v>0.03692307692313079</v>
      </c>
    </row>
    <row r="9" spans="1:7" s="10" customFormat="1" ht="14.25">
      <c r="A9" s="15" t="s">
        <v>333</v>
      </c>
      <c r="B9" s="63">
        <v>67.77</v>
      </c>
      <c r="C9" s="64">
        <v>2.03</v>
      </c>
      <c r="D9" s="11">
        <f t="shared" si="0"/>
        <v>6.246153846153845</v>
      </c>
      <c r="E9" s="11">
        <f t="shared" si="1"/>
        <v>5072.327023076923</v>
      </c>
      <c r="F9" s="67">
        <v>4885</v>
      </c>
      <c r="G9" s="14">
        <f t="shared" si="2"/>
        <v>-187.32702307692307</v>
      </c>
    </row>
    <row r="10" spans="1:7" s="10" customFormat="1" ht="14.25">
      <c r="A10" s="15" t="s">
        <v>10</v>
      </c>
      <c r="B10" s="24"/>
      <c r="C10" s="20"/>
      <c r="D10" s="11">
        <f t="shared" si="0"/>
        <v>0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3.25</v>
      </c>
      <c r="D11" s="24">
        <v>10</v>
      </c>
      <c r="E11" s="24"/>
      <c r="F11" s="24"/>
      <c r="G11" s="24"/>
    </row>
    <row r="14" ht="14.2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4.25">
      <c r="A2" s="6" t="s">
        <v>588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68.3</v>
      </c>
      <c r="C4" s="64"/>
      <c r="D4" s="103">
        <f>C4*1</f>
        <v>0</v>
      </c>
      <c r="E4" s="103">
        <f>(B4+D4)*$D$1</f>
        <v>4433.352999999999</v>
      </c>
      <c r="F4" s="79">
        <v>4433</v>
      </c>
      <c r="G4" s="14">
        <f>-E4+F4</f>
        <v>-0.352999999999156</v>
      </c>
      <c r="H4" s="74"/>
    </row>
    <row r="5" spans="1:7" s="10" customFormat="1" ht="14.25">
      <c r="A5" s="15" t="s">
        <v>591</v>
      </c>
      <c r="B5" s="63">
        <v>26.21</v>
      </c>
      <c r="C5" s="64"/>
      <c r="D5" s="103">
        <f>C5*1</f>
        <v>0</v>
      </c>
      <c r="E5" s="104">
        <f>(B5+D5)*$D$1</f>
        <v>1701.2911</v>
      </c>
      <c r="F5" s="79">
        <v>1701</v>
      </c>
      <c r="G5" s="77">
        <f>-E5+F5</f>
        <v>-0.29109999999991487</v>
      </c>
    </row>
    <row r="6" spans="1:7" s="10" customFormat="1" ht="14.25">
      <c r="A6" s="15" t="s">
        <v>315</v>
      </c>
      <c r="B6" s="63">
        <f>18.98-9.99</f>
        <v>8.99</v>
      </c>
      <c r="C6" s="64"/>
      <c r="D6" s="103">
        <f>C6*1</f>
        <v>0</v>
      </c>
      <c r="E6" s="104">
        <f>(B6+D6)*$D$1</f>
        <v>583.5409</v>
      </c>
      <c r="F6" s="79">
        <v>1234</v>
      </c>
      <c r="G6" s="77">
        <f>-E6+F6</f>
        <v>650.4591</v>
      </c>
    </row>
    <row r="7" spans="1:7" s="10" customFormat="1" ht="14.25">
      <c r="A7" s="15" t="s">
        <v>592</v>
      </c>
      <c r="B7" s="12">
        <v>9.99</v>
      </c>
      <c r="C7" s="12"/>
      <c r="D7" s="103">
        <f>C7*1</f>
        <v>0</v>
      </c>
      <c r="E7" s="103">
        <f>(B7+D7)*$D$1</f>
        <v>648.4508999999999</v>
      </c>
      <c r="F7" s="106">
        <v>648</v>
      </c>
      <c r="G7" s="14">
        <f>-E7+F7</f>
        <v>-0.45089999999993324</v>
      </c>
    </row>
    <row r="8" spans="1:7" s="10" customFormat="1" ht="14.25">
      <c r="A8" s="15" t="s">
        <v>331</v>
      </c>
      <c r="B8" s="63">
        <v>6.24</v>
      </c>
      <c r="C8" s="64"/>
      <c r="D8" s="103">
        <f>C8*1</f>
        <v>0</v>
      </c>
      <c r="E8" s="104">
        <f>(B8+D8)*$D$1</f>
        <v>405.03839999999997</v>
      </c>
      <c r="F8" s="79">
        <v>405</v>
      </c>
      <c r="G8" s="77">
        <f>-E8+F8</f>
        <v>-0.03839999999996735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538</v>
      </c>
    </row>
    <row r="12" spans="1:2" ht="14.25">
      <c r="A12" s="71" t="s">
        <v>169</v>
      </c>
      <c r="B12" s="72" t="s">
        <v>593</v>
      </c>
    </row>
    <row r="13" ht="14.25">
      <c r="B13" s="27"/>
    </row>
  </sheetData>
  <sheetProtection/>
  <hyperlinks>
    <hyperlink ref="B12" r:id="rId1" display="http://www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4.25">
      <c r="A2" s="6" t="s">
        <v>595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178</v>
      </c>
      <c r="B4" s="63">
        <v>4.62</v>
      </c>
      <c r="C4" s="64"/>
      <c r="D4" s="103">
        <f>C4*1</f>
        <v>0</v>
      </c>
      <c r="E4" s="103">
        <f>(B4+D4)*$D$1</f>
        <v>305.61300000000006</v>
      </c>
      <c r="F4" s="78">
        <v>306</v>
      </c>
      <c r="G4" s="14">
        <f>-E4+F4</f>
        <v>0.3869999999999436</v>
      </c>
      <c r="H4" s="74"/>
    </row>
    <row r="5" spans="1:7" s="10" customFormat="1" ht="14.25">
      <c r="A5" s="15" t="s">
        <v>525</v>
      </c>
      <c r="B5" s="63">
        <v>31.77</v>
      </c>
      <c r="C5" s="64"/>
      <c r="D5" s="103">
        <f>C5*1</f>
        <v>0</v>
      </c>
      <c r="E5" s="104">
        <f>(B5+D5)*$D$1</f>
        <v>2101.5855</v>
      </c>
      <c r="F5" s="79">
        <v>2135</v>
      </c>
      <c r="G5" s="77">
        <f>-E5+F5</f>
        <v>33.41449999999986</v>
      </c>
    </row>
    <row r="6" spans="1:7" s="10" customFormat="1" ht="14.25">
      <c r="A6" s="15" t="s">
        <v>169</v>
      </c>
      <c r="B6" s="63">
        <v>43.2</v>
      </c>
      <c r="C6" s="64"/>
      <c r="D6" s="103">
        <f>C6*1</f>
        <v>0</v>
      </c>
      <c r="E6" s="104">
        <f>(B6+D6)*$D$1</f>
        <v>2857.6800000000003</v>
      </c>
      <c r="F6" s="79">
        <v>2858</v>
      </c>
      <c r="G6" s="77">
        <f>-E6+F6</f>
        <v>0.31999999999970896</v>
      </c>
    </row>
    <row r="7" spans="1:7" s="10" customFormat="1" ht="14.25">
      <c r="A7" s="15" t="s">
        <v>437</v>
      </c>
      <c r="B7" s="12">
        <v>23</v>
      </c>
      <c r="C7" s="12"/>
      <c r="D7" s="103">
        <f>C7*1</f>
        <v>0</v>
      </c>
      <c r="E7" s="103">
        <f>(B7+D7)*$D$1</f>
        <v>1521.45</v>
      </c>
      <c r="F7" s="79">
        <v>1522</v>
      </c>
      <c r="G7" s="14">
        <f>-E7+F7</f>
        <v>0.5499999999999545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30.75">
      <c r="A10" s="26" t="s">
        <v>538</v>
      </c>
    </row>
    <row r="11" spans="1:2" ht="14.25">
      <c r="A11" s="71" t="s">
        <v>525</v>
      </c>
      <c r="B11" s="72"/>
    </row>
    <row r="12" spans="1:2" ht="14.25">
      <c r="A12" s="72" t="s">
        <v>596</v>
      </c>
      <c r="B12" s="27"/>
    </row>
    <row r="13" ht="14.25">
      <c r="A13" s="71" t="s">
        <v>169</v>
      </c>
    </row>
    <row r="14" ht="14.25">
      <c r="A14" s="72" t="s">
        <v>597</v>
      </c>
    </row>
  </sheetData>
  <sheetProtection/>
  <hyperlinks>
    <hyperlink ref="A12" r:id="rId1" display="http://ru.iherb.com/Aroma-Naturals-Vitamin-C-Lotion-Amazing-C-A-E-1-oz-30-g/49604"/>
    <hyperlink ref="A14" r:id="rId2" display="http://www.iherb.com/Reviva-Labs-Pomegranate-Lactic-Acid-Peptide-Botanical-Exfoliant-2-oz-55-g/16654"/>
  </hyperlinks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4.25">
      <c r="A2" s="6" t="s">
        <v>595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520</v>
      </c>
      <c r="B4" s="63">
        <v>28.62</v>
      </c>
      <c r="C4" s="64"/>
      <c r="D4" s="103">
        <f aca="true" t="shared" si="0" ref="D4:D9">C4*1</f>
        <v>0</v>
      </c>
      <c r="E4" s="103">
        <f aca="true" t="shared" si="1" ref="E4:E9">(B4+D4)*$D$1</f>
        <v>1893.2130000000002</v>
      </c>
      <c r="F4" s="78">
        <v>1896</v>
      </c>
      <c r="G4" s="14">
        <f aca="true" t="shared" si="2" ref="G4:G9">-E4+F4</f>
        <v>2.786999999999807</v>
      </c>
      <c r="H4" s="74"/>
    </row>
    <row r="5" spans="1:7" s="10" customFormat="1" ht="14.25">
      <c r="A5" s="15" t="s">
        <v>183</v>
      </c>
      <c r="B5" s="63">
        <v>13.94</v>
      </c>
      <c r="C5" s="64"/>
      <c r="D5" s="103">
        <f t="shared" si="0"/>
        <v>0</v>
      </c>
      <c r="E5" s="104">
        <f t="shared" si="1"/>
        <v>922.1310000000001</v>
      </c>
      <c r="F5" s="79">
        <v>923</v>
      </c>
      <c r="G5" s="77">
        <f t="shared" si="2"/>
        <v>0.8689999999999145</v>
      </c>
    </row>
    <row r="6" spans="1:7" s="10" customFormat="1" ht="14.25">
      <c r="A6" s="15" t="s">
        <v>598</v>
      </c>
      <c r="B6" s="63">
        <v>26.98</v>
      </c>
      <c r="C6" s="64"/>
      <c r="D6" s="103">
        <f t="shared" si="0"/>
        <v>0</v>
      </c>
      <c r="E6" s="104">
        <f t="shared" si="1"/>
        <v>1784.727</v>
      </c>
      <c r="F6" s="79">
        <v>1785</v>
      </c>
      <c r="G6" s="77">
        <f t="shared" si="2"/>
        <v>0.27299999999991087</v>
      </c>
    </row>
    <row r="7" spans="1:7" s="10" customFormat="1" ht="14.25">
      <c r="A7" s="15" t="s">
        <v>408</v>
      </c>
      <c r="B7" s="12">
        <v>26.49</v>
      </c>
      <c r="C7" s="12"/>
      <c r="D7" s="103">
        <f t="shared" si="0"/>
        <v>0</v>
      </c>
      <c r="E7" s="103">
        <f t="shared" si="1"/>
        <v>1752.3135</v>
      </c>
      <c r="F7" s="79">
        <v>1752</v>
      </c>
      <c r="G7" s="14">
        <f t="shared" si="2"/>
        <v>-0.31349999999997635</v>
      </c>
    </row>
    <row r="8" spans="1:7" s="10" customFormat="1" ht="14.25">
      <c r="A8" s="15" t="s">
        <v>449</v>
      </c>
      <c r="B8" s="63">
        <v>13</v>
      </c>
      <c r="C8" s="64"/>
      <c r="D8" s="103">
        <f t="shared" si="0"/>
        <v>0</v>
      </c>
      <c r="E8" s="104">
        <f t="shared" si="1"/>
        <v>859.95</v>
      </c>
      <c r="F8" s="79">
        <v>860</v>
      </c>
      <c r="G8" s="77">
        <f t="shared" si="2"/>
        <v>0.049999999999954525</v>
      </c>
    </row>
    <row r="9" spans="1:8" s="10" customFormat="1" ht="14.25">
      <c r="A9" s="11" t="s">
        <v>34</v>
      </c>
      <c r="B9" s="63">
        <v>11.99</v>
      </c>
      <c r="C9" s="64"/>
      <c r="D9" s="103">
        <f t="shared" si="0"/>
        <v>0</v>
      </c>
      <c r="E9" s="103">
        <f t="shared" si="1"/>
        <v>793.1385000000001</v>
      </c>
      <c r="F9" s="79">
        <v>801</v>
      </c>
      <c r="G9" s="14">
        <f t="shared" si="2"/>
        <v>7.8614999999998645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4.25">
      <c r="A2" s="6" t="s">
        <v>599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431</v>
      </c>
      <c r="B4">
        <v>11.84</v>
      </c>
      <c r="C4" s="64"/>
      <c r="D4" s="103">
        <f>C4*1</f>
        <v>0</v>
      </c>
      <c r="E4" s="103">
        <f>(B4+D4)*$D$1</f>
        <v>822.88</v>
      </c>
      <c r="F4" s="78">
        <v>823</v>
      </c>
      <c r="G4" s="14">
        <f>-E4+F4</f>
        <v>0.12000000000000455</v>
      </c>
      <c r="H4" s="74"/>
    </row>
    <row r="5" spans="1:7" s="10" customFormat="1" ht="14.25">
      <c r="A5" s="15" t="s">
        <v>234</v>
      </c>
      <c r="B5" s="63">
        <v>26.2</v>
      </c>
      <c r="C5" s="64"/>
      <c r="D5" s="103">
        <f>C5*1</f>
        <v>0</v>
      </c>
      <c r="E5" s="104">
        <f>(B5+D5)*$D$1</f>
        <v>1820.8999999999999</v>
      </c>
      <c r="F5" s="79">
        <v>1821</v>
      </c>
      <c r="G5" s="77">
        <f>-E5+F5</f>
        <v>0.10000000000013642</v>
      </c>
    </row>
    <row r="6" spans="1:7" s="10" customFormat="1" ht="14.25">
      <c r="A6" s="15" t="s">
        <v>34</v>
      </c>
      <c r="B6">
        <v>5.61</v>
      </c>
      <c r="C6" s="64"/>
      <c r="D6" s="103">
        <f>C6*1</f>
        <v>0</v>
      </c>
      <c r="E6" s="104">
        <f>(B6+D6)*$D$1</f>
        <v>389.89500000000004</v>
      </c>
      <c r="F6" s="79">
        <v>390</v>
      </c>
      <c r="G6" s="77">
        <f>-E6+F6</f>
        <v>0.10499999999996135</v>
      </c>
    </row>
    <row r="7" spans="1:7" s="10" customFormat="1" ht="14.25">
      <c r="A7" s="15" t="s">
        <v>563</v>
      </c>
      <c r="B7" s="12">
        <v>37.52</v>
      </c>
      <c r="C7" s="12"/>
      <c r="D7" s="103">
        <f>C7*1</f>
        <v>0</v>
      </c>
      <c r="E7" s="103">
        <f>(B7+D7)*$D$1</f>
        <v>2607.6400000000003</v>
      </c>
      <c r="F7" s="79">
        <v>2608</v>
      </c>
      <c r="G7" s="14">
        <f>-E7+F7</f>
        <v>0.3599999999996726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30.75">
      <c r="A10" s="26" t="s">
        <v>538</v>
      </c>
    </row>
    <row r="11" spans="1:2" ht="14.25">
      <c r="A11" s="71" t="s">
        <v>563</v>
      </c>
      <c r="B11" s="72"/>
    </row>
    <row r="12" spans="1:2" ht="14.25">
      <c r="A12" s="72" t="s">
        <v>600</v>
      </c>
      <c r="B12" s="27"/>
    </row>
    <row r="13" ht="14.25">
      <c r="A13" s="72" t="s">
        <v>601</v>
      </c>
    </row>
  </sheetData>
  <sheetProtection/>
  <hyperlinks>
    <hyperlink ref="A12" r:id="rId1" display="http://www.iherb.com/Now-Foods-Solutions-Shea-Butter-Lotion-4-fl-oz-118-ml/6690"/>
    <hyperlink ref="A13" r:id="rId2" display="http://www.iherb.com/EcoTools-Bamboo-Nail-Brush-1-Brush/25462"/>
  </hyperlinks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4.25">
      <c r="A2" s="6" t="s">
        <v>599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12">
        <v>3</v>
      </c>
      <c r="C4" s="64"/>
      <c r="D4" s="103">
        <f aca="true" t="shared" si="0" ref="D4:D9">C4*1</f>
        <v>0</v>
      </c>
      <c r="E4" s="103">
        <f aca="true" t="shared" si="1" ref="E4:E9">(B4+D4)*$D$1</f>
        <v>208.5</v>
      </c>
      <c r="F4" s="78">
        <v>210</v>
      </c>
      <c r="G4" s="14">
        <f aca="true" t="shared" si="2" ref="G4:G9">-E4+F4</f>
        <v>1.5</v>
      </c>
      <c r="H4" s="74"/>
    </row>
    <row r="5" spans="1:7" s="10" customFormat="1" ht="14.25">
      <c r="A5" s="15" t="s">
        <v>227</v>
      </c>
      <c r="B5" s="12">
        <v>8.6</v>
      </c>
      <c r="C5" s="64"/>
      <c r="D5" s="103">
        <f t="shared" si="0"/>
        <v>0</v>
      </c>
      <c r="E5" s="104">
        <f t="shared" si="1"/>
        <v>597.6999999999999</v>
      </c>
      <c r="F5" s="79">
        <v>597</v>
      </c>
      <c r="G5" s="77">
        <f t="shared" si="2"/>
        <v>-0.6999999999999318</v>
      </c>
    </row>
    <row r="6" spans="1:8" s="10" customFormat="1" ht="14.25">
      <c r="A6" s="15" t="s">
        <v>410</v>
      </c>
      <c r="B6" s="63">
        <v>22.31</v>
      </c>
      <c r="C6" s="64"/>
      <c r="D6" s="103">
        <f t="shared" si="0"/>
        <v>0</v>
      </c>
      <c r="E6" s="104">
        <f t="shared" si="1"/>
        <v>1550.5449999999998</v>
      </c>
      <c r="F6" s="79">
        <f>1600-39</f>
        <v>1561</v>
      </c>
      <c r="G6" s="77">
        <f t="shared" si="2"/>
        <v>10.455000000000155</v>
      </c>
      <c r="H6" s="10" t="s">
        <v>603</v>
      </c>
    </row>
    <row r="7" spans="1:7" s="10" customFormat="1" ht="14.25">
      <c r="A7" s="15" t="s">
        <v>520</v>
      </c>
      <c r="B7" s="12">
        <v>40.16</v>
      </c>
      <c r="C7" s="12"/>
      <c r="D7" s="103">
        <f t="shared" si="0"/>
        <v>0</v>
      </c>
      <c r="E7" s="103">
        <f t="shared" si="1"/>
        <v>2791.12</v>
      </c>
      <c r="F7" s="79">
        <v>2791</v>
      </c>
      <c r="G7" s="14">
        <f t="shared" si="2"/>
        <v>-0.11999999999989086</v>
      </c>
    </row>
    <row r="8" spans="1:7" s="10" customFormat="1" ht="14.25">
      <c r="A8" s="15" t="s">
        <v>223</v>
      </c>
      <c r="B8" s="63">
        <v>13.81</v>
      </c>
      <c r="C8" s="64"/>
      <c r="D8" s="103">
        <f t="shared" si="0"/>
        <v>0</v>
      </c>
      <c r="E8" s="104">
        <f t="shared" si="1"/>
        <v>959.7950000000001</v>
      </c>
      <c r="F8" s="79">
        <v>960</v>
      </c>
      <c r="G8" s="77">
        <f t="shared" si="2"/>
        <v>0.20499999999992724</v>
      </c>
    </row>
    <row r="9" spans="1:8" s="10" customFormat="1" ht="14.25">
      <c r="A9" s="11" t="s">
        <v>229</v>
      </c>
      <c r="B9" s="63">
        <v>42.96</v>
      </c>
      <c r="C9" s="64"/>
      <c r="D9" s="103">
        <f t="shared" si="0"/>
        <v>0</v>
      </c>
      <c r="E9" s="103">
        <f t="shared" si="1"/>
        <v>2985.7200000000003</v>
      </c>
      <c r="F9" s="78">
        <f>1094+1295</f>
        <v>2389</v>
      </c>
      <c r="G9" s="14">
        <f t="shared" si="2"/>
        <v>-596.7200000000003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30.75">
      <c r="A12" s="26"/>
    </row>
    <row r="13" ht="14.25">
      <c r="B13" s="72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4.25">
      <c r="A2" s="6" t="s">
        <v>599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229</v>
      </c>
      <c r="B4" s="63">
        <v>149.68</v>
      </c>
      <c r="C4" s="64"/>
      <c r="D4" s="103">
        <f>C4*1</f>
        <v>0</v>
      </c>
      <c r="E4" s="103">
        <f>(B4+D4)*$D$1</f>
        <v>10402.76</v>
      </c>
      <c r="F4" s="78">
        <f>7451+3552</f>
        <v>11003</v>
      </c>
      <c r="G4" s="14">
        <f>-E4+F4</f>
        <v>600.2399999999998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7" ht="30.75">
      <c r="A7" s="26" t="s">
        <v>538</v>
      </c>
    </row>
    <row r="8" spans="1:2" ht="14.25">
      <c r="A8" s="71" t="s">
        <v>229</v>
      </c>
      <c r="B8" s="72"/>
    </row>
    <row r="9" spans="1:2" ht="14.25">
      <c r="A9" s="72" t="s">
        <v>602</v>
      </c>
      <c r="B9" s="27"/>
    </row>
  </sheetData>
  <sheetProtection/>
  <hyperlinks>
    <hyperlink ref="A9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4.25">
      <c r="A2" s="6" t="s">
        <v>604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24.97</v>
      </c>
      <c r="C4" s="64"/>
      <c r="D4" s="103">
        <f aca="true" t="shared" si="0" ref="D4:D10">C4*1</f>
        <v>0</v>
      </c>
      <c r="E4" s="103">
        <f aca="true" t="shared" si="1" ref="E4:E10">(B4+D4)*$D$1</f>
        <v>1671.2421000000002</v>
      </c>
      <c r="F4" s="78">
        <v>2061</v>
      </c>
      <c r="G4" s="14">
        <f aca="true" t="shared" si="2" ref="G4:G10">-E4+F4</f>
        <v>389.75789999999984</v>
      </c>
      <c r="H4" s="74"/>
    </row>
    <row r="5" spans="1:7" s="10" customFormat="1" ht="14.25">
      <c r="A5" s="15" t="s">
        <v>479</v>
      </c>
      <c r="B5" s="63">
        <v>3.95</v>
      </c>
      <c r="C5" s="64"/>
      <c r="D5" s="103">
        <f t="shared" si="0"/>
        <v>0</v>
      </c>
      <c r="E5" s="104">
        <f t="shared" si="1"/>
        <v>264.37350000000004</v>
      </c>
      <c r="F5" s="79">
        <v>265</v>
      </c>
      <c r="G5" s="77">
        <f t="shared" si="2"/>
        <v>0.6264999999999645</v>
      </c>
    </row>
    <row r="6" spans="1:7" s="10" customFormat="1" ht="14.25">
      <c r="A6" s="15" t="s">
        <v>410</v>
      </c>
      <c r="B6" s="63">
        <v>15.52</v>
      </c>
      <c r="C6" s="64"/>
      <c r="D6" s="103">
        <f t="shared" si="0"/>
        <v>0</v>
      </c>
      <c r="E6" s="104">
        <f t="shared" si="1"/>
        <v>1038.7536</v>
      </c>
      <c r="F6" s="79">
        <v>1020</v>
      </c>
      <c r="G6" s="77">
        <f t="shared" si="2"/>
        <v>-18.753600000000006</v>
      </c>
    </row>
    <row r="7" spans="1:7" s="10" customFormat="1" ht="14.25">
      <c r="A7" s="15" t="s">
        <v>226</v>
      </c>
      <c r="B7" s="12">
        <v>11.54</v>
      </c>
      <c r="C7" s="12"/>
      <c r="D7" s="103">
        <f t="shared" si="0"/>
        <v>0</v>
      </c>
      <c r="E7" s="103">
        <f t="shared" si="1"/>
        <v>772.3722</v>
      </c>
      <c r="F7" s="79">
        <v>770</v>
      </c>
      <c r="G7" s="14">
        <f t="shared" si="2"/>
        <v>-2.3722000000000207</v>
      </c>
    </row>
    <row r="8" spans="1:7" s="10" customFormat="1" ht="14.25">
      <c r="A8" s="15" t="s">
        <v>373</v>
      </c>
      <c r="B8" s="63">
        <v>9.95</v>
      </c>
      <c r="C8" s="64"/>
      <c r="D8" s="103">
        <f t="shared" si="0"/>
        <v>0</v>
      </c>
      <c r="E8" s="104">
        <f t="shared" si="1"/>
        <v>665.9535000000001</v>
      </c>
      <c r="F8" s="79">
        <v>666</v>
      </c>
      <c r="G8" s="77">
        <f t="shared" si="2"/>
        <v>0.0464999999999236</v>
      </c>
    </row>
    <row r="9" spans="1:8" s="10" customFormat="1" ht="14.25">
      <c r="A9" s="15" t="s">
        <v>169</v>
      </c>
      <c r="B9" s="63">
        <v>14.38</v>
      </c>
      <c r="C9" s="64"/>
      <c r="D9" s="103">
        <f t="shared" si="0"/>
        <v>0</v>
      </c>
      <c r="E9" s="103">
        <f t="shared" si="1"/>
        <v>962.4534000000001</v>
      </c>
      <c r="F9" s="78">
        <v>963</v>
      </c>
      <c r="G9" s="14">
        <f t="shared" si="2"/>
        <v>0.5465999999998985</v>
      </c>
      <c r="H9" s="74"/>
    </row>
    <row r="10" spans="1:7" s="10" customFormat="1" ht="14.25">
      <c r="A10" s="15" t="s">
        <v>431</v>
      </c>
      <c r="B10" s="63">
        <v>5.95</v>
      </c>
      <c r="C10" s="64"/>
      <c r="D10" s="103">
        <f t="shared" si="0"/>
        <v>0</v>
      </c>
      <c r="E10" s="104">
        <f t="shared" si="1"/>
        <v>398.23350000000005</v>
      </c>
      <c r="F10" s="79">
        <v>398</v>
      </c>
      <c r="G10" s="77">
        <f t="shared" si="2"/>
        <v>-0.2335000000000491</v>
      </c>
    </row>
    <row r="11" spans="1:7" s="25" customFormat="1" ht="14.25">
      <c r="A11" s="24"/>
      <c r="B11" s="24"/>
      <c r="C11" s="24">
        <f>SUM(C4:C8)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ht="30.75">
      <c r="A15" s="26" t="s">
        <v>538</v>
      </c>
    </row>
    <row r="16" spans="1:2" ht="14.25">
      <c r="A16" s="71" t="s">
        <v>479</v>
      </c>
      <c r="B16" s="72"/>
    </row>
    <row r="17" spans="1:2" ht="14.25">
      <c r="A17" t="s">
        <v>601</v>
      </c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4.25">
      <c r="A2" s="6" t="s">
        <v>604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606</v>
      </c>
      <c r="B4" s="63">
        <v>27.1</v>
      </c>
      <c r="C4" s="64"/>
      <c r="D4" s="103">
        <f>C4*1</f>
        <v>0</v>
      </c>
      <c r="E4" s="103">
        <f>(B4+D4)*$D$1</f>
        <v>1813.8030000000003</v>
      </c>
      <c r="F4" s="78">
        <v>1814</v>
      </c>
      <c r="G4" s="14">
        <f>-E4+F4</f>
        <v>0.19699999999966167</v>
      </c>
      <c r="H4" s="74"/>
    </row>
    <row r="5" spans="1:7" s="10" customFormat="1" ht="14.25">
      <c r="A5" s="15" t="s">
        <v>520</v>
      </c>
      <c r="B5" s="63">
        <v>20.76</v>
      </c>
      <c r="C5" s="64"/>
      <c r="D5" s="103">
        <f>C5*1</f>
        <v>0</v>
      </c>
      <c r="E5" s="104">
        <f>(B5+D5)*$D$1</f>
        <v>1389.4668000000001</v>
      </c>
      <c r="F5" s="79">
        <v>1389</v>
      </c>
      <c r="G5" s="77">
        <f>-E5+F5</f>
        <v>-0.46680000000014843</v>
      </c>
    </row>
    <row r="6" spans="1:7" s="10" customFormat="1" ht="14.25">
      <c r="A6" s="15" t="s">
        <v>506</v>
      </c>
      <c r="B6" s="63">
        <v>20.36</v>
      </c>
      <c r="C6" s="64"/>
      <c r="D6" s="103">
        <f>C6*1</f>
        <v>0</v>
      </c>
      <c r="E6" s="104">
        <f>(B6+D6)*$D$1</f>
        <v>1362.6948000000002</v>
      </c>
      <c r="F6" s="79">
        <v>1363</v>
      </c>
      <c r="G6" s="77">
        <f>-E6+F6</f>
        <v>0.3051999999997861</v>
      </c>
    </row>
    <row r="7" spans="1:7" s="10" customFormat="1" ht="14.25">
      <c r="A7" s="15" t="s">
        <v>273</v>
      </c>
      <c r="B7" s="12">
        <v>37.97</v>
      </c>
      <c r="C7" s="12"/>
      <c r="D7" s="103">
        <f>C7*1</f>
        <v>0</v>
      </c>
      <c r="E7" s="103">
        <f>(B7+D7)*$D$1</f>
        <v>2541.3321</v>
      </c>
      <c r="F7" s="79">
        <v>2591</v>
      </c>
      <c r="G7" s="14">
        <f>-E7+F7</f>
        <v>49.66789999999992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605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5.95</v>
      </c>
      <c r="C4" s="64"/>
      <c r="D4" s="103">
        <f>C4*1</f>
        <v>0</v>
      </c>
      <c r="E4" s="103">
        <f>(B4+D4)*$D$1</f>
        <v>389.725</v>
      </c>
      <c r="F4" s="78"/>
      <c r="G4" s="14">
        <f>-E4+F4</f>
        <v>-389.725</v>
      </c>
      <c r="H4" s="74"/>
    </row>
    <row r="5" spans="1:7" s="10" customFormat="1" ht="14.25">
      <c r="A5" s="15" t="s">
        <v>215</v>
      </c>
      <c r="B5" s="63">
        <v>8.4</v>
      </c>
      <c r="C5" s="64"/>
      <c r="D5" s="103">
        <f>C5*1</f>
        <v>0</v>
      </c>
      <c r="E5" s="104">
        <f>(B5+D5)*$D$1</f>
        <v>550.2</v>
      </c>
      <c r="F5" s="79">
        <v>550</v>
      </c>
      <c r="G5" s="77">
        <f>-E5+F5</f>
        <v>-0.20000000000004547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4.25">
      <c r="A2" s="6" t="s">
        <v>609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563</v>
      </c>
      <c r="B4" s="63">
        <v>0.5</v>
      </c>
      <c r="C4" s="64"/>
      <c r="D4" s="103">
        <f aca="true" t="shared" si="0" ref="D4:D10">C4*1</f>
        <v>0</v>
      </c>
      <c r="E4" s="103">
        <f aca="true" t="shared" si="1" ref="E4:E10">(B4+D4)*$D$1</f>
        <v>33.88</v>
      </c>
      <c r="F4" s="78">
        <v>34</v>
      </c>
      <c r="G4" s="14">
        <f aca="true" t="shared" si="2" ref="G4:G10">-E4+F4</f>
        <v>0.11999999999999744</v>
      </c>
      <c r="H4" s="74"/>
    </row>
    <row r="5" spans="1:7" s="10" customFormat="1" ht="14.25">
      <c r="A5" s="15" t="s">
        <v>431</v>
      </c>
      <c r="B5" s="63">
        <v>16.03</v>
      </c>
      <c r="C5" s="64"/>
      <c r="D5" s="103">
        <f t="shared" si="0"/>
        <v>0</v>
      </c>
      <c r="E5" s="104">
        <f t="shared" si="1"/>
        <v>1086.1928000000003</v>
      </c>
      <c r="F5" s="79">
        <v>1092</v>
      </c>
      <c r="G5" s="77">
        <f t="shared" si="2"/>
        <v>5.807199999999739</v>
      </c>
    </row>
    <row r="6" spans="1:7" s="10" customFormat="1" ht="14.25">
      <c r="A6" s="15" t="s">
        <v>410</v>
      </c>
      <c r="B6" s="63">
        <v>3.9</v>
      </c>
      <c r="C6" s="64"/>
      <c r="D6" s="103">
        <f t="shared" si="0"/>
        <v>0</v>
      </c>
      <c r="E6" s="104">
        <f t="shared" si="1"/>
        <v>264.264</v>
      </c>
      <c r="F6" s="79">
        <v>265</v>
      </c>
      <c r="G6" s="77">
        <f t="shared" si="2"/>
        <v>0.73599999999999</v>
      </c>
    </row>
    <row r="7" spans="1:8" s="10" customFormat="1" ht="14.25">
      <c r="A7" s="11" t="s">
        <v>223</v>
      </c>
      <c r="B7" s="63">
        <v>17.76</v>
      </c>
      <c r="C7" s="64"/>
      <c r="D7" s="103">
        <f t="shared" si="0"/>
        <v>0</v>
      </c>
      <c r="E7" s="103">
        <f t="shared" si="1"/>
        <v>1203.4176000000002</v>
      </c>
      <c r="F7" s="107">
        <v>1204</v>
      </c>
      <c r="G7" s="14">
        <f t="shared" si="2"/>
        <v>0.5823999999997795</v>
      </c>
      <c r="H7" s="74"/>
    </row>
    <row r="8" spans="1:7" s="10" customFormat="1" ht="14.25">
      <c r="A8" s="15" t="s">
        <v>315</v>
      </c>
      <c r="B8" s="63">
        <v>9.99</v>
      </c>
      <c r="C8" s="64"/>
      <c r="D8" s="103">
        <f t="shared" si="0"/>
        <v>0</v>
      </c>
      <c r="E8" s="104">
        <f t="shared" si="1"/>
        <v>676.9224</v>
      </c>
      <c r="F8" s="79">
        <v>28</v>
      </c>
      <c r="G8" s="77">
        <f t="shared" si="2"/>
        <v>-648.9224</v>
      </c>
    </row>
    <row r="9" spans="1:7" s="10" customFormat="1" ht="14.25">
      <c r="A9" s="15" t="s">
        <v>552</v>
      </c>
      <c r="B9" s="63">
        <v>3.99</v>
      </c>
      <c r="C9" s="64"/>
      <c r="D9" s="103">
        <f t="shared" si="0"/>
        <v>0</v>
      </c>
      <c r="E9" s="104">
        <f t="shared" si="1"/>
        <v>270.36240000000004</v>
      </c>
      <c r="F9" s="79">
        <v>300</v>
      </c>
      <c r="G9" s="77">
        <f t="shared" si="2"/>
        <v>29.637599999999964</v>
      </c>
    </row>
    <row r="10" spans="1:7" s="10" customFormat="1" ht="14.25">
      <c r="A10" s="15" t="s">
        <v>610</v>
      </c>
      <c r="B10" s="12">
        <v>25.47</v>
      </c>
      <c r="C10" s="12"/>
      <c r="D10" s="103">
        <f t="shared" si="0"/>
        <v>0</v>
      </c>
      <c r="E10" s="103">
        <f t="shared" si="1"/>
        <v>1725.8472000000002</v>
      </c>
      <c r="F10" s="79">
        <v>1700</v>
      </c>
      <c r="G10" s="14">
        <f t="shared" si="2"/>
        <v>-25.847200000000157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416</v>
      </c>
      <c r="B15" s="27"/>
    </row>
    <row r="16" spans="1:2" ht="14.25">
      <c r="A16" s="71" t="s">
        <v>410</v>
      </c>
      <c r="B16" s="72" t="s">
        <v>611</v>
      </c>
    </row>
  </sheetData>
  <sheetProtection/>
  <hyperlinks>
    <hyperlink ref="B16" r:id="rId1" display="http://ru.iherb.com/E-L-F-Cosmetics-Lengthening-Defining-Mascara-Black-0-08-fl-oz-2-5-ml/53218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68.86</v>
      </c>
      <c r="E1" s="5" t="s">
        <v>2</v>
      </c>
    </row>
    <row r="2" s="5" customFormat="1" ht="14.25">
      <c r="A2" s="6" t="s">
        <v>334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335</v>
      </c>
      <c r="B4" s="63">
        <v>17.04</v>
      </c>
      <c r="C4" s="64">
        <v>0.72</v>
      </c>
      <c r="D4" s="11">
        <f aca="true" t="shared" si="0" ref="D4:D10">C4/$C$11*$D$11</f>
        <v>1.4814814814814814</v>
      </c>
      <c r="E4" s="11">
        <f aca="true" t="shared" si="1" ref="E4:E9">(B4+D4)*$D$1</f>
        <v>1275.3892148148147</v>
      </c>
      <c r="F4" s="78">
        <f>1190+39</f>
        <v>1229</v>
      </c>
      <c r="G4" s="14">
        <f aca="true" t="shared" si="2" ref="G4:G9">-E4+F4</f>
        <v>-46.38921481481475</v>
      </c>
      <c r="H4" s="74"/>
    </row>
    <row r="5" spans="1:7" s="10" customFormat="1" ht="14.25">
      <c r="A5" s="15" t="s">
        <v>284</v>
      </c>
      <c r="B5" s="63">
        <v>18.75</v>
      </c>
      <c r="C5" s="64">
        <v>0.93</v>
      </c>
      <c r="D5" s="11">
        <f t="shared" si="0"/>
        <v>1.91358024691358</v>
      </c>
      <c r="E5" s="76">
        <f t="shared" si="1"/>
        <v>1422.894135802469</v>
      </c>
      <c r="F5" s="79">
        <v>1383</v>
      </c>
      <c r="G5" s="77">
        <f t="shared" si="2"/>
        <v>-39.89413580246901</v>
      </c>
    </row>
    <row r="6" spans="1:7" s="10" customFormat="1" ht="14.25">
      <c r="A6" s="11" t="s">
        <v>34</v>
      </c>
      <c r="B6" s="12">
        <v>27.16</v>
      </c>
      <c r="C6" s="12">
        <v>0.8</v>
      </c>
      <c r="D6" s="11">
        <f t="shared" si="0"/>
        <v>1.646090534979424</v>
      </c>
      <c r="E6" s="11">
        <f t="shared" si="1"/>
        <v>1983.5873942386831</v>
      </c>
      <c r="F6" s="69">
        <v>2037</v>
      </c>
      <c r="G6" s="14">
        <f t="shared" si="2"/>
        <v>53.412605761316854</v>
      </c>
    </row>
    <row r="7" spans="1:7" s="10" customFormat="1" ht="14.25">
      <c r="A7" s="15" t="s">
        <v>336</v>
      </c>
      <c r="B7" s="63">
        <v>23.16</v>
      </c>
      <c r="C7" s="64">
        <v>0.32</v>
      </c>
      <c r="D7" s="11">
        <f t="shared" si="0"/>
        <v>0.6584362139917694</v>
      </c>
      <c r="E7" s="11">
        <f>(B7+D7)*$D$1</f>
        <v>1640.1375176954732</v>
      </c>
      <c r="F7" s="67">
        <v>1598</v>
      </c>
      <c r="G7" s="14">
        <f>-E7+F7</f>
        <v>-42.13751769547321</v>
      </c>
    </row>
    <row r="8" spans="1:7" s="10" customFormat="1" ht="14.25">
      <c r="A8" s="11" t="s">
        <v>194</v>
      </c>
      <c r="B8" s="12">
        <v>4.9</v>
      </c>
      <c r="C8" s="12">
        <v>0.16</v>
      </c>
      <c r="D8" s="11">
        <f t="shared" si="0"/>
        <v>0.3292181069958847</v>
      </c>
      <c r="E8" s="11">
        <f>(B8+D8)*$D$1</f>
        <v>360.08395884773665</v>
      </c>
      <c r="F8" s="13">
        <f>329+11</f>
        <v>340</v>
      </c>
      <c r="G8" s="14">
        <f>-E8+F8</f>
        <v>-20.083958847736653</v>
      </c>
    </row>
    <row r="9" spans="1:7" s="10" customFormat="1" ht="14.25">
      <c r="A9" s="75" t="s">
        <v>337</v>
      </c>
      <c r="B9" s="63">
        <v>17.27</v>
      </c>
      <c r="C9" s="64">
        <v>0.66</v>
      </c>
      <c r="D9" s="11">
        <f t="shared" si="0"/>
        <v>1.3580246913580245</v>
      </c>
      <c r="E9" s="11">
        <f t="shared" si="1"/>
        <v>1282.7257802469137</v>
      </c>
      <c r="F9" s="67">
        <f>1300</f>
        <v>1300</v>
      </c>
      <c r="G9" s="14">
        <f t="shared" si="2"/>
        <v>17.2742197530863</v>
      </c>
    </row>
    <row r="10" spans="1:7" s="10" customFormat="1" ht="14.25">
      <c r="A10" s="15" t="s">
        <v>10</v>
      </c>
      <c r="B10" s="24"/>
      <c r="C10" s="20">
        <v>1.27</v>
      </c>
      <c r="D10" s="11">
        <f t="shared" si="0"/>
        <v>2.613168724279835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4.86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14.2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4.25">
      <c r="A2" s="6" t="s">
        <v>609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400</v>
      </c>
      <c r="B4" s="63">
        <v>9.2</v>
      </c>
      <c r="C4" s="64"/>
      <c r="D4" s="103">
        <f>C4*1</f>
        <v>0</v>
      </c>
      <c r="E4" s="103">
        <f>(B4+D4)*$D$1</f>
        <v>623.392</v>
      </c>
      <c r="F4" s="78">
        <v>624</v>
      </c>
      <c r="G4" s="14">
        <f>-E4+F4</f>
        <v>0.6079999999999472</v>
      </c>
      <c r="H4" s="74"/>
    </row>
    <row r="5" spans="1:7" s="10" customFormat="1" ht="14.25">
      <c r="A5" s="15" t="s">
        <v>142</v>
      </c>
      <c r="B5" s="63">
        <v>11.14</v>
      </c>
      <c r="C5" s="64"/>
      <c r="D5" s="103">
        <f>C5*1</f>
        <v>0</v>
      </c>
      <c r="E5" s="104">
        <f>(B5+D5)*$D$1</f>
        <v>754.8464000000001</v>
      </c>
      <c r="F5" s="79">
        <v>692</v>
      </c>
      <c r="G5" s="77">
        <f>-E5+F5</f>
        <v>-62.84640000000013</v>
      </c>
    </row>
    <row r="6" spans="1:8" s="10" customFormat="1" ht="14.25">
      <c r="A6" s="11" t="s">
        <v>427</v>
      </c>
      <c r="B6" s="63">
        <v>14.36</v>
      </c>
      <c r="C6" s="64"/>
      <c r="D6" s="103">
        <f>C6*1</f>
        <v>0</v>
      </c>
      <c r="E6" s="103">
        <f>(B6+D6)*$D$1</f>
        <v>973.0336</v>
      </c>
      <c r="F6" s="78">
        <v>973</v>
      </c>
      <c r="G6" s="14">
        <f>-E6+F6</f>
        <v>-0.033599999999978536</v>
      </c>
      <c r="H6" s="74"/>
    </row>
    <row r="7" spans="1:7" s="10" customFormat="1" ht="14.25">
      <c r="A7" s="15" t="s">
        <v>284</v>
      </c>
      <c r="B7" s="63">
        <v>39.26</v>
      </c>
      <c r="C7" s="64"/>
      <c r="D7" s="103">
        <f>C7*1</f>
        <v>0</v>
      </c>
      <c r="E7" s="104">
        <f>(B7+D7)*$D$1</f>
        <v>2660.2576</v>
      </c>
      <c r="F7" s="79">
        <v>2660</v>
      </c>
      <c r="G7" s="77">
        <f>-E7+F7</f>
        <v>-0.25759999999991123</v>
      </c>
    </row>
    <row r="8" spans="1:7" s="10" customFormat="1" ht="14.25">
      <c r="A8" s="15" t="s">
        <v>182</v>
      </c>
      <c r="B8" s="63">
        <v>45.63</v>
      </c>
      <c r="C8" s="64"/>
      <c r="D8" s="103">
        <f>C8*1</f>
        <v>0</v>
      </c>
      <c r="E8" s="104">
        <f>(B8+D8)*$D$1</f>
        <v>3091.8888000000006</v>
      </c>
      <c r="F8" s="79">
        <v>3100</v>
      </c>
      <c r="G8" s="77">
        <f>-E8+F8</f>
        <v>8.111199999999371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416</v>
      </c>
      <c r="B13" s="27"/>
    </row>
    <row r="14" ht="14.25">
      <c r="A14" s="71" t="s">
        <v>182</v>
      </c>
    </row>
    <row r="15" ht="14.25">
      <c r="A15" s="72" t="s">
        <v>612</v>
      </c>
    </row>
  </sheetData>
  <sheetProtection/>
  <hyperlinks>
    <hyperlink ref="A15" r:id="rId1" display="http://ru.iherb.com/Bee-Naturals-Ultimate-Foot-Creme-4-oz/42825"/>
  </hyperlinks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563</v>
      </c>
      <c r="B4" s="63">
        <v>23.9</v>
      </c>
      <c r="C4" s="64"/>
      <c r="D4" s="103">
        <f>C4*1</f>
        <v>0</v>
      </c>
      <c r="E4" s="103">
        <f>(B4+D4)*$D$1</f>
        <v>1622.093</v>
      </c>
      <c r="F4" s="79">
        <v>1622</v>
      </c>
      <c r="G4" s="14">
        <f>-E4+F4</f>
        <v>-0.09300000000007458</v>
      </c>
      <c r="H4" s="74"/>
    </row>
    <row r="5" spans="1:7" s="10" customFormat="1" ht="14.25">
      <c r="A5" s="15" t="s">
        <v>505</v>
      </c>
      <c r="B5" s="63">
        <v>15.36</v>
      </c>
      <c r="C5" s="64"/>
      <c r="D5" s="103">
        <f>C5*1</f>
        <v>0</v>
      </c>
      <c r="E5" s="104">
        <f>(B5+D5)*$D$1</f>
        <v>1042.4832000000001</v>
      </c>
      <c r="F5" s="79">
        <v>1042</v>
      </c>
      <c r="G5" s="77">
        <f>-E5+F5</f>
        <v>-0.4832000000001244</v>
      </c>
    </row>
    <row r="6" spans="1:8" s="10" customFormat="1" ht="14.25">
      <c r="A6" s="11" t="s">
        <v>520</v>
      </c>
      <c r="B6" s="63">
        <v>26.31</v>
      </c>
      <c r="C6" s="64"/>
      <c r="D6" s="103">
        <f>C6*1</f>
        <v>0</v>
      </c>
      <c r="E6" s="103">
        <f>(B6+D6)*$D$1</f>
        <v>1785.6597</v>
      </c>
      <c r="F6" s="85">
        <v>1786</v>
      </c>
      <c r="G6" s="14">
        <f>-E6+F6</f>
        <v>0.3403000000000702</v>
      </c>
      <c r="H6" s="74"/>
    </row>
    <row r="7" spans="1:7" s="10" customFormat="1" ht="14.25">
      <c r="A7" s="15" t="s">
        <v>614</v>
      </c>
      <c r="B7" s="63">
        <v>17.74</v>
      </c>
      <c r="C7" s="64"/>
      <c r="D7" s="103">
        <f>C7*1</f>
        <v>0</v>
      </c>
      <c r="E7" s="104">
        <f>(B7+D7)*$D$1</f>
        <v>1204.0138</v>
      </c>
      <c r="F7" s="79">
        <v>1204</v>
      </c>
      <c r="G7" s="77">
        <f>-E7+F7</f>
        <v>-0.013799999999946522</v>
      </c>
    </row>
    <row r="8" spans="1:7" s="10" customFormat="1" ht="14.25">
      <c r="A8" s="15" t="s">
        <v>431</v>
      </c>
      <c r="B8" s="63">
        <v>25.44</v>
      </c>
      <c r="C8" s="64"/>
      <c r="D8" s="103">
        <f>C8*1</f>
        <v>0</v>
      </c>
      <c r="E8" s="104">
        <f>(B8+D8)*$D$1</f>
        <v>1726.6128</v>
      </c>
      <c r="F8" s="79">
        <f>1677+50</f>
        <v>1727</v>
      </c>
      <c r="G8" s="77">
        <f>-E8+F8</f>
        <v>0.3871999999998934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416</v>
      </c>
      <c r="B13" s="27"/>
    </row>
    <row r="14" spans="1:2" ht="14.25">
      <c r="A14" s="71" t="s">
        <v>614</v>
      </c>
      <c r="B14" s="72" t="s">
        <v>615</v>
      </c>
    </row>
  </sheetData>
  <sheetProtection/>
  <hyperlinks>
    <hyperlink ref="B14" r:id="rId1" display="http://ru.iherb.com/Alba-Botanica-Hawaiian-Deep-Conditioning-Minute-Mask-5-5-oz-156-g/58538"/>
  </hyperlinks>
  <printOptions/>
  <pageMargins left="0.7" right="0.7" top="0.75" bottom="0.75" header="0.3" footer="0.3"/>
  <pageSetup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616</v>
      </c>
      <c r="B4" s="63">
        <v>15.16</v>
      </c>
      <c r="C4" s="64"/>
      <c r="D4" s="103">
        <f aca="true" t="shared" si="0" ref="D4:D9">C4*1</f>
        <v>0</v>
      </c>
      <c r="E4" s="103">
        <f aca="true" t="shared" si="1" ref="E4:E9">(B4+D4)*$D$1</f>
        <v>1028.9092</v>
      </c>
      <c r="F4" s="79">
        <v>1029</v>
      </c>
      <c r="G4" s="14">
        <f aca="true" t="shared" si="2" ref="G4:G9">-E4+F4</f>
        <v>0.0907999999999447</v>
      </c>
      <c r="H4" s="74"/>
    </row>
    <row r="5" spans="1:7" s="10" customFormat="1" ht="14.25">
      <c r="A5" s="15" t="s">
        <v>34</v>
      </c>
      <c r="B5" s="63">
        <v>6.44</v>
      </c>
      <c r="C5" s="64"/>
      <c r="D5" s="103">
        <f t="shared" si="0"/>
        <v>0</v>
      </c>
      <c r="E5" s="104">
        <f t="shared" si="1"/>
        <v>437.0828000000001</v>
      </c>
      <c r="F5" s="79">
        <v>437</v>
      </c>
      <c r="G5" s="77">
        <f t="shared" si="2"/>
        <v>-0.08280000000007703</v>
      </c>
    </row>
    <row r="6" spans="1:8" s="10" customFormat="1" ht="14.25">
      <c r="A6" s="11" t="s">
        <v>410</v>
      </c>
      <c r="B6" s="63">
        <v>65.3</v>
      </c>
      <c r="C6" s="64"/>
      <c r="D6" s="103">
        <f t="shared" si="0"/>
        <v>0</v>
      </c>
      <c r="E6" s="103">
        <f t="shared" si="1"/>
        <v>4431.911</v>
      </c>
      <c r="F6" s="78">
        <v>4432</v>
      </c>
      <c r="G6" s="14">
        <f t="shared" si="2"/>
        <v>0.08899999999994179</v>
      </c>
      <c r="H6" s="74"/>
    </row>
    <row r="7" spans="1:7" s="10" customFormat="1" ht="14.25">
      <c r="A7" s="15" t="s">
        <v>203</v>
      </c>
      <c r="B7" s="63">
        <v>32.49</v>
      </c>
      <c r="C7" s="64"/>
      <c r="D7" s="103">
        <f t="shared" si="0"/>
        <v>0</v>
      </c>
      <c r="E7" s="104">
        <f t="shared" si="1"/>
        <v>2205.0963</v>
      </c>
      <c r="F7" s="79">
        <v>2205</v>
      </c>
      <c r="G7" s="77">
        <f t="shared" si="2"/>
        <v>-0.0963000000001557</v>
      </c>
    </row>
    <row r="8" spans="1:7" s="10" customFormat="1" ht="14.25">
      <c r="A8" s="15" t="s">
        <v>497</v>
      </c>
      <c r="B8" s="63">
        <v>19.14</v>
      </c>
      <c r="C8" s="64"/>
      <c r="D8" s="103">
        <f t="shared" si="0"/>
        <v>0</v>
      </c>
      <c r="E8" s="104">
        <f>(B8+D8)*$D$1</f>
        <v>1299.0318000000002</v>
      </c>
      <c r="F8" s="79">
        <v>1300</v>
      </c>
      <c r="G8" s="77">
        <f>-E8+F8</f>
        <v>0.968199999999797</v>
      </c>
    </row>
    <row r="9" spans="1:7" s="10" customFormat="1" ht="14.25">
      <c r="A9" s="15" t="s">
        <v>223</v>
      </c>
      <c r="B9" s="63">
        <v>13.4</v>
      </c>
      <c r="C9" s="64"/>
      <c r="D9" s="103">
        <f t="shared" si="0"/>
        <v>0</v>
      </c>
      <c r="E9" s="104">
        <f t="shared" si="1"/>
        <v>909.4580000000001</v>
      </c>
      <c r="F9" s="79"/>
      <c r="G9" s="77">
        <f t="shared" si="2"/>
        <v>-909.4580000000001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416</v>
      </c>
      <c r="B14" s="27"/>
    </row>
    <row r="15" spans="1:2" ht="14.25">
      <c r="A15" s="71" t="s">
        <v>410</v>
      </c>
      <c r="B15" s="72" t="s">
        <v>617</v>
      </c>
    </row>
  </sheetData>
  <sheetProtection/>
  <hyperlinks>
    <hyperlink ref="B15" r:id="rId1" display="http://www.iherb.com/E-L-F-Cosmetics-Clarifying-Pressed-Powder-Apricot-Beige-0-18-oz-5-g/53209"/>
  </hyperlinks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618</v>
      </c>
      <c r="B4" s="63">
        <v>5.5600000000000005</v>
      </c>
      <c r="C4" s="64"/>
      <c r="D4" s="103">
        <f aca="true" t="shared" si="0" ref="D4:D14">C4*1</f>
        <v>0</v>
      </c>
      <c r="E4" s="103">
        <f aca="true" t="shared" si="1" ref="E4:E14">(B4+D4)*$D$1</f>
        <v>377.35720000000003</v>
      </c>
      <c r="F4" s="79">
        <v>377</v>
      </c>
      <c r="G4" s="14">
        <f aca="true" t="shared" si="2" ref="G4:G14">-E4+F4</f>
        <v>-0.3572000000000344</v>
      </c>
      <c r="H4" s="74"/>
    </row>
    <row r="5" spans="1:7" s="10" customFormat="1" ht="14.25">
      <c r="A5" s="15" t="s">
        <v>619</v>
      </c>
      <c r="B5" s="63">
        <v>6.72</v>
      </c>
      <c r="C5" s="64"/>
      <c r="D5" s="103">
        <f t="shared" si="0"/>
        <v>0</v>
      </c>
      <c r="E5" s="104">
        <f t="shared" si="1"/>
        <v>456.0864</v>
      </c>
      <c r="F5" s="79">
        <v>456</v>
      </c>
      <c r="G5" s="77">
        <f t="shared" si="2"/>
        <v>-0.08640000000002601</v>
      </c>
    </row>
    <row r="6" spans="1:8" s="10" customFormat="1" ht="14.25">
      <c r="A6" s="11" t="s">
        <v>479</v>
      </c>
      <c r="B6" s="63">
        <v>7.09</v>
      </c>
      <c r="C6" s="64"/>
      <c r="D6" s="103">
        <f t="shared" si="0"/>
        <v>0</v>
      </c>
      <c r="E6" s="103">
        <f t="shared" si="1"/>
        <v>481.1983</v>
      </c>
      <c r="F6" s="79">
        <v>799</v>
      </c>
      <c r="G6" s="14">
        <f t="shared" si="2"/>
        <v>317.8017</v>
      </c>
      <c r="H6" s="74"/>
    </row>
    <row r="7" spans="1:8" s="10" customFormat="1" ht="14.25">
      <c r="A7" s="11" t="s">
        <v>400</v>
      </c>
      <c r="B7" s="63">
        <v>9.9</v>
      </c>
      <c r="C7" s="64"/>
      <c r="D7" s="103">
        <f t="shared" si="0"/>
        <v>0</v>
      </c>
      <c r="E7" s="103">
        <f aca="true" t="shared" si="3" ref="E7:E12">(B7+D7)*$D$1</f>
        <v>671.9130000000001</v>
      </c>
      <c r="F7" s="79">
        <v>672</v>
      </c>
      <c r="G7" s="14">
        <f aca="true" t="shared" si="4" ref="G7:G12">-E7+F7</f>
        <v>0.0869999999998754</v>
      </c>
      <c r="H7" s="74"/>
    </row>
    <row r="8" spans="1:7" s="10" customFormat="1" ht="14.25">
      <c r="A8" s="15" t="s">
        <v>620</v>
      </c>
      <c r="B8" s="63">
        <v>7.82</v>
      </c>
      <c r="C8" s="64"/>
      <c r="D8" s="103">
        <f t="shared" si="0"/>
        <v>0</v>
      </c>
      <c r="E8" s="104">
        <f t="shared" si="3"/>
        <v>530.7434000000001</v>
      </c>
      <c r="F8" s="79"/>
      <c r="G8" s="77">
        <f t="shared" si="4"/>
        <v>-530.7434000000001</v>
      </c>
    </row>
    <row r="9" spans="1:8" s="10" customFormat="1" ht="14.25">
      <c r="A9" s="11" t="s">
        <v>182</v>
      </c>
      <c r="B9" s="63">
        <v>29.11</v>
      </c>
      <c r="C9" s="64"/>
      <c r="D9" s="103">
        <f t="shared" si="0"/>
        <v>0</v>
      </c>
      <c r="E9" s="103">
        <f t="shared" si="3"/>
        <v>1975.6957</v>
      </c>
      <c r="F9" s="78">
        <v>2000</v>
      </c>
      <c r="G9" s="14">
        <f t="shared" si="4"/>
        <v>24.304300000000012</v>
      </c>
      <c r="H9" s="74"/>
    </row>
    <row r="10" spans="1:8" s="10" customFormat="1" ht="14.25">
      <c r="A10" s="11" t="s">
        <v>437</v>
      </c>
      <c r="B10" s="63">
        <v>13.73</v>
      </c>
      <c r="C10" s="64"/>
      <c r="D10" s="103">
        <f t="shared" si="0"/>
        <v>0</v>
      </c>
      <c r="E10" s="103">
        <f>(B10+D10)*$D$1</f>
        <v>931.8551000000001</v>
      </c>
      <c r="F10" s="79">
        <v>932</v>
      </c>
      <c r="G10" s="14">
        <f>-E10+F10</f>
        <v>0.14489999999989323</v>
      </c>
      <c r="H10" s="74"/>
    </row>
    <row r="11" spans="1:7" s="10" customFormat="1" ht="14.25">
      <c r="A11" s="15" t="s">
        <v>183</v>
      </c>
      <c r="B11" s="63">
        <v>4.46</v>
      </c>
      <c r="C11" s="64"/>
      <c r="D11" s="103">
        <f t="shared" si="0"/>
        <v>0</v>
      </c>
      <c r="E11" s="104">
        <f t="shared" si="3"/>
        <v>302.7002</v>
      </c>
      <c r="F11" s="79">
        <v>302</v>
      </c>
      <c r="G11" s="77">
        <f t="shared" si="4"/>
        <v>-0.7001999999999953</v>
      </c>
    </row>
    <row r="12" spans="1:8" s="10" customFormat="1" ht="14.25">
      <c r="A12" s="11" t="s">
        <v>271</v>
      </c>
      <c r="B12" s="63">
        <v>17.3</v>
      </c>
      <c r="C12" s="64"/>
      <c r="D12" s="103">
        <f t="shared" si="0"/>
        <v>0</v>
      </c>
      <c r="E12" s="103">
        <f t="shared" si="3"/>
        <v>1174.151</v>
      </c>
      <c r="F12" s="79">
        <v>1174</v>
      </c>
      <c r="G12" s="14">
        <f t="shared" si="4"/>
        <v>-0.1510000000000673</v>
      </c>
      <c r="H12" s="74"/>
    </row>
    <row r="13" spans="1:7" s="10" customFormat="1" ht="14.25">
      <c r="A13" s="15" t="s">
        <v>268</v>
      </c>
      <c r="B13" s="63">
        <v>4.46</v>
      </c>
      <c r="C13" s="64"/>
      <c r="D13" s="103">
        <f t="shared" si="0"/>
        <v>0</v>
      </c>
      <c r="E13" s="104">
        <f t="shared" si="1"/>
        <v>302.7002</v>
      </c>
      <c r="F13" s="79">
        <v>306</v>
      </c>
      <c r="G13" s="77">
        <f t="shared" si="2"/>
        <v>3.2998000000000047</v>
      </c>
    </row>
    <row r="14" spans="1:8" s="10" customFormat="1" ht="14.25">
      <c r="A14" s="15" t="s">
        <v>621</v>
      </c>
      <c r="B14" s="63">
        <v>36.24</v>
      </c>
      <c r="C14" s="64"/>
      <c r="D14" s="103">
        <f t="shared" si="0"/>
        <v>0</v>
      </c>
      <c r="E14" s="104">
        <f t="shared" si="1"/>
        <v>2459.6088000000004</v>
      </c>
      <c r="F14" s="79">
        <f>2814-354</f>
        <v>2460</v>
      </c>
      <c r="G14" s="77">
        <f t="shared" si="2"/>
        <v>0.39119999999957145</v>
      </c>
      <c r="H14" s="10" t="s">
        <v>644</v>
      </c>
    </row>
    <row r="15" spans="1:7" s="25" customFormat="1" ht="14.25">
      <c r="A15" s="24"/>
      <c r="B15" s="24"/>
      <c r="C15" s="24">
        <f>SUM(C4:C14)</f>
        <v>0</v>
      </c>
      <c r="D15" s="24"/>
      <c r="E15" s="24"/>
      <c r="F15" s="24"/>
      <c r="G15" s="24"/>
    </row>
    <row r="17" ht="28.5">
      <c r="A17" s="98"/>
    </row>
    <row r="18" ht="28.5">
      <c r="A18" s="98"/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D1">
      <selection activeCell="H11" sqref="H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479</v>
      </c>
      <c r="B4" s="63">
        <v>4.69</v>
      </c>
      <c r="C4" s="64"/>
      <c r="D4" s="103">
        <f>C4*1</f>
        <v>0</v>
      </c>
      <c r="E4" s="103">
        <f>(B4+D4)*$D$1</f>
        <v>318.31030000000004</v>
      </c>
      <c r="F4" s="78"/>
      <c r="G4" s="14">
        <f>-E4+F4</f>
        <v>-318.31030000000004</v>
      </c>
      <c r="H4" s="74"/>
    </row>
    <row r="5" spans="1:8" s="10" customFormat="1" ht="14.25">
      <c r="A5" s="15" t="s">
        <v>622</v>
      </c>
      <c r="B5" s="63">
        <v>23.16</v>
      </c>
      <c r="C5" s="64"/>
      <c r="D5" s="103">
        <f>C5*1</f>
        <v>0</v>
      </c>
      <c r="E5" s="104">
        <f>(B5+D5)*$D$1</f>
        <v>1571.8692</v>
      </c>
      <c r="F5" s="79">
        <f>2104-1</f>
        <v>2103</v>
      </c>
      <c r="G5" s="77">
        <f>-E5+F5</f>
        <v>531.1307999999999</v>
      </c>
      <c r="H5" s="110" t="s">
        <v>663</v>
      </c>
    </row>
    <row r="6" spans="1:8" s="10" customFormat="1" ht="14.25">
      <c r="A6" s="11" t="s">
        <v>35</v>
      </c>
      <c r="B6" s="63">
        <v>22.77</v>
      </c>
      <c r="C6" s="64"/>
      <c r="D6" s="103">
        <f>C6*1</f>
        <v>0</v>
      </c>
      <c r="E6" s="103">
        <f>(B6+D6)*$D$1</f>
        <v>1545.3999000000001</v>
      </c>
      <c r="F6" s="79">
        <v>1545</v>
      </c>
      <c r="G6" s="14">
        <f>-E6+F6</f>
        <v>-0.39990000000011605</v>
      </c>
      <c r="H6" s="74"/>
    </row>
    <row r="7" spans="1:7" s="10" customFormat="1" ht="14.25">
      <c r="A7" s="15" t="s">
        <v>301</v>
      </c>
      <c r="B7" s="63">
        <v>15.66</v>
      </c>
      <c r="C7" s="64"/>
      <c r="D7" s="103">
        <f>C7*1</f>
        <v>0</v>
      </c>
      <c r="E7" s="104">
        <f>(B7+D7)*$D$1</f>
        <v>1062.8442</v>
      </c>
      <c r="F7" s="79">
        <v>1063</v>
      </c>
      <c r="G7" s="77">
        <f>-E7+F7</f>
        <v>0.15579999999999927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42266</v>
      </c>
      <c r="C1" s="3" t="s">
        <v>1</v>
      </c>
      <c r="D1" s="4">
        <v>66.8</v>
      </c>
      <c r="E1" s="5" t="s">
        <v>2</v>
      </c>
    </row>
    <row r="2" s="5" customFormat="1" ht="14.25">
      <c r="A2" s="6" t="s">
        <v>624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625</v>
      </c>
      <c r="B4" s="63">
        <v>22.9</v>
      </c>
      <c r="C4" s="64"/>
      <c r="D4" s="103">
        <f aca="true" t="shared" si="0" ref="D4:D10">C4*1</f>
        <v>0</v>
      </c>
      <c r="E4" s="103">
        <f aca="true" t="shared" si="1" ref="E4:E10">(B4+D4)*$D$1</f>
        <v>1529.7199999999998</v>
      </c>
      <c r="F4" s="78">
        <v>1530</v>
      </c>
      <c r="G4" s="14">
        <f aca="true" t="shared" si="2" ref="G4:G10">-E4+F4</f>
        <v>0.2800000000002001</v>
      </c>
      <c r="H4" s="74"/>
    </row>
    <row r="5" spans="1:7" s="10" customFormat="1" ht="14.25">
      <c r="A5" s="15" t="s">
        <v>525</v>
      </c>
      <c r="B5" s="63">
        <v>13.16</v>
      </c>
      <c r="C5" s="64"/>
      <c r="D5" s="103">
        <f t="shared" si="0"/>
        <v>0</v>
      </c>
      <c r="E5" s="104">
        <f t="shared" si="1"/>
        <v>879.088</v>
      </c>
      <c r="F5" s="79">
        <v>879</v>
      </c>
      <c r="G5" s="77">
        <f t="shared" si="2"/>
        <v>-0.08799999999996544</v>
      </c>
    </row>
    <row r="6" spans="1:8" s="10" customFormat="1" ht="28.5">
      <c r="A6" s="11" t="s">
        <v>367</v>
      </c>
      <c r="B6" s="63">
        <v>15.29</v>
      </c>
      <c r="C6" s="64"/>
      <c r="D6" s="103">
        <f t="shared" si="0"/>
        <v>0</v>
      </c>
      <c r="E6" s="103">
        <f t="shared" si="1"/>
        <v>1021.3719999999998</v>
      </c>
      <c r="F6" s="78">
        <f>1000+192</f>
        <v>1192</v>
      </c>
      <c r="G6" s="14">
        <f t="shared" si="2"/>
        <v>170.62800000000016</v>
      </c>
      <c r="H6" s="74" t="s">
        <v>655</v>
      </c>
    </row>
    <row r="7" spans="1:8" s="10" customFormat="1" ht="14.25">
      <c r="A7" s="11" t="s">
        <v>139</v>
      </c>
      <c r="B7" s="63">
        <v>10.62</v>
      </c>
      <c r="C7" s="64"/>
      <c r="D7" s="103">
        <f t="shared" si="0"/>
        <v>0</v>
      </c>
      <c r="E7" s="103">
        <f t="shared" si="1"/>
        <v>709.4159999999999</v>
      </c>
      <c r="F7" s="78">
        <v>709</v>
      </c>
      <c r="G7" s="14">
        <f t="shared" si="2"/>
        <v>-0.41599999999994</v>
      </c>
      <c r="H7" s="74"/>
    </row>
    <row r="8" spans="1:7" s="10" customFormat="1" ht="14.25">
      <c r="A8" s="15" t="s">
        <v>626</v>
      </c>
      <c r="B8" s="63">
        <v>16.79</v>
      </c>
      <c r="C8" s="64"/>
      <c r="D8" s="103">
        <f t="shared" si="0"/>
        <v>0</v>
      </c>
      <c r="E8" s="104">
        <f t="shared" si="1"/>
        <v>1121.572</v>
      </c>
      <c r="F8" s="79">
        <v>1122</v>
      </c>
      <c r="G8" s="77">
        <f t="shared" si="2"/>
        <v>0.42800000000011096</v>
      </c>
    </row>
    <row r="9" spans="1:8" s="10" customFormat="1" ht="14.25">
      <c r="A9" s="11" t="s">
        <v>223</v>
      </c>
      <c r="B9" s="63">
        <v>14.34</v>
      </c>
      <c r="C9" s="64"/>
      <c r="D9" s="103">
        <f t="shared" si="0"/>
        <v>0</v>
      </c>
      <c r="E9" s="103">
        <f t="shared" si="1"/>
        <v>957.9119999999999</v>
      </c>
      <c r="F9" s="78">
        <v>1867</v>
      </c>
      <c r="G9" s="14">
        <f t="shared" si="2"/>
        <v>909.0880000000001</v>
      </c>
      <c r="H9" s="74"/>
    </row>
    <row r="10" spans="1:7" s="10" customFormat="1" ht="14.25">
      <c r="A10" s="15" t="s">
        <v>142</v>
      </c>
      <c r="B10" s="63">
        <v>15.36</v>
      </c>
      <c r="C10" s="64"/>
      <c r="D10" s="103">
        <f t="shared" si="0"/>
        <v>0</v>
      </c>
      <c r="E10" s="104">
        <f t="shared" si="1"/>
        <v>1026.048</v>
      </c>
      <c r="F10" s="79">
        <v>1026</v>
      </c>
      <c r="G10" s="77">
        <f t="shared" si="2"/>
        <v>-0.04800000000000182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416</v>
      </c>
      <c r="B15" s="27"/>
    </row>
    <row r="16" spans="1:2" ht="14.25">
      <c r="A16" s="71" t="s">
        <v>625</v>
      </c>
      <c r="B16" s="72" t="s">
        <v>627</v>
      </c>
    </row>
  </sheetData>
  <sheetProtection/>
  <hyperlinks>
    <hyperlink ref="B16" r:id="rId1" display="http://ru.iherb.com/California-Gold-Nutrition-LactoBif-Probiotics-5-Billion-CFU-60-Veggie-Caps/64006"/>
  </hyperlinks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4.25">
      <c r="A2" s="6" t="s">
        <v>628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431</v>
      </c>
      <c r="B4" s="63">
        <v>20.15</v>
      </c>
      <c r="C4" s="64"/>
      <c r="D4" s="103">
        <f aca="true" t="shared" si="0" ref="D4:D9">C4*1</f>
        <v>0</v>
      </c>
      <c r="E4" s="103">
        <f aca="true" t="shared" si="1" ref="E4:E9">(B4+D4)*$D$1</f>
        <v>1370.1999999999998</v>
      </c>
      <c r="F4" s="79">
        <v>1370</v>
      </c>
      <c r="G4" s="14">
        <f aca="true" t="shared" si="2" ref="G4:G9">-E4+F4</f>
        <v>-0.1999999999998181</v>
      </c>
      <c r="H4" s="74"/>
    </row>
    <row r="5" spans="1:7" s="10" customFormat="1" ht="14.25">
      <c r="A5" s="15" t="s">
        <v>169</v>
      </c>
      <c r="B5" s="63">
        <v>24.88</v>
      </c>
      <c r="C5" s="64"/>
      <c r="D5" s="103">
        <f t="shared" si="0"/>
        <v>0</v>
      </c>
      <c r="E5" s="104">
        <f t="shared" si="1"/>
        <v>1691.84</v>
      </c>
      <c r="F5" s="79">
        <v>1691</v>
      </c>
      <c r="G5" s="77">
        <f t="shared" si="2"/>
        <v>-0.8399999999999181</v>
      </c>
    </row>
    <row r="6" spans="1:7" s="10" customFormat="1" ht="14.25">
      <c r="A6" s="15" t="s">
        <v>525</v>
      </c>
      <c r="B6" s="63">
        <v>14.69</v>
      </c>
      <c r="C6" s="64"/>
      <c r="D6" s="103">
        <f t="shared" si="0"/>
        <v>0</v>
      </c>
      <c r="E6" s="104">
        <f t="shared" si="1"/>
        <v>998.92</v>
      </c>
      <c r="F6" s="85">
        <v>1000</v>
      </c>
      <c r="G6" s="77">
        <f t="shared" si="2"/>
        <v>1.080000000000041</v>
      </c>
    </row>
    <row r="7" spans="1:8" s="10" customFormat="1" ht="14.25">
      <c r="A7" s="11" t="s">
        <v>384</v>
      </c>
      <c r="B7" s="63">
        <v>14.69</v>
      </c>
      <c r="C7" s="64"/>
      <c r="D7" s="103">
        <f t="shared" si="0"/>
        <v>0</v>
      </c>
      <c r="E7" s="103">
        <f t="shared" si="1"/>
        <v>998.92</v>
      </c>
      <c r="F7" s="79">
        <v>940</v>
      </c>
      <c r="G7" s="14">
        <f t="shared" si="2"/>
        <v>-58.91999999999996</v>
      </c>
      <c r="H7" s="74"/>
    </row>
    <row r="8" spans="1:7" s="10" customFormat="1" ht="14.25">
      <c r="A8" s="15" t="s">
        <v>632</v>
      </c>
      <c r="B8" s="63">
        <v>4.95</v>
      </c>
      <c r="C8" s="64"/>
      <c r="D8" s="103">
        <f t="shared" si="0"/>
        <v>0</v>
      </c>
      <c r="E8" s="104">
        <f t="shared" si="1"/>
        <v>336.6</v>
      </c>
      <c r="F8" s="79">
        <v>337</v>
      </c>
      <c r="G8" s="77">
        <f t="shared" si="2"/>
        <v>0.39999999999997726</v>
      </c>
    </row>
    <row r="9" spans="1:7" s="10" customFormat="1" ht="14.25">
      <c r="A9" s="15" t="s">
        <v>633</v>
      </c>
      <c r="B9" s="63">
        <v>20.48</v>
      </c>
      <c r="C9" s="64"/>
      <c r="D9" s="103">
        <f t="shared" si="0"/>
        <v>0</v>
      </c>
      <c r="E9" s="104">
        <f t="shared" si="1"/>
        <v>1392.64</v>
      </c>
      <c r="F9" s="79">
        <v>1393</v>
      </c>
      <c r="G9" s="77">
        <f t="shared" si="2"/>
        <v>0.35999999999989996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416</v>
      </c>
      <c r="B14" s="27"/>
    </row>
    <row r="15" spans="1:2" ht="14.25">
      <c r="A15" s="71" t="s">
        <v>169</v>
      </c>
      <c r="B15" s="72"/>
    </row>
    <row r="16" ht="14.25">
      <c r="A16" s="72" t="s">
        <v>630</v>
      </c>
    </row>
    <row r="17" ht="14.25">
      <c r="A17" s="72" t="s">
        <v>629</v>
      </c>
    </row>
  </sheetData>
  <sheetProtection/>
  <hyperlinks>
    <hyperlink ref="A16" r:id="rId1" display="http://ru.iherb.com/Nature-s-Plus-Source-of-Life-Animal-Parade-Gold-Children-s-Chewable-Multi-Vitamin-Mineral-Supplement-Natural-Assorted-Flavors-120-Animals/40504"/>
    <hyperlink ref="A17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4.25">
      <c r="A2" s="6" t="s">
        <v>628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22.32</v>
      </c>
      <c r="C4" s="64"/>
      <c r="D4" s="103">
        <f>C4*1</f>
        <v>0</v>
      </c>
      <c r="E4" s="103">
        <f>(B4+D4)*$D$1</f>
        <v>1517.76</v>
      </c>
      <c r="F4" s="79">
        <v>1520</v>
      </c>
      <c r="G4" s="14">
        <f>-E4+F4</f>
        <v>2.240000000000009</v>
      </c>
      <c r="H4" s="74"/>
    </row>
    <row r="5" spans="1:7" s="10" customFormat="1" ht="14.25">
      <c r="A5" s="15" t="s">
        <v>34</v>
      </c>
      <c r="B5" s="63">
        <v>15.98</v>
      </c>
      <c r="C5" s="64"/>
      <c r="D5" s="103">
        <f>C5*1</f>
        <v>0</v>
      </c>
      <c r="E5" s="104">
        <f>(B5+D5)*$D$1</f>
        <v>1086.64</v>
      </c>
      <c r="F5" s="79">
        <v>1086</v>
      </c>
      <c r="G5" s="77">
        <f>-E5+F5</f>
        <v>-0.6400000000001</v>
      </c>
    </row>
    <row r="6" spans="1:8" s="10" customFormat="1" ht="15" thickBot="1">
      <c r="A6" s="11" t="s">
        <v>505</v>
      </c>
      <c r="B6" s="63">
        <v>17.21</v>
      </c>
      <c r="C6" s="64"/>
      <c r="D6" s="103">
        <f>C6*1</f>
        <v>0</v>
      </c>
      <c r="E6" s="103">
        <f>(B6+D6)*$D$1</f>
        <v>1170.28</v>
      </c>
      <c r="F6" s="108">
        <v>1170</v>
      </c>
      <c r="G6" s="14">
        <f>-E6+F6</f>
        <v>-0.2799999999999727</v>
      </c>
      <c r="H6" s="74"/>
    </row>
    <row r="7" spans="1:7" s="10" customFormat="1" ht="14.25">
      <c r="A7" s="15" t="s">
        <v>631</v>
      </c>
      <c r="B7" s="63">
        <v>36.19</v>
      </c>
      <c r="C7" s="64"/>
      <c r="D7" s="103">
        <f>C7*1</f>
        <v>0</v>
      </c>
      <c r="E7" s="104">
        <f>(B7+D7)*$D$1</f>
        <v>2460.92</v>
      </c>
      <c r="F7" s="79">
        <v>2461</v>
      </c>
      <c r="G7" s="77">
        <f>-E7+F7</f>
        <v>0.07999999999992724</v>
      </c>
    </row>
    <row r="8" spans="1:8" s="10" customFormat="1" ht="14.25">
      <c r="A8" s="15" t="s">
        <v>178</v>
      </c>
      <c r="B8" s="63">
        <v>14.97</v>
      </c>
      <c r="C8" s="64"/>
      <c r="D8" s="103">
        <f>C8*1</f>
        <v>0</v>
      </c>
      <c r="E8" s="104">
        <f>(B8+D8)*$D$1</f>
        <v>1017.96</v>
      </c>
      <c r="F8" s="79">
        <f>2036-23</f>
        <v>2013</v>
      </c>
      <c r="G8" s="77">
        <f>-E8+F8</f>
        <v>995.04</v>
      </c>
      <c r="H8" s="10" t="s">
        <v>669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416</v>
      </c>
      <c r="B13" s="27"/>
    </row>
    <row r="14" spans="1:2" ht="14.25">
      <c r="A14" s="71" t="s">
        <v>169</v>
      </c>
      <c r="B14" s="72"/>
    </row>
    <row r="15" ht="14.25">
      <c r="A15" s="72" t="s">
        <v>630</v>
      </c>
    </row>
    <row r="16" ht="14.25">
      <c r="A16" s="72" t="s">
        <v>629</v>
      </c>
    </row>
  </sheetData>
  <sheetProtection/>
  <hyperlinks>
    <hyperlink ref="A15" r:id="rId1" display="http://ru.iherb.com/Nature-s-Plus-Source-of-Life-Animal-Parade-Gold-Children-s-Chewable-Multi-Vitamin-Mineral-Supplement-Natural-Assorted-Flavors-120-Animals/40504"/>
    <hyperlink ref="A16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42271</v>
      </c>
      <c r="C1" s="3" t="s">
        <v>1</v>
      </c>
      <c r="D1" s="4">
        <v>66.42</v>
      </c>
      <c r="E1" s="5" t="s">
        <v>2</v>
      </c>
    </row>
    <row r="2" s="5" customFormat="1" ht="14.25">
      <c r="A2" s="6" t="s">
        <v>635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449</v>
      </c>
      <c r="B4" s="63">
        <v>14.65</v>
      </c>
      <c r="C4" s="64"/>
      <c r="D4" s="103">
        <f>C4*1</f>
        <v>0</v>
      </c>
      <c r="E4" s="103">
        <f>(B4+D4)*$D$1</f>
        <v>973.053</v>
      </c>
      <c r="F4" s="78">
        <v>930</v>
      </c>
      <c r="G4" s="14">
        <f>-E4+F4</f>
        <v>-43.053</v>
      </c>
      <c r="H4" s="74"/>
    </row>
    <row r="5" spans="1:7" s="10" customFormat="1" ht="14.25">
      <c r="A5" s="15" t="s">
        <v>93</v>
      </c>
      <c r="B5" s="63">
        <v>25.77</v>
      </c>
      <c r="C5" s="64"/>
      <c r="D5" s="103">
        <f>C5*1</f>
        <v>0</v>
      </c>
      <c r="E5" s="104">
        <f>(B5+D5)*$D$1</f>
        <v>1711.6434</v>
      </c>
      <c r="F5" s="79">
        <v>1712</v>
      </c>
      <c r="G5" s="77">
        <f>-E5+F5</f>
        <v>0.3566000000000713</v>
      </c>
    </row>
    <row r="6" spans="1:8" s="10" customFormat="1" ht="14.25">
      <c r="A6" s="11" t="s">
        <v>169</v>
      </c>
      <c r="B6" s="63">
        <v>72.42</v>
      </c>
      <c r="C6" s="64"/>
      <c r="D6" s="103">
        <f>C6*1</f>
        <v>0</v>
      </c>
      <c r="E6" s="103">
        <f>(B6+D6)*$D$1</f>
        <v>4810.1364</v>
      </c>
      <c r="F6" s="78">
        <f>1911+2900</f>
        <v>4811</v>
      </c>
      <c r="G6" s="14">
        <f>-E6+F6</f>
        <v>0.8635999999996784</v>
      </c>
      <c r="H6" s="74"/>
    </row>
    <row r="7" spans="1:7" s="10" customFormat="1" ht="14.25">
      <c r="A7" s="15" t="s">
        <v>520</v>
      </c>
      <c r="B7" s="63">
        <v>2.34</v>
      </c>
      <c r="C7" s="64"/>
      <c r="D7" s="103">
        <f>C7*1</f>
        <v>0</v>
      </c>
      <c r="E7" s="104">
        <f>(B7+D7)*$D$1</f>
        <v>155.4228</v>
      </c>
      <c r="F7" s="79">
        <v>155</v>
      </c>
      <c r="G7" s="77">
        <f>-E7+F7</f>
        <v>-0.4227999999999952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637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178</v>
      </c>
      <c r="B4" s="63">
        <v>14.97</v>
      </c>
      <c r="C4" s="64"/>
      <c r="D4" s="103">
        <f>C4*1</f>
        <v>0</v>
      </c>
      <c r="E4" s="103">
        <f>(B4+D4)*$D$1</f>
        <v>995.0559000000001</v>
      </c>
      <c r="F4" s="78"/>
      <c r="G4" s="14">
        <f>-E4+F4</f>
        <v>-995.0559000000001</v>
      </c>
      <c r="H4" s="74"/>
    </row>
    <row r="5" spans="1:7" s="10" customFormat="1" ht="14.25">
      <c r="A5" s="15" t="s">
        <v>29</v>
      </c>
      <c r="B5" s="63">
        <v>13.58</v>
      </c>
      <c r="C5" s="64"/>
      <c r="D5" s="103">
        <f>C5*1</f>
        <v>0</v>
      </c>
      <c r="E5" s="104">
        <f>(B5+D5)*$D$1</f>
        <v>902.6626</v>
      </c>
      <c r="F5" s="79">
        <v>912</v>
      </c>
      <c r="G5" s="77">
        <f>-E5+F5</f>
        <v>9.337400000000002</v>
      </c>
    </row>
    <row r="6" spans="1:8" s="10" customFormat="1" ht="14.25">
      <c r="A6" s="11" t="s">
        <v>410</v>
      </c>
      <c r="B6" s="63">
        <v>52.17</v>
      </c>
      <c r="C6" s="64"/>
      <c r="D6" s="103">
        <f>C6*1</f>
        <v>0</v>
      </c>
      <c r="E6" s="103">
        <f>(B6+D6)*$D$1</f>
        <v>3467.7399</v>
      </c>
      <c r="F6" s="85">
        <v>3468</v>
      </c>
      <c r="G6" s="14">
        <f>-E6+F6</f>
        <v>0.2600999999999658</v>
      </c>
      <c r="H6" s="74"/>
    </row>
    <row r="7" spans="1:8" s="10" customFormat="1" ht="14.25">
      <c r="A7" s="15" t="s">
        <v>638</v>
      </c>
      <c r="B7" s="63">
        <v>11.05</v>
      </c>
      <c r="C7" s="64"/>
      <c r="D7" s="103">
        <f>C7*1</f>
        <v>0</v>
      </c>
      <c r="E7" s="104">
        <f>(B7+D7)*$D$1</f>
        <v>734.4935</v>
      </c>
      <c r="F7" s="79">
        <f>750-10</f>
        <v>740</v>
      </c>
      <c r="G7" s="77">
        <f>-E7+F7</f>
        <v>5.50649999999996</v>
      </c>
      <c r="H7" s="10" t="s">
        <v>670</v>
      </c>
    </row>
    <row r="8" spans="1:7" s="10" customFormat="1" ht="14.25">
      <c r="A8" s="15" t="s">
        <v>639</v>
      </c>
      <c r="B8" s="63">
        <v>24.21</v>
      </c>
      <c r="C8" s="64"/>
      <c r="D8" s="103">
        <f>C8*1</f>
        <v>0</v>
      </c>
      <c r="E8" s="104">
        <f>(B8+D8)*$D$1</f>
        <v>1609.2387</v>
      </c>
      <c r="F8" s="79">
        <v>1609</v>
      </c>
      <c r="G8" s="77">
        <f>-E8+F8</f>
        <v>-0.23870000000010805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14.25">
      <c r="A12" s="72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68.79</v>
      </c>
      <c r="E1" s="5" t="s">
        <v>2</v>
      </c>
    </row>
    <row r="2" s="5" customFormat="1" ht="14.25">
      <c r="A2" s="6" t="s">
        <v>334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227</v>
      </c>
      <c r="B4" s="63">
        <v>6</v>
      </c>
      <c r="C4" s="64">
        <v>0.1</v>
      </c>
      <c r="D4" s="11">
        <f>C4/$C$7*$D$7</f>
        <v>0.2040816326530612</v>
      </c>
      <c r="E4" s="11">
        <f>(B4+D4)*$D$1</f>
        <v>426.7787755102041</v>
      </c>
      <c r="F4" s="13">
        <f>382+12</f>
        <v>394</v>
      </c>
      <c r="G4" s="14">
        <f>-E4+F4</f>
        <v>-32.77877551020413</v>
      </c>
      <c r="H4" s="74"/>
    </row>
    <row r="5" spans="1:7" s="10" customFormat="1" ht="14.25">
      <c r="A5" s="15" t="s">
        <v>338</v>
      </c>
      <c r="B5" s="63">
        <v>51.5</v>
      </c>
      <c r="C5" s="64">
        <v>1.19</v>
      </c>
      <c r="D5" s="11">
        <f>C5/$C$7*$D$7</f>
        <v>2.4285714285714284</v>
      </c>
      <c r="E5" s="11">
        <f>(B5+D5)*$D$1</f>
        <v>3709.746428571429</v>
      </c>
      <c r="F5" s="13">
        <f>3600+101</f>
        <v>3701</v>
      </c>
      <c r="G5" s="14">
        <f>-E5+F5</f>
        <v>-8.746428571429078</v>
      </c>
    </row>
    <row r="6" spans="1:7" s="10" customFormat="1" ht="14.25">
      <c r="A6" s="15" t="s">
        <v>10</v>
      </c>
      <c r="B6" s="24"/>
      <c r="C6" s="20">
        <v>3.61</v>
      </c>
      <c r="D6" s="11">
        <f>C6/$C$7*$D$7</f>
        <v>7.36734693877551</v>
      </c>
      <c r="E6" s="21"/>
      <c r="F6" s="22"/>
      <c r="G6" s="23"/>
    </row>
    <row r="7" spans="1:7" s="25" customFormat="1" ht="14.25">
      <c r="A7" s="24"/>
      <c r="B7" s="24"/>
      <c r="C7" s="24">
        <f>SUM(C4:C6)</f>
        <v>4.9</v>
      </c>
      <c r="D7" s="24">
        <v>10</v>
      </c>
      <c r="E7" s="24"/>
      <c r="F7" s="24"/>
      <c r="G7" s="24"/>
    </row>
    <row r="10" ht="30.75">
      <c r="A10" s="26"/>
    </row>
    <row r="11" ht="30.75">
      <c r="A11" s="26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637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95</v>
      </c>
      <c r="B4" s="63">
        <v>30.2</v>
      </c>
      <c r="C4" s="64"/>
      <c r="D4" s="103">
        <f>C4*1</f>
        <v>0</v>
      </c>
      <c r="E4" s="103">
        <f>(B4+D4)*$D$1</f>
        <v>2007.394</v>
      </c>
      <c r="F4" s="79">
        <v>2007</v>
      </c>
      <c r="G4" s="14">
        <f>-E4+F4</f>
        <v>-0.39400000000000546</v>
      </c>
      <c r="H4" s="74"/>
    </row>
    <row r="5" spans="1:7" s="10" customFormat="1" ht="14.25">
      <c r="A5" s="15" t="s">
        <v>515</v>
      </c>
      <c r="B5" s="63">
        <v>30.34</v>
      </c>
      <c r="C5" s="64"/>
      <c r="D5" s="103">
        <f>C5*1</f>
        <v>0</v>
      </c>
      <c r="E5" s="104">
        <f>(B5+D5)*$D$1</f>
        <v>2016.6997999999999</v>
      </c>
      <c r="F5" s="85">
        <v>2017</v>
      </c>
      <c r="G5" s="77">
        <f>-E5+F5</f>
        <v>0.3002000000001317</v>
      </c>
    </row>
    <row r="6" spans="1:8" s="10" customFormat="1" ht="14.25">
      <c r="A6" s="11" t="s">
        <v>640</v>
      </c>
      <c r="B6" s="63">
        <v>24.304</v>
      </c>
      <c r="C6" s="64"/>
      <c r="D6" s="103">
        <f>C6*1</f>
        <v>0</v>
      </c>
      <c r="E6" s="103">
        <f>(B6+D6)*$D$1</f>
        <v>1615.48688</v>
      </c>
      <c r="F6" s="79">
        <f>1515+100</f>
        <v>1615</v>
      </c>
      <c r="G6" s="14">
        <f>-E6+F6</f>
        <v>-0.48687999999992826</v>
      </c>
      <c r="H6" s="74"/>
    </row>
    <row r="7" spans="1:7" s="10" customFormat="1" ht="14.25">
      <c r="A7" s="15" t="s">
        <v>641</v>
      </c>
      <c r="B7" s="63">
        <v>32.72</v>
      </c>
      <c r="C7" s="64"/>
      <c r="D7" s="103">
        <f>C7*1</f>
        <v>0</v>
      </c>
      <c r="E7" s="104">
        <f>(B7+D7)*$D$1</f>
        <v>2174.8984</v>
      </c>
      <c r="F7" s="79">
        <v>2175</v>
      </c>
      <c r="G7" s="77">
        <f>-E7+F7</f>
        <v>0.10159999999996217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416</v>
      </c>
      <c r="B12" s="27"/>
    </row>
    <row r="13" spans="1:2" ht="14.25">
      <c r="A13" s="71" t="s">
        <v>515</v>
      </c>
      <c r="B13" s="72"/>
    </row>
    <row r="14" ht="14.25">
      <c r="A14" s="72" t="s">
        <v>642</v>
      </c>
    </row>
    <row r="15" ht="14.25">
      <c r="A15" s="72"/>
    </row>
  </sheetData>
  <sheetProtection/>
  <hyperlinks>
    <hyperlink ref="A14" r:id="rId1" display="http://ru.iherb.com/NutriBiotic-Everyday-Clean-Shampoo-Botanical-Blend-10-fl-oz-296-ml/22392"/>
  </hyperlinks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637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431</v>
      </c>
      <c r="B4" s="63">
        <v>5.57</v>
      </c>
      <c r="C4" s="64"/>
      <c r="D4" s="103">
        <f aca="true" t="shared" si="0" ref="D4:D10">C4*1</f>
        <v>0</v>
      </c>
      <c r="E4" s="103">
        <f aca="true" t="shared" si="1" ref="E4:E10">(B4+D4)*$D$1</f>
        <v>370.2379</v>
      </c>
      <c r="F4" s="85">
        <v>371</v>
      </c>
      <c r="G4" s="14">
        <f aca="true" t="shared" si="2" ref="G4:G10">-E4+F4</f>
        <v>0.7620999999999754</v>
      </c>
      <c r="H4" s="74"/>
    </row>
    <row r="5" spans="1:7" s="10" customFormat="1" ht="14.25">
      <c r="A5" s="15" t="s">
        <v>218</v>
      </c>
      <c r="B5" s="63">
        <v>24.348</v>
      </c>
      <c r="C5" s="64"/>
      <c r="D5" s="103">
        <f t="shared" si="0"/>
        <v>0</v>
      </c>
      <c r="E5" s="104">
        <f t="shared" si="1"/>
        <v>1618.41156</v>
      </c>
      <c r="F5" s="79">
        <v>1619</v>
      </c>
      <c r="G5" s="77">
        <f t="shared" si="2"/>
        <v>0.5884399999999914</v>
      </c>
    </row>
    <row r="6" spans="1:8" s="10" customFormat="1" ht="14.25">
      <c r="A6" s="11" t="s">
        <v>643</v>
      </c>
      <c r="B6" s="63">
        <v>6.96</v>
      </c>
      <c r="C6" s="64"/>
      <c r="D6" s="103">
        <f t="shared" si="0"/>
        <v>0</v>
      </c>
      <c r="E6" s="103">
        <f t="shared" si="1"/>
        <v>462.6312</v>
      </c>
      <c r="F6" s="79">
        <v>463</v>
      </c>
      <c r="G6" s="14">
        <f t="shared" si="2"/>
        <v>0.36880000000002156</v>
      </c>
      <c r="H6" s="74"/>
    </row>
    <row r="7" spans="1:7" s="10" customFormat="1" ht="14.25">
      <c r="A7" s="15" t="s">
        <v>223</v>
      </c>
      <c r="B7" s="63">
        <v>15.01</v>
      </c>
      <c r="C7" s="64"/>
      <c r="D7" s="103">
        <f t="shared" si="0"/>
        <v>0</v>
      </c>
      <c r="E7" s="104">
        <f t="shared" si="1"/>
        <v>997.7147</v>
      </c>
      <c r="F7" s="79">
        <v>1000</v>
      </c>
      <c r="G7" s="77">
        <f t="shared" si="2"/>
        <v>2.2853000000000065</v>
      </c>
    </row>
    <row r="8" spans="1:8" s="10" customFormat="1" ht="14.25">
      <c r="A8" s="11" t="s">
        <v>437</v>
      </c>
      <c r="B8" s="63">
        <v>18.798</v>
      </c>
      <c r="C8" s="64"/>
      <c r="D8" s="103">
        <f t="shared" si="0"/>
        <v>0</v>
      </c>
      <c r="E8" s="103">
        <f t="shared" si="1"/>
        <v>1249.5030599999998</v>
      </c>
      <c r="F8" s="79">
        <v>1250</v>
      </c>
      <c r="G8" s="14">
        <f t="shared" si="2"/>
        <v>0.4969400000002224</v>
      </c>
      <c r="H8" s="74"/>
    </row>
    <row r="9" spans="1:7" s="10" customFormat="1" ht="14.25">
      <c r="A9" s="15" t="s">
        <v>408</v>
      </c>
      <c r="B9" s="63">
        <v>8.29</v>
      </c>
      <c r="C9" s="64"/>
      <c r="D9" s="103">
        <f t="shared" si="0"/>
        <v>0</v>
      </c>
      <c r="E9" s="104">
        <f t="shared" si="1"/>
        <v>551.0363</v>
      </c>
      <c r="F9" s="79">
        <v>552</v>
      </c>
      <c r="G9" s="77">
        <f t="shared" si="2"/>
        <v>0.9637000000000171</v>
      </c>
    </row>
    <row r="10" spans="1:7" s="10" customFormat="1" ht="14.25">
      <c r="A10" s="15" t="s">
        <v>479</v>
      </c>
      <c r="B10" s="63">
        <v>20.24</v>
      </c>
      <c r="C10" s="64"/>
      <c r="D10" s="103">
        <f t="shared" si="0"/>
        <v>0</v>
      </c>
      <c r="E10" s="104">
        <f t="shared" si="1"/>
        <v>1345.3528</v>
      </c>
      <c r="F10" s="79">
        <v>1345</v>
      </c>
      <c r="G10" s="77">
        <f t="shared" si="2"/>
        <v>-0.3527999999998883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4.25">
      <c r="A2" s="6" t="s">
        <v>646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645</v>
      </c>
      <c r="B4" s="63">
        <v>23.38</v>
      </c>
      <c r="C4" s="64"/>
      <c r="D4" s="103">
        <f>C4*1</f>
        <v>0</v>
      </c>
      <c r="E4" s="103">
        <f>(B4+D4)*$D$1</f>
        <v>1546.8208</v>
      </c>
      <c r="F4" s="79">
        <v>1547</v>
      </c>
      <c r="G4" s="14">
        <f>-E4+F4</f>
        <v>0.1792000000000371</v>
      </c>
      <c r="H4" s="74"/>
    </row>
    <row r="5" spans="1:7" s="10" customFormat="1" ht="14.25">
      <c r="A5" s="15" t="s">
        <v>355</v>
      </c>
      <c r="B5" s="63">
        <v>12.15</v>
      </c>
      <c r="C5" s="64"/>
      <c r="D5" s="103">
        <f>C5*1</f>
        <v>0</v>
      </c>
      <c r="E5" s="104">
        <f>(B5+D5)*$D$1</f>
        <v>803.8439999999999</v>
      </c>
      <c r="F5" s="79">
        <v>797</v>
      </c>
      <c r="G5" s="77">
        <f>-E5+F5</f>
        <v>-6.843999999999937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28.5">
      <c r="A10" s="98" t="s">
        <v>416</v>
      </c>
      <c r="B10" s="27"/>
    </row>
    <row r="11" spans="1:2" ht="14.25">
      <c r="A11" s="71" t="s">
        <v>355</v>
      </c>
      <c r="B11" s="72" t="s">
        <v>647</v>
      </c>
    </row>
    <row r="12" ht="14.25">
      <c r="A12" s="72"/>
    </row>
    <row r="13" ht="14.25">
      <c r="A13" s="72"/>
    </row>
  </sheetData>
  <sheetProtection/>
  <hyperlinks>
    <hyperlink ref="B11" r:id="rId1" display="http://ru.iherb.com/Giovanni-2chic-Ultra-Sleek-Conditioner-Brazilian-Keratin-Argan-Oil-8-5-fl-oz-250-ml/43354"/>
  </hyperlinks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4.25">
      <c r="A2" s="6" t="s">
        <v>648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649</v>
      </c>
      <c r="B4" s="63">
        <v>7.63</v>
      </c>
      <c r="C4" s="64"/>
      <c r="D4" s="103">
        <f aca="true" t="shared" si="0" ref="D4:D11">C4*1</f>
        <v>0</v>
      </c>
      <c r="E4" s="103">
        <f aca="true" t="shared" si="1" ref="E4:E11">(B4+D4)*$D$1</f>
        <v>504.8008</v>
      </c>
      <c r="F4" s="78">
        <v>505</v>
      </c>
      <c r="G4" s="14">
        <f aca="true" t="shared" si="2" ref="G4:G11">-E4+F4</f>
        <v>0.19920000000001892</v>
      </c>
      <c r="H4" s="74"/>
    </row>
    <row r="5" spans="1:8" s="10" customFormat="1" ht="14.25">
      <c r="A5" s="11" t="s">
        <v>200</v>
      </c>
      <c r="B5" s="63">
        <v>9.9</v>
      </c>
      <c r="C5" s="64"/>
      <c r="D5" s="103">
        <f t="shared" si="0"/>
        <v>0</v>
      </c>
      <c r="E5" s="103">
        <f t="shared" si="1"/>
        <v>654.984</v>
      </c>
      <c r="F5" s="79">
        <v>655</v>
      </c>
      <c r="G5" s="14">
        <f t="shared" si="2"/>
        <v>0.01599999999996271</v>
      </c>
      <c r="H5" s="74"/>
    </row>
    <row r="6" spans="1:7" s="10" customFormat="1" ht="14.25">
      <c r="A6" s="15" t="s">
        <v>183</v>
      </c>
      <c r="B6" s="63">
        <v>4.95</v>
      </c>
      <c r="C6" s="64"/>
      <c r="D6" s="103">
        <f t="shared" si="0"/>
        <v>0</v>
      </c>
      <c r="E6" s="104">
        <f t="shared" si="1"/>
        <v>327.492</v>
      </c>
      <c r="F6" s="79">
        <v>328</v>
      </c>
      <c r="G6" s="77">
        <f t="shared" si="2"/>
        <v>0.5079999999999814</v>
      </c>
    </row>
    <row r="7" spans="1:7" s="10" customFormat="1" ht="14.25">
      <c r="A7" s="15" t="s">
        <v>437</v>
      </c>
      <c r="B7" s="63">
        <v>11.95</v>
      </c>
      <c r="C7" s="64"/>
      <c r="D7" s="103">
        <f t="shared" si="0"/>
        <v>0</v>
      </c>
      <c r="E7" s="104">
        <f t="shared" si="1"/>
        <v>790.612</v>
      </c>
      <c r="F7" s="85">
        <v>1279</v>
      </c>
      <c r="G7" s="77">
        <f t="shared" si="2"/>
        <v>488.38800000000003</v>
      </c>
    </row>
    <row r="8" spans="1:8" s="10" customFormat="1" ht="14.25">
      <c r="A8" s="15" t="s">
        <v>650</v>
      </c>
      <c r="B8" s="63">
        <v>20.94</v>
      </c>
      <c r="C8" s="64"/>
      <c r="D8" s="103">
        <f t="shared" si="0"/>
        <v>0</v>
      </c>
      <c r="E8" s="103">
        <f t="shared" si="1"/>
        <v>1385.3904</v>
      </c>
      <c r="F8" s="79">
        <v>393</v>
      </c>
      <c r="G8" s="14">
        <f t="shared" si="2"/>
        <v>-992.3904</v>
      </c>
      <c r="H8" s="74"/>
    </row>
    <row r="9" spans="1:8" s="10" customFormat="1" ht="14.25">
      <c r="A9" s="15" t="s">
        <v>651</v>
      </c>
      <c r="B9" s="63">
        <v>21.94</v>
      </c>
      <c r="C9" s="64"/>
      <c r="D9" s="103">
        <f t="shared" si="0"/>
        <v>0</v>
      </c>
      <c r="E9" s="103">
        <f t="shared" si="1"/>
        <v>1451.5504</v>
      </c>
      <c r="F9" s="79">
        <v>2444</v>
      </c>
      <c r="G9" s="14">
        <f t="shared" si="2"/>
        <v>992.4495999999999</v>
      </c>
      <c r="H9" s="74"/>
    </row>
    <row r="10" spans="1:7" s="10" customFormat="1" ht="14.25">
      <c r="A10" s="15" t="s">
        <v>520</v>
      </c>
      <c r="B10" s="63">
        <v>6.58</v>
      </c>
      <c r="C10" s="64"/>
      <c r="D10" s="103">
        <f t="shared" si="0"/>
        <v>0</v>
      </c>
      <c r="E10" s="104">
        <f t="shared" si="1"/>
        <v>435.33279999999996</v>
      </c>
      <c r="F10" s="79">
        <v>436</v>
      </c>
      <c r="G10" s="77">
        <f t="shared" si="2"/>
        <v>0.6672000000000367</v>
      </c>
    </row>
    <row r="11" spans="1:7" s="10" customFormat="1" ht="14.25">
      <c r="A11" s="15" t="s">
        <v>410</v>
      </c>
      <c r="B11" s="63">
        <v>14.81</v>
      </c>
      <c r="C11" s="64"/>
      <c r="D11" s="103">
        <f t="shared" si="0"/>
        <v>0</v>
      </c>
      <c r="E11" s="104">
        <f t="shared" si="1"/>
        <v>979.8296</v>
      </c>
      <c r="F11" s="79">
        <v>980</v>
      </c>
      <c r="G11" s="77">
        <f t="shared" si="2"/>
        <v>0.17039999999997235</v>
      </c>
    </row>
    <row r="12" spans="1:7" s="25" customFormat="1" ht="14.2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28.5">
      <c r="A16" s="98" t="s">
        <v>416</v>
      </c>
      <c r="B16" s="27"/>
    </row>
    <row r="17" spans="1:2" ht="14.25">
      <c r="A17" s="71" t="s">
        <v>520</v>
      </c>
      <c r="B17" s="72" t="s">
        <v>652</v>
      </c>
    </row>
    <row r="18" ht="14.25">
      <c r="A18" s="72"/>
    </row>
    <row r="19" ht="14.25">
      <c r="A19" s="72"/>
    </row>
  </sheetData>
  <sheetProtection/>
  <hyperlinks>
    <hyperlink ref="B17" r:id="rId1" display="http://ru.iherb.com/NatraBio-Children-s-Cough-Syrup-Yummy-Cherry-Berry-Flavor-4-fl-oz-120-ml/6655"/>
  </hyperlinks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4.25">
      <c r="A2" s="6" t="s">
        <v>648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218</v>
      </c>
      <c r="B4" s="63">
        <v>16.2</v>
      </c>
      <c r="C4" s="64"/>
      <c r="D4" s="103">
        <f aca="true" t="shared" si="0" ref="D4:D10">C4*1</f>
        <v>0</v>
      </c>
      <c r="E4" s="103">
        <f aca="true" t="shared" si="1" ref="E4:E10">(B4+D4)*$D$1</f>
        <v>1071.792</v>
      </c>
      <c r="F4" s="79">
        <v>1050</v>
      </c>
      <c r="G4" s="14">
        <f aca="true" t="shared" si="2" ref="G4:G10">-E4+F4</f>
        <v>-21.791999999999916</v>
      </c>
      <c r="H4" s="74"/>
    </row>
    <row r="5" spans="1:7" s="10" customFormat="1" ht="14.25">
      <c r="A5" s="15" t="s">
        <v>479</v>
      </c>
      <c r="B5" s="63">
        <v>19.36</v>
      </c>
      <c r="C5" s="64"/>
      <c r="D5" s="103">
        <f t="shared" si="0"/>
        <v>0</v>
      </c>
      <c r="E5" s="104">
        <f t="shared" si="1"/>
        <v>1280.8575999999998</v>
      </c>
      <c r="F5" s="79">
        <v>1281</v>
      </c>
      <c r="G5" s="77">
        <f t="shared" si="2"/>
        <v>0.14240000000017972</v>
      </c>
    </row>
    <row r="6" spans="1:8" s="10" customFormat="1" ht="14.25">
      <c r="A6" s="11" t="s">
        <v>431</v>
      </c>
      <c r="B6" s="63">
        <v>5.57</v>
      </c>
      <c r="C6" s="64"/>
      <c r="D6" s="103">
        <f t="shared" si="0"/>
        <v>0</v>
      </c>
      <c r="E6" s="103">
        <f t="shared" si="1"/>
        <v>368.5112</v>
      </c>
      <c r="F6" s="79">
        <v>368</v>
      </c>
      <c r="G6" s="14">
        <f t="shared" si="2"/>
        <v>-0.5111999999999739</v>
      </c>
      <c r="H6" s="74"/>
    </row>
    <row r="7" spans="1:7" s="10" customFormat="1" ht="14.25">
      <c r="A7" s="15" t="s">
        <v>641</v>
      </c>
      <c r="B7" s="63">
        <v>7.4</v>
      </c>
      <c r="C7" s="64"/>
      <c r="D7" s="103">
        <f t="shared" si="0"/>
        <v>0</v>
      </c>
      <c r="E7" s="104">
        <f t="shared" si="1"/>
        <v>489.584</v>
      </c>
      <c r="F7" s="79">
        <v>490</v>
      </c>
      <c r="G7" s="77">
        <f t="shared" si="2"/>
        <v>0.4159999999999968</v>
      </c>
    </row>
    <row r="8" spans="1:8" s="10" customFormat="1" ht="14.25">
      <c r="A8" s="11" t="s">
        <v>437</v>
      </c>
      <c r="B8" s="63">
        <v>7.4</v>
      </c>
      <c r="C8" s="64"/>
      <c r="D8" s="103">
        <f t="shared" si="0"/>
        <v>0</v>
      </c>
      <c r="E8" s="103">
        <f t="shared" si="1"/>
        <v>489.584</v>
      </c>
      <c r="F8" s="78"/>
      <c r="G8" s="14">
        <f t="shared" si="2"/>
        <v>-489.584</v>
      </c>
      <c r="H8" s="74"/>
    </row>
    <row r="9" spans="1:7" s="10" customFormat="1" ht="14.25">
      <c r="A9" s="15" t="s">
        <v>653</v>
      </c>
      <c r="B9" s="63">
        <v>26.24</v>
      </c>
      <c r="C9" s="64"/>
      <c r="D9" s="103">
        <f t="shared" si="0"/>
        <v>0</v>
      </c>
      <c r="E9" s="104">
        <f t="shared" si="1"/>
        <v>1736.0384</v>
      </c>
      <c r="F9" s="79">
        <v>1736</v>
      </c>
      <c r="G9" s="77">
        <f t="shared" si="2"/>
        <v>-0.038399999999910506</v>
      </c>
    </row>
    <row r="10" spans="1:7" s="10" customFormat="1" ht="14.25">
      <c r="A10" s="15" t="s">
        <v>407</v>
      </c>
      <c r="B10" s="63">
        <v>14.03</v>
      </c>
      <c r="C10" s="64"/>
      <c r="D10" s="103">
        <f t="shared" si="0"/>
        <v>0</v>
      </c>
      <c r="E10" s="104">
        <f t="shared" si="1"/>
        <v>928.2248</v>
      </c>
      <c r="F10" s="85">
        <v>929</v>
      </c>
      <c r="G10" s="77">
        <f t="shared" si="2"/>
        <v>0.7752000000000407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416</v>
      </c>
      <c r="B15" s="27"/>
    </row>
    <row r="16" spans="1:2" ht="14.25">
      <c r="A16" s="71" t="s">
        <v>431</v>
      </c>
      <c r="B16" s="72" t="s">
        <v>554</v>
      </c>
    </row>
    <row r="17" ht="14.25">
      <c r="A17" s="72"/>
    </row>
    <row r="18" ht="14.25">
      <c r="A18" s="72"/>
    </row>
  </sheetData>
  <sheetProtection/>
  <hyperlinks>
    <hyperlink ref="B16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20.32</v>
      </c>
      <c r="C4" s="64"/>
      <c r="D4" s="103">
        <f>C4*1</f>
        <v>0</v>
      </c>
      <c r="E4" s="103">
        <f>(B4+D4)*$D$1</f>
        <v>1289.304</v>
      </c>
      <c r="F4" s="78">
        <v>1290</v>
      </c>
      <c r="G4" s="14">
        <f>-E4+F4</f>
        <v>0.6959999999999127</v>
      </c>
      <c r="H4" s="74"/>
    </row>
    <row r="5" spans="1:7" s="10" customFormat="1" ht="14.25">
      <c r="A5" s="15" t="s">
        <v>625</v>
      </c>
      <c r="B5" s="63">
        <v>6.53</v>
      </c>
      <c r="C5" s="64"/>
      <c r="D5" s="103">
        <f>C5*1</f>
        <v>0</v>
      </c>
      <c r="E5" s="104">
        <f>(B5+D5)*$D$1</f>
        <v>414.3285</v>
      </c>
      <c r="F5" s="79">
        <v>414</v>
      </c>
      <c r="G5" s="77">
        <f>-E5+F5</f>
        <v>-0.32850000000001955</v>
      </c>
    </row>
    <row r="6" spans="1:8" s="10" customFormat="1" ht="14.25">
      <c r="A6" s="15" t="s">
        <v>657</v>
      </c>
      <c r="B6" s="63">
        <v>50.58</v>
      </c>
      <c r="C6" s="64"/>
      <c r="D6" s="103">
        <f>C6*1</f>
        <v>0</v>
      </c>
      <c r="E6" s="103">
        <f>(B6+D6)*$D$1</f>
        <v>3209.301</v>
      </c>
      <c r="F6" s="78">
        <v>3209</v>
      </c>
      <c r="G6" s="14">
        <f>-E6+F6</f>
        <v>-0.3009999999999309</v>
      </c>
      <c r="H6" s="74"/>
    </row>
    <row r="7" spans="1:7" s="10" customFormat="1" ht="14.25">
      <c r="A7" s="15" t="s">
        <v>658</v>
      </c>
      <c r="B7" s="63">
        <v>86.92</v>
      </c>
      <c r="C7" s="64"/>
      <c r="D7" s="103">
        <f>C7*1</f>
        <v>0</v>
      </c>
      <c r="E7" s="104">
        <f>(B7+D7)*$D$1</f>
        <v>5515.0740000000005</v>
      </c>
      <c r="F7" s="79">
        <v>5515</v>
      </c>
      <c r="G7" s="77">
        <f>-E7+F7</f>
        <v>-0.07400000000052387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142</v>
      </c>
      <c r="B4" s="63">
        <v>53.2</v>
      </c>
      <c r="C4" s="64"/>
      <c r="D4" s="103">
        <f>C4*1</f>
        <v>0</v>
      </c>
      <c r="E4" s="103">
        <f>(B4+D4)*$D$1</f>
        <v>3375.5400000000004</v>
      </c>
      <c r="F4" s="78">
        <v>3376</v>
      </c>
      <c r="G4" s="14">
        <f>-E4+F4</f>
        <v>0.45999999999958163</v>
      </c>
      <c r="H4" s="74"/>
    </row>
    <row r="5" spans="1:7" s="10" customFormat="1" ht="14.25">
      <c r="A5" s="15" t="s">
        <v>659</v>
      </c>
      <c r="B5" s="63">
        <v>50.74</v>
      </c>
      <c r="C5" s="64"/>
      <c r="D5" s="103">
        <f>C5*1</f>
        <v>0</v>
      </c>
      <c r="E5" s="104">
        <f>(B5+D5)*$D$1</f>
        <v>3219.4530000000004</v>
      </c>
      <c r="F5" s="79">
        <v>3219</v>
      </c>
      <c r="G5" s="77">
        <f>-E5+F5</f>
        <v>-0.4530000000004293</v>
      </c>
    </row>
    <row r="6" spans="1:8" s="10" customFormat="1" ht="14.25">
      <c r="A6" s="11" t="s">
        <v>428</v>
      </c>
      <c r="B6" s="63">
        <v>47.73</v>
      </c>
      <c r="C6" s="64"/>
      <c r="D6" s="103">
        <f>C6*1</f>
        <v>0</v>
      </c>
      <c r="E6" s="103">
        <f>(B6+D6)*$D$1</f>
        <v>3028.4685</v>
      </c>
      <c r="F6" s="78">
        <v>3030</v>
      </c>
      <c r="G6" s="14">
        <f>-E6+F6</f>
        <v>1.531500000000051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34</v>
      </c>
      <c r="B4" s="63">
        <v>11.22</v>
      </c>
      <c r="C4" s="64"/>
      <c r="D4" s="103">
        <f aca="true" t="shared" si="0" ref="D4:D9">C4*1</f>
        <v>0</v>
      </c>
      <c r="E4" s="103">
        <f aca="true" t="shared" si="1" ref="E4:E9">(B4+D4)*$D$1</f>
        <v>711.9090000000001</v>
      </c>
      <c r="F4" s="78">
        <v>712</v>
      </c>
      <c r="G4" s="14">
        <f aca="true" t="shared" si="2" ref="G4:G9">-E4+F4</f>
        <v>0.0909999999998945</v>
      </c>
      <c r="H4" s="74"/>
    </row>
    <row r="5" spans="1:7" s="10" customFormat="1" ht="14.25">
      <c r="A5" s="15" t="s">
        <v>383</v>
      </c>
      <c r="B5" s="63">
        <v>47.35</v>
      </c>
      <c r="C5" s="64"/>
      <c r="D5" s="103">
        <f t="shared" si="0"/>
        <v>0</v>
      </c>
      <c r="E5" s="104">
        <f t="shared" si="1"/>
        <v>3004.3575</v>
      </c>
      <c r="F5" s="79">
        <v>4984</v>
      </c>
      <c r="G5" s="77">
        <f t="shared" si="2"/>
        <v>1979.6425</v>
      </c>
    </row>
    <row r="6" spans="1:7" s="10" customFormat="1" ht="14.25">
      <c r="A6" s="15" t="s">
        <v>660</v>
      </c>
      <c r="B6" s="63">
        <v>59.16</v>
      </c>
      <c r="C6" s="64"/>
      <c r="D6" s="103">
        <f t="shared" si="0"/>
        <v>0</v>
      </c>
      <c r="E6" s="104">
        <f t="shared" si="1"/>
        <v>3753.7019999999998</v>
      </c>
      <c r="F6" s="79">
        <v>3754</v>
      </c>
      <c r="G6" s="77">
        <f t="shared" si="2"/>
        <v>0.2980000000002292</v>
      </c>
    </row>
    <row r="7" spans="1:8" s="10" customFormat="1" ht="14.25">
      <c r="A7" s="11" t="s">
        <v>520</v>
      </c>
      <c r="B7" s="63">
        <v>6.05</v>
      </c>
      <c r="C7" s="64"/>
      <c r="D7" s="103">
        <f t="shared" si="0"/>
        <v>0</v>
      </c>
      <c r="E7" s="103">
        <f t="shared" si="1"/>
        <v>383.8725</v>
      </c>
      <c r="F7" s="78">
        <v>384</v>
      </c>
      <c r="G7" s="14">
        <f t="shared" si="2"/>
        <v>0.12749999999999773</v>
      </c>
      <c r="H7" s="74"/>
    </row>
    <row r="8" spans="1:7" s="10" customFormat="1" ht="14.25">
      <c r="A8" s="15" t="s">
        <v>641</v>
      </c>
      <c r="B8" s="63">
        <v>16.46</v>
      </c>
      <c r="C8" s="64"/>
      <c r="D8" s="103">
        <f t="shared" si="0"/>
        <v>0</v>
      </c>
      <c r="E8" s="104">
        <f t="shared" si="1"/>
        <v>1044.3870000000002</v>
      </c>
      <c r="F8" s="79"/>
      <c r="G8" s="77">
        <f t="shared" si="2"/>
        <v>-1044.3870000000002</v>
      </c>
    </row>
    <row r="9" spans="1:7" s="10" customFormat="1" ht="14.25">
      <c r="A9" s="15" t="s">
        <v>95</v>
      </c>
      <c r="B9" s="63">
        <v>6.92</v>
      </c>
      <c r="C9" s="64"/>
      <c r="D9" s="103">
        <f t="shared" si="0"/>
        <v>0</v>
      </c>
      <c r="E9" s="104">
        <f t="shared" si="1"/>
        <v>439.074</v>
      </c>
      <c r="F9" s="79">
        <v>438</v>
      </c>
      <c r="G9" s="77">
        <f t="shared" si="2"/>
        <v>-1.0740000000000123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383</v>
      </c>
      <c r="B4" s="63">
        <v>31.04</v>
      </c>
      <c r="C4" s="64"/>
      <c r="D4" s="103">
        <f aca="true" t="shared" si="0" ref="D4:D9">C4*1</f>
        <v>0</v>
      </c>
      <c r="E4" s="103">
        <f aca="true" t="shared" si="1" ref="E4:E9">(B4+D4)*$D$1</f>
        <v>1969.488</v>
      </c>
      <c r="F4" s="78"/>
      <c r="G4" s="14">
        <f aca="true" t="shared" si="2" ref="G4:G9">-E4+F4</f>
        <v>-1969.488</v>
      </c>
      <c r="H4" s="74"/>
    </row>
    <row r="5" spans="1:7" s="10" customFormat="1" ht="14.25">
      <c r="A5" s="15" t="s">
        <v>640</v>
      </c>
      <c r="B5" s="63">
        <v>9.2</v>
      </c>
      <c r="C5" s="64"/>
      <c r="D5" s="103">
        <f t="shared" si="0"/>
        <v>0</v>
      </c>
      <c r="E5" s="104">
        <f t="shared" si="1"/>
        <v>583.74</v>
      </c>
      <c r="F5" s="79">
        <v>584</v>
      </c>
      <c r="G5" s="77">
        <f t="shared" si="2"/>
        <v>0.2599999999999909</v>
      </c>
    </row>
    <row r="6" spans="1:7" s="10" customFormat="1" ht="14.25">
      <c r="A6" s="15" t="s">
        <v>409</v>
      </c>
      <c r="B6" s="63">
        <v>12.62</v>
      </c>
      <c r="C6" s="64"/>
      <c r="D6" s="103">
        <f t="shared" si="0"/>
        <v>0</v>
      </c>
      <c r="E6" s="104">
        <f t="shared" si="1"/>
        <v>800.739</v>
      </c>
      <c r="F6" s="79">
        <v>801</v>
      </c>
      <c r="G6" s="77">
        <f t="shared" si="2"/>
        <v>0.26099999999996726</v>
      </c>
    </row>
    <row r="7" spans="1:8" s="10" customFormat="1" ht="14.25">
      <c r="A7" s="11" t="s">
        <v>641</v>
      </c>
      <c r="B7" s="63">
        <v>42.04</v>
      </c>
      <c r="C7" s="64"/>
      <c r="D7" s="103">
        <f t="shared" si="0"/>
        <v>0</v>
      </c>
      <c r="E7" s="103">
        <f t="shared" si="1"/>
        <v>2667.438</v>
      </c>
      <c r="F7" s="78">
        <v>3711</v>
      </c>
      <c r="G7" s="14">
        <f t="shared" si="2"/>
        <v>1043.562</v>
      </c>
      <c r="H7" s="74"/>
    </row>
    <row r="8" spans="1:7" s="10" customFormat="1" ht="14.25">
      <c r="A8" s="15" t="s">
        <v>284</v>
      </c>
      <c r="B8" s="63">
        <v>26.52</v>
      </c>
      <c r="C8" s="64"/>
      <c r="D8" s="103">
        <f t="shared" si="0"/>
        <v>0</v>
      </c>
      <c r="E8" s="104">
        <f t="shared" si="1"/>
        <v>1682.694</v>
      </c>
      <c r="F8" s="79">
        <v>1683</v>
      </c>
      <c r="G8" s="77">
        <f t="shared" si="2"/>
        <v>0.30600000000004</v>
      </c>
    </row>
    <row r="9" spans="1:7" s="10" customFormat="1" ht="14.25">
      <c r="A9" s="15" t="s">
        <v>381</v>
      </c>
      <c r="B9" s="63">
        <v>3.77</v>
      </c>
      <c r="C9" s="64"/>
      <c r="D9" s="103">
        <f t="shared" si="0"/>
        <v>0</v>
      </c>
      <c r="E9" s="104">
        <f t="shared" si="1"/>
        <v>239.2065</v>
      </c>
      <c r="F9" s="79">
        <v>234</v>
      </c>
      <c r="G9" s="77">
        <f t="shared" si="2"/>
        <v>-5.2065000000000055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42288</v>
      </c>
      <c r="C1" s="3" t="s">
        <v>1</v>
      </c>
      <c r="D1" s="4">
        <v>62.09</v>
      </c>
      <c r="E1" s="5" t="s">
        <v>2</v>
      </c>
    </row>
    <row r="2" s="5" customFormat="1" ht="14.25">
      <c r="A2" s="6" t="s">
        <v>664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6.05</v>
      </c>
      <c r="C4" s="64"/>
      <c r="D4" s="103">
        <f aca="true" t="shared" si="0" ref="D4:D12">C4*1</f>
        <v>0</v>
      </c>
      <c r="E4" s="103">
        <f aca="true" t="shared" si="1" ref="E4:E12">(B4+D4)*$D$1</f>
        <v>375.6445</v>
      </c>
      <c r="F4" s="78">
        <v>376</v>
      </c>
      <c r="G4" s="14">
        <f aca="true" t="shared" si="2" ref="G4:G12">-E4+F4</f>
        <v>0.35550000000000637</v>
      </c>
      <c r="H4" s="74"/>
    </row>
    <row r="5" spans="1:7" s="10" customFormat="1" ht="14.25">
      <c r="A5" s="15" t="s">
        <v>625</v>
      </c>
      <c r="B5" s="63">
        <v>6.63</v>
      </c>
      <c r="C5" s="64"/>
      <c r="D5" s="103">
        <f t="shared" si="0"/>
        <v>0</v>
      </c>
      <c r="E5" s="104">
        <f t="shared" si="1"/>
        <v>411.6567</v>
      </c>
      <c r="F5" s="79">
        <v>412</v>
      </c>
      <c r="G5" s="77">
        <f t="shared" si="2"/>
        <v>0.3432999999999993</v>
      </c>
    </row>
    <row r="6" spans="1:8" s="10" customFormat="1" ht="14.25">
      <c r="A6" s="11" t="s">
        <v>35</v>
      </c>
      <c r="B6" s="63">
        <v>16.56</v>
      </c>
      <c r="C6" s="64"/>
      <c r="D6" s="103">
        <f t="shared" si="0"/>
        <v>0</v>
      </c>
      <c r="E6" s="103">
        <f t="shared" si="1"/>
        <v>1028.2104</v>
      </c>
      <c r="F6" s="78">
        <v>1029</v>
      </c>
      <c r="G6" s="14">
        <f t="shared" si="2"/>
        <v>0.789600000000064</v>
      </c>
      <c r="H6" s="74"/>
    </row>
    <row r="7" spans="1:7" s="10" customFormat="1" ht="14.25">
      <c r="A7" s="15" t="s">
        <v>184</v>
      </c>
      <c r="B7" s="63">
        <v>29.91</v>
      </c>
      <c r="C7" s="64"/>
      <c r="D7" s="103">
        <f t="shared" si="0"/>
        <v>0</v>
      </c>
      <c r="E7" s="104">
        <f t="shared" si="1"/>
        <v>1857.1119</v>
      </c>
      <c r="F7" s="79">
        <v>1858</v>
      </c>
      <c r="G7" s="77">
        <f t="shared" si="2"/>
        <v>0.8880999999998949</v>
      </c>
    </row>
    <row r="8" spans="1:8" s="10" customFormat="1" ht="14.25">
      <c r="A8" s="11" t="s">
        <v>203</v>
      </c>
      <c r="B8" s="63">
        <v>13.37</v>
      </c>
      <c r="C8" s="64"/>
      <c r="D8" s="103">
        <f t="shared" si="0"/>
        <v>0</v>
      </c>
      <c r="E8" s="103">
        <f t="shared" si="1"/>
        <v>830.1433</v>
      </c>
      <c r="F8" s="78">
        <v>829</v>
      </c>
      <c r="G8" s="14">
        <f t="shared" si="2"/>
        <v>-1.1432999999999538</v>
      </c>
      <c r="H8" s="74"/>
    </row>
    <row r="9" spans="1:7" s="10" customFormat="1" ht="14.25">
      <c r="A9" s="15" t="s">
        <v>659</v>
      </c>
      <c r="B9" s="63">
        <v>8.2</v>
      </c>
      <c r="C9" s="64"/>
      <c r="D9" s="103">
        <f t="shared" si="0"/>
        <v>0</v>
      </c>
      <c r="E9" s="104">
        <f t="shared" si="1"/>
        <v>509.138</v>
      </c>
      <c r="F9" s="79">
        <v>510</v>
      </c>
      <c r="G9" s="77">
        <f t="shared" si="2"/>
        <v>0.8620000000000232</v>
      </c>
    </row>
    <row r="10" spans="1:8" s="10" customFormat="1" ht="14.25">
      <c r="A10" s="11" t="s">
        <v>200</v>
      </c>
      <c r="B10" s="63">
        <v>6.46</v>
      </c>
      <c r="C10" s="64"/>
      <c r="D10" s="103">
        <f t="shared" si="0"/>
        <v>0</v>
      </c>
      <c r="E10" s="103">
        <f t="shared" si="1"/>
        <v>401.1014</v>
      </c>
      <c r="F10" s="78">
        <v>401</v>
      </c>
      <c r="G10" s="14">
        <f t="shared" si="2"/>
        <v>-0.10140000000001237</v>
      </c>
      <c r="H10" s="74"/>
    </row>
    <row r="11" spans="1:7" s="10" customFormat="1" ht="14.25">
      <c r="A11" s="15" t="s">
        <v>69</v>
      </c>
      <c r="B11" s="63">
        <v>4.31</v>
      </c>
      <c r="C11" s="64"/>
      <c r="D11" s="103">
        <f t="shared" si="0"/>
        <v>0</v>
      </c>
      <c r="E11" s="104">
        <f t="shared" si="1"/>
        <v>267.6079</v>
      </c>
      <c r="F11" s="79">
        <v>268</v>
      </c>
      <c r="G11" s="77">
        <f t="shared" si="2"/>
        <v>0.39210000000002765</v>
      </c>
    </row>
    <row r="12" spans="1:7" s="10" customFormat="1" ht="14.25">
      <c r="A12" s="15" t="s">
        <v>367</v>
      </c>
      <c r="B12" s="63">
        <v>13.39</v>
      </c>
      <c r="C12" s="64"/>
      <c r="D12" s="103">
        <f t="shared" si="0"/>
        <v>0</v>
      </c>
      <c r="E12" s="104">
        <f t="shared" si="1"/>
        <v>831.3851000000001</v>
      </c>
      <c r="F12" s="79">
        <v>620</v>
      </c>
      <c r="G12" s="77">
        <f t="shared" si="2"/>
        <v>-211.38510000000008</v>
      </c>
    </row>
    <row r="13" spans="1:7" s="25" customFormat="1" ht="14.25">
      <c r="A13" s="24"/>
      <c r="B13" s="24"/>
      <c r="C13" s="24">
        <f>SUM(C4:C12)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4.25">
      <c r="A17" s="72"/>
      <c r="B17" s="27"/>
    </row>
    <row r="18" spans="1:2" ht="14.25">
      <c r="A18" s="72"/>
      <c r="B18" s="72"/>
    </row>
    <row r="19" ht="14.25">
      <c r="A19" s="72"/>
    </row>
    <row r="20" ht="14.25">
      <c r="A20" s="7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63.962</v>
      </c>
      <c r="E1" s="5" t="s">
        <v>2</v>
      </c>
    </row>
    <row r="2" s="5" customFormat="1" ht="14.25">
      <c r="A2" s="6" t="s">
        <v>339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340</v>
      </c>
      <c r="B4" s="63">
        <v>5.57</v>
      </c>
      <c r="C4" s="64">
        <v>0.27</v>
      </c>
      <c r="D4" s="11">
        <f>C4/$C$8*$D$8</f>
        <v>0.5432595573440644</v>
      </c>
      <c r="E4" s="11">
        <f>(B4+D4)*$D$1</f>
        <v>391.0163078068411</v>
      </c>
      <c r="F4" s="78">
        <v>391</v>
      </c>
      <c r="G4" s="14">
        <f>-E4+F4</f>
        <v>-0.016307806841098227</v>
      </c>
      <c r="H4" s="74"/>
    </row>
    <row r="5" spans="1:7" s="10" customFormat="1" ht="14.25">
      <c r="A5" s="15" t="s">
        <v>29</v>
      </c>
      <c r="B5" s="63">
        <v>6.64</v>
      </c>
      <c r="C5" s="64">
        <v>0.21</v>
      </c>
      <c r="D5" s="11">
        <f>C5/$C$8*$D$8</f>
        <v>0.42253521126760557</v>
      </c>
      <c r="E5" s="76">
        <f>(B5+D5)*$D$1</f>
        <v>451.7338771830986</v>
      </c>
      <c r="F5" s="79">
        <v>455</v>
      </c>
      <c r="G5" s="77">
        <f>-E5+F5</f>
        <v>3.2661228169013725</v>
      </c>
    </row>
    <row r="6" spans="1:7" s="10" customFormat="1" ht="14.25">
      <c r="A6" s="11" t="s">
        <v>333</v>
      </c>
      <c r="B6" s="12">
        <v>103.75</v>
      </c>
      <c r="C6" s="12">
        <v>3.84</v>
      </c>
      <c r="D6" s="11">
        <f>C6/$C$8*$D$8</f>
        <v>7.726358148893358</v>
      </c>
      <c r="E6" s="11">
        <f>(B6+D6)*$D$1</f>
        <v>7130.250819919517</v>
      </c>
      <c r="F6" s="69">
        <v>11500</v>
      </c>
      <c r="G6" s="14">
        <f>-E6+F6</f>
        <v>4369.749180080483</v>
      </c>
    </row>
    <row r="7" spans="1:7" s="10" customFormat="1" ht="14.25">
      <c r="A7" s="15" t="s">
        <v>10</v>
      </c>
      <c r="B7" s="24"/>
      <c r="C7" s="20">
        <v>0.65</v>
      </c>
      <c r="D7" s="11">
        <f>C7/$C$8*$D$8</f>
        <v>1.3078470824949697</v>
      </c>
      <c r="E7" s="21"/>
      <c r="F7" s="22"/>
      <c r="G7" s="23"/>
    </row>
    <row r="8" spans="1:7" s="25" customFormat="1" ht="14.25">
      <c r="A8" s="24"/>
      <c r="B8" s="24"/>
      <c r="C8" s="24">
        <f>SUM(C4:C7)</f>
        <v>4.970000000000001</v>
      </c>
      <c r="D8" s="24">
        <v>10</v>
      </c>
      <c r="E8" s="24"/>
      <c r="F8" s="24"/>
      <c r="G8" s="24"/>
    </row>
    <row r="11" ht="30.75">
      <c r="A11" s="26"/>
    </row>
    <row r="12" ht="30.75">
      <c r="A12" s="26"/>
    </row>
    <row r="13" ht="14.2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42290</v>
      </c>
      <c r="C1" s="3" t="s">
        <v>1</v>
      </c>
      <c r="D1" s="4">
        <v>62.38</v>
      </c>
      <c r="E1" s="5" t="s">
        <v>2</v>
      </c>
    </row>
    <row r="2" s="5" customFormat="1" ht="14.25">
      <c r="A2" s="6" t="s">
        <v>665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666</v>
      </c>
      <c r="B4" s="63">
        <v>28.07</v>
      </c>
      <c r="C4" s="64"/>
      <c r="D4" s="103">
        <f aca="true" t="shared" si="0" ref="D4:D10">C4*1</f>
        <v>0</v>
      </c>
      <c r="E4" s="103">
        <f aca="true" t="shared" si="1" ref="E4:E10">(B4+D4)*$D$1</f>
        <v>1751.0066000000002</v>
      </c>
      <c r="F4" s="85">
        <v>1751</v>
      </c>
      <c r="G4" s="14">
        <f aca="true" t="shared" si="2" ref="G4:G10">-E4+F4</f>
        <v>-0.006600000000162254</v>
      </c>
      <c r="H4" s="74"/>
    </row>
    <row r="5" spans="1:7" s="10" customFormat="1" ht="14.25">
      <c r="A5" s="15" t="s">
        <v>415</v>
      </c>
      <c r="B5" s="63">
        <v>20.26</v>
      </c>
      <c r="C5" s="64"/>
      <c r="D5" s="103">
        <f t="shared" si="0"/>
        <v>0</v>
      </c>
      <c r="E5" s="104">
        <f t="shared" si="1"/>
        <v>1263.8188000000002</v>
      </c>
      <c r="F5" s="79">
        <v>1273</v>
      </c>
      <c r="G5" s="77">
        <f t="shared" si="2"/>
        <v>9.181199999999762</v>
      </c>
    </row>
    <row r="6" spans="1:8" s="10" customFormat="1" ht="14.25">
      <c r="A6" s="11" t="s">
        <v>667</v>
      </c>
      <c r="B6" s="63">
        <v>6.15</v>
      </c>
      <c r="C6" s="64"/>
      <c r="D6" s="103">
        <f t="shared" si="0"/>
        <v>0</v>
      </c>
      <c r="E6" s="103">
        <f t="shared" si="1"/>
        <v>383.63700000000006</v>
      </c>
      <c r="F6" s="79">
        <v>384</v>
      </c>
      <c r="G6" s="14">
        <f t="shared" si="2"/>
        <v>0.3629999999999427</v>
      </c>
      <c r="H6" s="74"/>
    </row>
    <row r="7" spans="1:7" s="10" customFormat="1" ht="14.25">
      <c r="A7" s="15" t="s">
        <v>505</v>
      </c>
      <c r="B7" s="63">
        <v>30.89</v>
      </c>
      <c r="C7" s="64"/>
      <c r="D7" s="103">
        <f t="shared" si="0"/>
        <v>0</v>
      </c>
      <c r="E7" s="104">
        <f t="shared" si="1"/>
        <v>1926.9182</v>
      </c>
      <c r="F7" s="79">
        <v>1927</v>
      </c>
      <c r="G7" s="77">
        <f t="shared" si="2"/>
        <v>0.08179999999993015</v>
      </c>
    </row>
    <row r="8" spans="1:8" s="10" customFormat="1" ht="14.25">
      <c r="A8" s="11" t="s">
        <v>89</v>
      </c>
      <c r="B8" s="63">
        <v>4.19</v>
      </c>
      <c r="C8" s="64"/>
      <c r="D8" s="103">
        <f t="shared" si="0"/>
        <v>0</v>
      </c>
      <c r="E8" s="103">
        <f t="shared" si="1"/>
        <v>261.3722</v>
      </c>
      <c r="F8" s="78">
        <v>278</v>
      </c>
      <c r="G8" s="14">
        <f t="shared" si="2"/>
        <v>16.62779999999998</v>
      </c>
      <c r="H8" s="74"/>
    </row>
    <row r="9" spans="1:7" s="10" customFormat="1" ht="14.25">
      <c r="A9" s="15" t="s">
        <v>632</v>
      </c>
      <c r="B9" s="63">
        <v>9.21</v>
      </c>
      <c r="C9" s="64"/>
      <c r="D9" s="103">
        <f t="shared" si="0"/>
        <v>0</v>
      </c>
      <c r="E9" s="104">
        <f t="shared" si="1"/>
        <v>574.5198</v>
      </c>
      <c r="F9" s="79">
        <v>574</v>
      </c>
      <c r="G9" s="77">
        <f t="shared" si="2"/>
        <v>-0.519800000000032</v>
      </c>
    </row>
    <row r="10" spans="1:7" s="10" customFormat="1" ht="14.25">
      <c r="A10" s="15" t="s">
        <v>660</v>
      </c>
      <c r="B10" s="63">
        <v>42.01</v>
      </c>
      <c r="C10" s="64"/>
      <c r="D10" s="103">
        <f t="shared" si="0"/>
        <v>0</v>
      </c>
      <c r="E10" s="104">
        <f t="shared" si="1"/>
        <v>2620.5838</v>
      </c>
      <c r="F10" s="79">
        <v>2621</v>
      </c>
      <c r="G10" s="77">
        <f t="shared" si="2"/>
        <v>0.41620000000011714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668</v>
      </c>
      <c r="B15" s="27"/>
    </row>
    <row r="16" spans="1:2" ht="14.25">
      <c r="A16" s="71" t="s">
        <v>666</v>
      </c>
      <c r="B16" s="72" t="s">
        <v>602</v>
      </c>
    </row>
    <row r="17" ht="14.25">
      <c r="A17" s="72"/>
    </row>
    <row r="18" ht="14.25">
      <c r="A18" s="72"/>
    </row>
  </sheetData>
  <sheetProtection/>
  <hyperlinks>
    <hyperlink ref="B16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4.25">
      <c r="A2" s="6" t="s">
        <v>671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672</v>
      </c>
      <c r="B4" s="63">
        <v>10.7</v>
      </c>
      <c r="C4" s="64"/>
      <c r="D4" s="103">
        <f>C4*1</f>
        <v>0</v>
      </c>
      <c r="E4" s="103">
        <f>(B4+D4)*$D$1</f>
        <v>657.622</v>
      </c>
      <c r="F4" s="78">
        <v>658</v>
      </c>
      <c r="G4" s="14">
        <f>-E4+F4</f>
        <v>0.37800000000004275</v>
      </c>
      <c r="H4" s="74"/>
    </row>
    <row r="5" spans="1:7" s="10" customFormat="1" ht="14.25">
      <c r="A5" s="15" t="s">
        <v>355</v>
      </c>
      <c r="B5" s="63">
        <v>4.99</v>
      </c>
      <c r="C5" s="64"/>
      <c r="D5" s="103">
        <f>C5*1</f>
        <v>0</v>
      </c>
      <c r="E5" s="104">
        <f>(B5+D5)*$D$1</f>
        <v>306.6854</v>
      </c>
      <c r="F5" s="79">
        <v>307</v>
      </c>
      <c r="G5" s="77">
        <f>-E5+F5</f>
        <v>0.31459999999998445</v>
      </c>
    </row>
    <row r="6" spans="1:8" s="10" customFormat="1" ht="14.25">
      <c r="A6" s="11" t="s">
        <v>280</v>
      </c>
      <c r="B6" s="63">
        <v>6.97</v>
      </c>
      <c r="C6" s="64"/>
      <c r="D6" s="103">
        <f>C6*1</f>
        <v>0</v>
      </c>
      <c r="E6" s="103">
        <f>(B6+D6)*$D$1</f>
        <v>428.3762</v>
      </c>
      <c r="F6" s="78">
        <v>403</v>
      </c>
      <c r="G6" s="14">
        <f>-E6+F6</f>
        <v>-25.376199999999983</v>
      </c>
      <c r="H6" s="74"/>
    </row>
    <row r="7" spans="1:7" s="10" customFormat="1" ht="14.25">
      <c r="A7" s="15" t="s">
        <v>666</v>
      </c>
      <c r="B7" s="63">
        <v>10.8</v>
      </c>
      <c r="C7" s="64"/>
      <c r="D7" s="103">
        <f>C7*1</f>
        <v>0</v>
      </c>
      <c r="E7" s="104">
        <f>(B7+D7)*$D$1</f>
        <v>663.768</v>
      </c>
      <c r="F7" s="79">
        <v>664</v>
      </c>
      <c r="G7" s="77">
        <f>-E7+F7</f>
        <v>0.2319999999999709</v>
      </c>
    </row>
    <row r="8" spans="1:7" s="10" customFormat="1" ht="14.25">
      <c r="A8" s="15" t="s">
        <v>660</v>
      </c>
      <c r="B8" s="63">
        <v>34.08</v>
      </c>
      <c r="C8" s="64"/>
      <c r="D8" s="103">
        <f>C8*1</f>
        <v>0</v>
      </c>
      <c r="E8" s="104">
        <f>(B8+D8)*$D$1</f>
        <v>2094.5568</v>
      </c>
      <c r="F8" s="79">
        <v>2094</v>
      </c>
      <c r="G8" s="77">
        <f>-E8+F8</f>
        <v>-0.5567999999998392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4.25">
      <c r="A2" s="6" t="s">
        <v>671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410</v>
      </c>
      <c r="B4" s="63">
        <v>40.76</v>
      </c>
      <c r="C4" s="64"/>
      <c r="D4" s="103">
        <f>C4*1</f>
        <v>0</v>
      </c>
      <c r="E4" s="103">
        <f>(B4+D4)*$D$1</f>
        <v>2505.1096</v>
      </c>
      <c r="F4" s="78">
        <v>2505</v>
      </c>
      <c r="G4" s="14">
        <f>-E4+F4</f>
        <v>-0.10959999999977299</v>
      </c>
      <c r="H4" s="74"/>
    </row>
    <row r="5" spans="1:7" s="10" customFormat="1" ht="14.25">
      <c r="A5" s="15" t="s">
        <v>640</v>
      </c>
      <c r="B5" s="63">
        <v>6.8</v>
      </c>
      <c r="C5" s="64"/>
      <c r="D5" s="103">
        <f>C5*1</f>
        <v>0</v>
      </c>
      <c r="E5" s="104">
        <f>(B5+D5)*$D$1</f>
        <v>417.928</v>
      </c>
      <c r="F5" s="79">
        <v>418</v>
      </c>
      <c r="G5" s="77">
        <f>-E5+F5</f>
        <v>0.07200000000000273</v>
      </c>
    </row>
    <row r="6" spans="1:8" s="10" customFormat="1" ht="14.25">
      <c r="A6" s="11" t="s">
        <v>169</v>
      </c>
      <c r="B6" s="63">
        <v>41.79</v>
      </c>
      <c r="C6" s="64"/>
      <c r="D6" s="103">
        <f>C6*1</f>
        <v>0</v>
      </c>
      <c r="E6" s="103">
        <f>(B6+D6)*$D$1</f>
        <v>2568.4134</v>
      </c>
      <c r="F6" s="78">
        <v>2643</v>
      </c>
      <c r="G6" s="14">
        <f>-E6+F6</f>
        <v>74.58660000000009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28125" style="0" customWidth="1"/>
    <col min="7" max="7" width="12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61.48</v>
      </c>
      <c r="E1" s="5" t="s">
        <v>2</v>
      </c>
    </row>
    <row r="2" s="5" customFormat="1" ht="14.25">
      <c r="A2" s="6" t="s">
        <v>674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168</v>
      </c>
      <c r="B4" s="63">
        <v>25.57</v>
      </c>
      <c r="C4" s="64"/>
      <c r="D4" s="103">
        <f>C4*1</f>
        <v>0</v>
      </c>
      <c r="E4" s="103">
        <f>(B4+D4)*$D$1</f>
        <v>1572.0436</v>
      </c>
      <c r="F4" s="78">
        <v>1572</v>
      </c>
      <c r="G4" s="14">
        <f>-E4+F4</f>
        <v>-0.04359999999996944</v>
      </c>
      <c r="H4" s="74"/>
    </row>
    <row r="5" spans="1:7" s="10" customFormat="1" ht="14.25">
      <c r="A5" s="15" t="s">
        <v>189</v>
      </c>
      <c r="B5" s="63">
        <v>30</v>
      </c>
      <c r="C5" s="64"/>
      <c r="D5" s="103">
        <f>C5*1</f>
        <v>0</v>
      </c>
      <c r="E5" s="104">
        <f>(B5+D5)*$D$1</f>
        <v>1844.3999999999999</v>
      </c>
      <c r="F5" s="79">
        <v>1845</v>
      </c>
      <c r="G5" s="77">
        <f>-E5+F5</f>
        <v>0.6000000000001364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2.8515625" style="0" customWidth="1"/>
    <col min="7" max="7" width="10.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61.48</v>
      </c>
      <c r="E1" s="5" t="s">
        <v>2</v>
      </c>
    </row>
    <row r="2" s="5" customFormat="1" ht="14.25">
      <c r="A2" s="6" t="s">
        <v>674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205</v>
      </c>
      <c r="B4" s="63">
        <v>46.38</v>
      </c>
      <c r="C4" s="64"/>
      <c r="D4" s="103">
        <f>C4*1</f>
        <v>0</v>
      </c>
      <c r="E4" s="103">
        <f>(B4+D4)*$D$1</f>
        <v>2851.4424</v>
      </c>
      <c r="F4" s="78">
        <v>2850</v>
      </c>
      <c r="G4" s="14">
        <f>-E4+F4</f>
        <v>-1.4423999999999069</v>
      </c>
      <c r="H4" s="74"/>
    </row>
    <row r="5" spans="1:7" s="10" customFormat="1" ht="14.25">
      <c r="A5" s="15" t="s">
        <v>675</v>
      </c>
      <c r="B5" s="63">
        <v>23.53</v>
      </c>
      <c r="C5" s="64"/>
      <c r="D5" s="103">
        <f>C5*1</f>
        <v>0</v>
      </c>
      <c r="E5" s="104">
        <f>(B5+D5)*$D$1</f>
        <v>1446.6244</v>
      </c>
      <c r="F5" s="79">
        <v>1447</v>
      </c>
      <c r="G5" s="77">
        <f>-E5+F5</f>
        <v>0.37560000000007676</v>
      </c>
    </row>
    <row r="6" spans="1:8" s="10" customFormat="1" ht="14.25">
      <c r="A6" s="11" t="s">
        <v>563</v>
      </c>
      <c r="B6" s="63">
        <v>14.99</v>
      </c>
      <c r="C6" s="64"/>
      <c r="D6" s="103">
        <f>C6*1</f>
        <v>0</v>
      </c>
      <c r="E6" s="103">
        <f>(B6+D6)*$D$1</f>
        <v>921.5852</v>
      </c>
      <c r="F6" s="78">
        <v>922</v>
      </c>
      <c r="G6" s="14">
        <f>-E6+F6</f>
        <v>0.4148000000000138</v>
      </c>
      <c r="H6" s="74"/>
    </row>
    <row r="7" spans="1:7" s="10" customFormat="1" ht="14.25">
      <c r="A7" s="15" t="s">
        <v>676</v>
      </c>
      <c r="B7" s="63">
        <v>6.62</v>
      </c>
      <c r="C7" s="64"/>
      <c r="D7" s="103">
        <f>C7*1</f>
        <v>0</v>
      </c>
      <c r="E7" s="104">
        <f>(B7+D7)*$D$1</f>
        <v>406.9976</v>
      </c>
      <c r="F7" s="79">
        <v>407</v>
      </c>
      <c r="G7" s="77">
        <f>-E7+F7</f>
        <v>0.0024000000000228283</v>
      </c>
    </row>
    <row r="8" spans="1:7" s="10" customFormat="1" ht="14.25">
      <c r="A8" s="15" t="s">
        <v>301</v>
      </c>
      <c r="B8" s="63">
        <v>14.63</v>
      </c>
      <c r="C8" s="64"/>
      <c r="D8" s="103">
        <f>C8*1</f>
        <v>0</v>
      </c>
      <c r="E8" s="104">
        <f>(B8+D8)*$D$1</f>
        <v>899.4524</v>
      </c>
      <c r="F8" s="79">
        <v>900</v>
      </c>
      <c r="G8" s="77">
        <f>-E8+F8</f>
        <v>0.5475999999999885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="80" zoomScaleNormal="80"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63.33</v>
      </c>
      <c r="E1" s="5" t="s">
        <v>2</v>
      </c>
    </row>
    <row r="2" s="5" customFormat="1" ht="14.25">
      <c r="A2" s="6" t="s">
        <v>677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4.2</v>
      </c>
      <c r="C4" s="64"/>
      <c r="D4" s="103">
        <f aca="true" t="shared" si="0" ref="D4:D11">C4*1</f>
        <v>0</v>
      </c>
      <c r="E4" s="103">
        <f aca="true" t="shared" si="1" ref="E4:E10">(B4+D4)*$D$1</f>
        <v>265.986</v>
      </c>
      <c r="F4" s="79">
        <v>266</v>
      </c>
      <c r="G4" s="14">
        <f aca="true" t="shared" si="2" ref="G4:G10">-E4+F4</f>
        <v>0.014000000000010004</v>
      </c>
      <c r="H4" s="74"/>
    </row>
    <row r="5" spans="1:7" s="10" customFormat="1" ht="14.25">
      <c r="A5" s="15" t="s">
        <v>678</v>
      </c>
      <c r="B5" s="63">
        <v>3</v>
      </c>
      <c r="C5" s="64"/>
      <c r="D5" s="103">
        <f t="shared" si="0"/>
        <v>0</v>
      </c>
      <c r="E5" s="104">
        <f t="shared" si="1"/>
        <v>189.99</v>
      </c>
      <c r="F5" s="79">
        <v>190</v>
      </c>
      <c r="G5" s="77">
        <f t="shared" si="2"/>
        <v>0.009999999999990905</v>
      </c>
    </row>
    <row r="6" spans="1:8" s="10" customFormat="1" ht="14.25">
      <c r="A6" s="11" t="s">
        <v>363</v>
      </c>
      <c r="B6" s="63">
        <v>36.39</v>
      </c>
      <c r="C6" s="64"/>
      <c r="D6" s="103">
        <f t="shared" si="0"/>
        <v>0</v>
      </c>
      <c r="E6" s="103">
        <f t="shared" si="1"/>
        <v>2304.5787</v>
      </c>
      <c r="F6" s="79">
        <v>2298</v>
      </c>
      <c r="G6" s="14">
        <f t="shared" si="2"/>
        <v>-6.578700000000026</v>
      </c>
      <c r="H6" s="74"/>
    </row>
    <row r="7" spans="1:8" s="10" customFormat="1" ht="14.25">
      <c r="A7" s="11" t="s">
        <v>382</v>
      </c>
      <c r="B7" s="63">
        <v>3.54</v>
      </c>
      <c r="C7" s="64"/>
      <c r="D7" s="103">
        <f t="shared" si="0"/>
        <v>0</v>
      </c>
      <c r="E7" s="103">
        <f t="shared" si="1"/>
        <v>224.1882</v>
      </c>
      <c r="F7" s="79">
        <v>224</v>
      </c>
      <c r="G7" s="14">
        <f t="shared" si="2"/>
        <v>-0.18819999999999482</v>
      </c>
      <c r="H7" s="74"/>
    </row>
    <row r="8" spans="1:7" s="10" customFormat="1" ht="14.25">
      <c r="A8" s="15" t="s">
        <v>660</v>
      </c>
      <c r="B8" s="63">
        <v>33.57</v>
      </c>
      <c r="C8" s="64"/>
      <c r="D8" s="103">
        <f t="shared" si="0"/>
        <v>0</v>
      </c>
      <c r="E8" s="104">
        <f t="shared" si="1"/>
        <v>2125.9881</v>
      </c>
      <c r="F8" s="79">
        <v>2126</v>
      </c>
      <c r="G8" s="77">
        <f t="shared" si="2"/>
        <v>0.011899999999968713</v>
      </c>
    </row>
    <row r="9" spans="1:8" s="10" customFormat="1" ht="14.25">
      <c r="A9" s="11" t="s">
        <v>480</v>
      </c>
      <c r="B9" s="63">
        <v>16.79</v>
      </c>
      <c r="C9" s="64"/>
      <c r="D9" s="103">
        <f t="shared" si="0"/>
        <v>0</v>
      </c>
      <c r="E9" s="103">
        <f t="shared" si="1"/>
        <v>1063.3107</v>
      </c>
      <c r="F9" s="79">
        <v>1065</v>
      </c>
      <c r="G9" s="14">
        <f t="shared" si="2"/>
        <v>1.689300000000003</v>
      </c>
      <c r="H9" s="74"/>
    </row>
    <row r="10" spans="1:7" s="10" customFormat="1" ht="14.25">
      <c r="A10" s="15" t="s">
        <v>223</v>
      </c>
      <c r="B10" s="63">
        <v>17.78</v>
      </c>
      <c r="C10" s="64"/>
      <c r="D10" s="103">
        <f t="shared" si="0"/>
        <v>0</v>
      </c>
      <c r="E10" s="104">
        <f t="shared" si="1"/>
        <v>1126.0074</v>
      </c>
      <c r="F10" s="79">
        <v>1124</v>
      </c>
      <c r="G10" s="77">
        <f t="shared" si="2"/>
        <v>-2.0073999999999614</v>
      </c>
    </row>
    <row r="11" spans="1:7" s="10" customFormat="1" ht="14.25">
      <c r="A11" s="15" t="s">
        <v>408</v>
      </c>
      <c r="B11" s="63" t="s">
        <v>679</v>
      </c>
      <c r="C11" s="64"/>
      <c r="D11" s="103">
        <f t="shared" si="0"/>
        <v>0</v>
      </c>
      <c r="E11" s="104"/>
      <c r="F11" s="79"/>
      <c r="G11" s="77"/>
    </row>
    <row r="12" spans="1:7" s="25" customFormat="1" ht="14.2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/>
      <c r="B16" s="27"/>
    </row>
    <row r="17" spans="1:2" ht="14.25">
      <c r="A17" s="72"/>
      <c r="B17" s="72"/>
    </row>
    <row r="18" ht="14.25">
      <c r="A18" s="72"/>
    </row>
    <row r="19" ht="14.2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4.421875" style="0" customWidth="1"/>
    <col min="7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63.33</v>
      </c>
      <c r="E1" s="5" t="s">
        <v>2</v>
      </c>
    </row>
    <row r="2" s="5" customFormat="1" ht="14.25">
      <c r="A2" s="6" t="s">
        <v>677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251</v>
      </c>
      <c r="B4" s="63">
        <v>18.68</v>
      </c>
      <c r="C4" s="64"/>
      <c r="D4" s="103">
        <f aca="true" t="shared" si="0" ref="D4:D11">C4*1</f>
        <v>0</v>
      </c>
      <c r="E4" s="103">
        <f aca="true" t="shared" si="1" ref="E4:E11">(B4+D4)*$D$1</f>
        <v>1183.0044</v>
      </c>
      <c r="F4" s="79">
        <v>1183</v>
      </c>
      <c r="G4" s="14">
        <f aca="true" t="shared" si="2" ref="G4:G11">-E4+F4</f>
        <v>-0.004400000000032378</v>
      </c>
      <c r="H4" s="74"/>
    </row>
    <row r="5" spans="1:7" s="10" customFormat="1" ht="14.25">
      <c r="A5" s="15" t="s">
        <v>154</v>
      </c>
      <c r="B5" s="63">
        <v>16.09</v>
      </c>
      <c r="C5" s="64"/>
      <c r="D5" s="103">
        <f t="shared" si="0"/>
        <v>0</v>
      </c>
      <c r="E5" s="104">
        <f t="shared" si="1"/>
        <v>1018.9797</v>
      </c>
      <c r="F5" s="79">
        <v>1019</v>
      </c>
      <c r="G5" s="77">
        <f t="shared" si="2"/>
        <v>0.02030000000002019</v>
      </c>
    </row>
    <row r="6" spans="1:7" s="10" customFormat="1" ht="14.25">
      <c r="A6" s="15" t="s">
        <v>680</v>
      </c>
      <c r="B6" s="63">
        <v>24.73</v>
      </c>
      <c r="C6" s="64"/>
      <c r="D6" s="103">
        <f t="shared" si="0"/>
        <v>0</v>
      </c>
      <c r="E6" s="104">
        <f t="shared" si="1"/>
        <v>1566.1509</v>
      </c>
      <c r="F6" s="79">
        <v>1566</v>
      </c>
      <c r="G6" s="77">
        <f t="shared" si="2"/>
        <v>-0.1509000000000924</v>
      </c>
    </row>
    <row r="7" spans="1:8" s="10" customFormat="1" ht="14.25">
      <c r="A7" s="11" t="s">
        <v>437</v>
      </c>
      <c r="B7" s="63">
        <v>18.39</v>
      </c>
      <c r="C7" s="64"/>
      <c r="D7" s="103">
        <f t="shared" si="0"/>
        <v>0</v>
      </c>
      <c r="E7" s="103">
        <f t="shared" si="1"/>
        <v>1164.6387</v>
      </c>
      <c r="F7" s="112">
        <v>1165</v>
      </c>
      <c r="G7" s="14">
        <f t="shared" si="2"/>
        <v>0.3613000000000284</v>
      </c>
      <c r="H7" s="74"/>
    </row>
    <row r="8" spans="1:8" s="10" customFormat="1" ht="14.25">
      <c r="A8" s="11" t="s">
        <v>681</v>
      </c>
      <c r="B8" s="63">
        <v>5.99</v>
      </c>
      <c r="C8" s="64"/>
      <c r="D8" s="103">
        <f t="shared" si="0"/>
        <v>0</v>
      </c>
      <c r="E8" s="103">
        <f t="shared" si="1"/>
        <v>379.3467</v>
      </c>
      <c r="F8" s="85">
        <v>379</v>
      </c>
      <c r="G8" s="14">
        <f t="shared" si="2"/>
        <v>-0.34669999999999845</v>
      </c>
      <c r="H8" s="74"/>
    </row>
    <row r="9" spans="1:7" s="10" customFormat="1" ht="14.25">
      <c r="A9" s="15" t="s">
        <v>215</v>
      </c>
      <c r="B9" s="63">
        <v>7.19</v>
      </c>
      <c r="C9" s="64"/>
      <c r="D9" s="103">
        <f t="shared" si="0"/>
        <v>0</v>
      </c>
      <c r="E9" s="104">
        <f t="shared" si="1"/>
        <v>455.34270000000004</v>
      </c>
      <c r="F9" s="79">
        <v>455</v>
      </c>
      <c r="G9" s="77">
        <f t="shared" si="2"/>
        <v>-0.3427000000000362</v>
      </c>
    </row>
    <row r="10" spans="1:8" s="10" customFormat="1" ht="14.25">
      <c r="A10" s="11" t="s">
        <v>682</v>
      </c>
      <c r="B10" s="63">
        <v>17.49</v>
      </c>
      <c r="C10" s="64"/>
      <c r="D10" s="103">
        <f t="shared" si="0"/>
        <v>0</v>
      </c>
      <c r="E10" s="103">
        <f t="shared" si="1"/>
        <v>1107.6417</v>
      </c>
      <c r="F10" s="79">
        <v>1108</v>
      </c>
      <c r="G10" s="14">
        <f t="shared" si="2"/>
        <v>0.3583000000000993</v>
      </c>
      <c r="H10" s="74"/>
    </row>
    <row r="11" spans="1:7" s="10" customFormat="1" ht="14.25">
      <c r="A11" s="15" t="s">
        <v>683</v>
      </c>
      <c r="B11" s="63">
        <v>5.57</v>
      </c>
      <c r="C11" s="64"/>
      <c r="D11" s="103">
        <f t="shared" si="0"/>
        <v>0</v>
      </c>
      <c r="E11" s="104">
        <f t="shared" si="1"/>
        <v>352.7481</v>
      </c>
      <c r="F11" s="79">
        <v>353</v>
      </c>
      <c r="G11" s="77">
        <f t="shared" si="2"/>
        <v>0.2518999999999778</v>
      </c>
    </row>
    <row r="12" spans="1:7" s="25" customFormat="1" ht="14.2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/>
      <c r="B16" s="27"/>
    </row>
    <row r="17" spans="1:2" ht="14.25">
      <c r="A17" s="72"/>
      <c r="B17" s="72"/>
    </row>
    <row r="18" ht="14.25">
      <c r="A18" s="72"/>
    </row>
    <row r="19" ht="14.2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251</v>
      </c>
      <c r="B4" s="63">
        <v>136.11</v>
      </c>
      <c r="C4" s="64"/>
      <c r="D4" s="103">
        <f>C4*1</f>
        <v>0</v>
      </c>
      <c r="E4" s="103">
        <f>(B4+D4)*$D$1</f>
        <v>8709.6789</v>
      </c>
      <c r="F4" s="79">
        <v>8710</v>
      </c>
      <c r="G4" s="14">
        <f>-E4+F4</f>
        <v>0.32109999999920547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7" ht="28.5">
      <c r="A7" s="98"/>
    </row>
    <row r="8" ht="28.5">
      <c r="A8" s="98"/>
    </row>
    <row r="9" spans="1:2" ht="14.25">
      <c r="A9" s="72"/>
      <c r="B9" s="27"/>
    </row>
    <row r="10" spans="1:2" ht="14.25">
      <c r="A10" s="72"/>
      <c r="B10" s="72"/>
    </row>
    <row r="11" ht="14.25">
      <c r="A11" s="72"/>
    </row>
    <row r="12" ht="14.25">
      <c r="A12" s="72"/>
    </row>
  </sheetData>
  <sheetProtection/>
  <printOptions/>
  <pageMargins left="0.7" right="0.7" top="0.75" bottom="0.75" header="0.3" footer="0.3"/>
  <pageSetup orientation="portrait" paperSize="9"/>
</worksheet>
</file>

<file path=xl/worksheets/sheet1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63">
        <v>5.14</v>
      </c>
      <c r="C4" s="64"/>
      <c r="D4" s="103">
        <f>C4*1</f>
        <v>0</v>
      </c>
      <c r="E4" s="103">
        <f>(B4+D4)*$D$1</f>
        <v>328.9086</v>
      </c>
      <c r="F4" s="85">
        <v>328</v>
      </c>
      <c r="G4" s="14">
        <f>-E4+F4</f>
        <v>-0.9085999999999785</v>
      </c>
      <c r="H4" s="74"/>
    </row>
    <row r="5" spans="1:7" s="10" customFormat="1" ht="14.25">
      <c r="A5" s="15" t="s">
        <v>130</v>
      </c>
      <c r="B5" s="63">
        <v>21.38</v>
      </c>
      <c r="C5" s="64"/>
      <c r="D5" s="103">
        <f>C5*1</f>
        <v>0</v>
      </c>
      <c r="E5" s="104">
        <f>(B5+D5)*$D$1</f>
        <v>1368.1062</v>
      </c>
      <c r="F5" s="79">
        <v>1369</v>
      </c>
      <c r="G5" s="77">
        <f>-E5+F5</f>
        <v>0.8938000000000557</v>
      </c>
    </row>
    <row r="6" spans="1:8" s="10" customFormat="1" ht="14.25">
      <c r="A6" s="11" t="s">
        <v>520</v>
      </c>
      <c r="B6" s="63">
        <v>14.99</v>
      </c>
      <c r="C6" s="64"/>
      <c r="D6" s="103">
        <f>C6*1</f>
        <v>0</v>
      </c>
      <c r="E6" s="103">
        <f>(B6+D6)*$D$1</f>
        <v>959.2101</v>
      </c>
      <c r="F6" s="78">
        <v>959</v>
      </c>
      <c r="G6" s="14">
        <f>-E6+F6</f>
        <v>-0.21010000000001128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28.5">
      <c r="A11" s="98" t="s">
        <v>416</v>
      </c>
      <c r="B11" s="27"/>
    </row>
    <row r="12" spans="1:2" ht="14.25">
      <c r="A12" s="71" t="s">
        <v>130</v>
      </c>
      <c r="B12" s="72" t="s">
        <v>686</v>
      </c>
    </row>
    <row r="13" ht="14.25">
      <c r="A13" s="72"/>
    </row>
    <row r="14" ht="14.25">
      <c r="A14" s="72"/>
    </row>
  </sheetData>
  <sheetProtection/>
  <hyperlinks>
    <hyperlink ref="B12" r:id="rId1" display="http://www.iherb.com/21st-Century-Health-Care-Zoo-Friends-Complete-Children-s-Multivitamin-Multimineral-60-Chewable-Tablets/43853"/>
  </hyperlinks>
  <printOptions/>
  <pageMargins left="0.7" right="0.7" top="0.75" bottom="0.75" header="0.3" footer="0.3"/>
  <pageSetup orientation="portrait" paperSize="9"/>
</worksheet>
</file>

<file path=xl/worksheets/sheet1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660</v>
      </c>
      <c r="B4" s="63">
        <v>71.69</v>
      </c>
      <c r="C4" s="64"/>
      <c r="D4" s="103">
        <f>C4*1</f>
        <v>0</v>
      </c>
      <c r="E4" s="103">
        <f>(B4+D4)*$D$1</f>
        <v>4587.4431</v>
      </c>
      <c r="F4" s="79">
        <v>4588</v>
      </c>
      <c r="G4" s="14">
        <f>-E4+F4</f>
        <v>0.5568999999995867</v>
      </c>
      <c r="H4" s="74"/>
    </row>
    <row r="5" spans="1:7" s="10" customFormat="1" ht="14.25">
      <c r="A5" s="15" t="s">
        <v>215</v>
      </c>
      <c r="B5" s="63">
        <v>3.5</v>
      </c>
      <c r="C5" s="64"/>
      <c r="D5" s="103">
        <f>C5*1</f>
        <v>0</v>
      </c>
      <c r="E5" s="104">
        <f>(B5+D5)*$D$1</f>
        <v>223.965</v>
      </c>
      <c r="F5" s="79">
        <v>224</v>
      </c>
      <c r="G5" s="77">
        <f>-E5+F5</f>
        <v>0.03499999999999659</v>
      </c>
    </row>
    <row r="6" spans="1:8" s="10" customFormat="1" ht="14.25">
      <c r="A6" s="11" t="s">
        <v>200</v>
      </c>
      <c r="B6" s="63">
        <v>35.08</v>
      </c>
      <c r="C6" s="64"/>
      <c r="D6" s="103">
        <f>C6*1</f>
        <v>0</v>
      </c>
      <c r="E6" s="103">
        <f>(B6+D6)*$D$1</f>
        <v>2244.7692</v>
      </c>
      <c r="F6" s="78">
        <f>1285+959</f>
        <v>2244</v>
      </c>
      <c r="G6" s="14">
        <f>-E6+F6</f>
        <v>-0.7692000000001826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64.403</v>
      </c>
      <c r="E1" s="5" t="s">
        <v>2</v>
      </c>
    </row>
    <row r="2" s="5" customFormat="1" ht="14.25">
      <c r="A2" s="6" t="s">
        <v>339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44.57</v>
      </c>
      <c r="C4" s="64">
        <v>1.08</v>
      </c>
      <c r="D4" s="11">
        <f>C4/$C$9*$D$9</f>
        <v>2.181818181818182</v>
      </c>
      <c r="E4" s="11">
        <f>(B4+D4)*$D$1</f>
        <v>3010.9573463636366</v>
      </c>
      <c r="F4" s="78">
        <v>3081</v>
      </c>
      <c r="G4" s="14">
        <f>-E4+F4</f>
        <v>70.04265363636341</v>
      </c>
      <c r="H4" s="74"/>
    </row>
    <row r="5" spans="1:7" s="10" customFormat="1" ht="14.25">
      <c r="A5" s="15" t="s">
        <v>341</v>
      </c>
      <c r="B5" s="63">
        <v>23.88</v>
      </c>
      <c r="C5" s="64">
        <v>0.76</v>
      </c>
      <c r="D5" s="11">
        <f>C5/$C$9*$D$9</f>
        <v>1.5353535353535352</v>
      </c>
      <c r="E5" s="76">
        <f>(B5+D5)*$D$1</f>
        <v>1636.8250137373739</v>
      </c>
      <c r="F5" s="79"/>
      <c r="G5" s="77">
        <f>-E5+F5</f>
        <v>-1636.8250137373739</v>
      </c>
    </row>
    <row r="6" spans="1:7" s="10" customFormat="1" ht="14.25">
      <c r="A6" s="15" t="s">
        <v>342</v>
      </c>
      <c r="B6" s="12">
        <v>32.1</v>
      </c>
      <c r="C6" s="12">
        <v>1.41</v>
      </c>
      <c r="D6" s="11">
        <f>C6/$C$9*$D$9</f>
        <v>2.8484848484848477</v>
      </c>
      <c r="E6" s="11">
        <f>(B6+D6)*$D$1</f>
        <v>2250.7872696969703</v>
      </c>
      <c r="F6" s="69"/>
      <c r="G6" s="14">
        <f>-E6+F6</f>
        <v>-2250.7872696969703</v>
      </c>
    </row>
    <row r="7" spans="1:7" s="10" customFormat="1" ht="14.25">
      <c r="A7" s="11" t="s">
        <v>35</v>
      </c>
      <c r="B7" s="63">
        <v>10.27</v>
      </c>
      <c r="C7" s="64">
        <v>0.44</v>
      </c>
      <c r="D7" s="11">
        <f>C7/$C$9*$D$9</f>
        <v>0.888888888888889</v>
      </c>
      <c r="E7" s="11">
        <f>(B7+D7)*$D$1</f>
        <v>718.6659211111112</v>
      </c>
      <c r="F7" s="67">
        <f>519+195</f>
        <v>714</v>
      </c>
      <c r="G7" s="14">
        <f>-E7+F7</f>
        <v>-4.6659211111111745</v>
      </c>
    </row>
    <row r="8" spans="1:7" s="10" customFormat="1" ht="14.25">
      <c r="A8" s="15" t="s">
        <v>10</v>
      </c>
      <c r="B8" s="24"/>
      <c r="C8" s="20">
        <v>1.26</v>
      </c>
      <c r="D8" s="11">
        <f>C8/$C$9*$D$9</f>
        <v>2.545454545454545</v>
      </c>
      <c r="E8" s="21"/>
      <c r="F8" s="22"/>
      <c r="G8" s="23"/>
    </row>
    <row r="9" spans="1:7" s="25" customFormat="1" ht="14.25">
      <c r="A9" s="24"/>
      <c r="B9" s="24"/>
      <c r="C9" s="24">
        <f>SUM(C4:C8)</f>
        <v>4.95</v>
      </c>
      <c r="D9" s="24">
        <v>10</v>
      </c>
      <c r="E9" s="24"/>
      <c r="F9" s="24"/>
      <c r="G9" s="24"/>
    </row>
    <row r="12" ht="30.75">
      <c r="A12" s="26"/>
    </row>
    <row r="13" ht="30.75">
      <c r="A13" s="26"/>
    </row>
    <row r="14" ht="14.25">
      <c r="A14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10.06</v>
      </c>
      <c r="C4" s="64"/>
      <c r="D4" s="103">
        <f>C4*1</f>
        <v>0</v>
      </c>
      <c r="E4" s="103">
        <f>(B4+D4)*$D$1</f>
        <v>643.7394</v>
      </c>
      <c r="F4" s="79">
        <v>644</v>
      </c>
      <c r="G4" s="14">
        <f>-E4+F4</f>
        <v>0.260599999999954</v>
      </c>
      <c r="H4" s="74"/>
    </row>
    <row r="5" spans="1:7" s="10" customFormat="1" ht="14.25">
      <c r="A5" s="15" t="s">
        <v>410</v>
      </c>
      <c r="B5" s="63">
        <v>43.53</v>
      </c>
      <c r="C5" s="64"/>
      <c r="D5" s="103">
        <f>C5*1</f>
        <v>0</v>
      </c>
      <c r="E5" s="104">
        <f>(B5+D5)*$D$1</f>
        <v>2785.4847</v>
      </c>
      <c r="F5" s="85">
        <v>2786</v>
      </c>
      <c r="G5" s="77">
        <f>-E5+F5</f>
        <v>0.5153000000000247</v>
      </c>
    </row>
    <row r="6" spans="1:8" s="10" customFormat="1" ht="14.25">
      <c r="A6" s="11" t="s">
        <v>431</v>
      </c>
      <c r="B6" s="63">
        <v>26.59</v>
      </c>
      <c r="C6" s="64"/>
      <c r="D6" s="103">
        <f>C6*1</f>
        <v>0</v>
      </c>
      <c r="E6" s="103">
        <f>(B6+D6)*$D$1</f>
        <v>1701.4941000000001</v>
      </c>
      <c r="F6" s="79">
        <v>1701</v>
      </c>
      <c r="G6" s="14">
        <f>-E6+F6</f>
        <v>-0.4941000000001168</v>
      </c>
      <c r="H6" s="74"/>
    </row>
    <row r="7" spans="1:8" s="10" customFormat="1" ht="14.25">
      <c r="A7" s="11" t="s">
        <v>497</v>
      </c>
      <c r="B7" s="63">
        <v>9.18</v>
      </c>
      <c r="C7" s="64"/>
      <c r="D7" s="103">
        <f>C7*1</f>
        <v>0</v>
      </c>
      <c r="E7" s="103">
        <f>(B7+D7)*$D$1</f>
        <v>587.4282</v>
      </c>
      <c r="F7" s="79">
        <v>587</v>
      </c>
      <c r="G7" s="14">
        <f>-E7+F7</f>
        <v>-0.42819999999994707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="90" zoomScaleNormal="90"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4.25">
      <c r="A2" s="6" t="s">
        <v>688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659</v>
      </c>
      <c r="B4" s="63">
        <v>3.99</v>
      </c>
      <c r="C4" s="64"/>
      <c r="D4" s="103">
        <f>C4*1</f>
        <v>0</v>
      </c>
      <c r="E4" s="103">
        <f>(B4+D4)*$D$1</f>
        <v>257.9535</v>
      </c>
      <c r="F4" s="85">
        <v>258</v>
      </c>
      <c r="G4" s="14">
        <f>-E4+F4</f>
        <v>0.046499999999980446</v>
      </c>
      <c r="H4" s="74"/>
    </row>
    <row r="5" spans="1:7" s="10" customFormat="1" ht="14.25">
      <c r="A5" s="15" t="s">
        <v>408</v>
      </c>
      <c r="B5" s="63">
        <v>11.87</v>
      </c>
      <c r="C5" s="64"/>
      <c r="D5" s="103">
        <f>C5*1</f>
        <v>0</v>
      </c>
      <c r="E5" s="104">
        <f>(B5+D5)*$D$1</f>
        <v>767.3955</v>
      </c>
      <c r="F5" s="79">
        <v>768</v>
      </c>
      <c r="G5" s="77">
        <f>-E5+F5</f>
        <v>0.60450000000003</v>
      </c>
    </row>
    <row r="6" spans="1:8" s="10" customFormat="1" ht="14.25">
      <c r="A6" s="11" t="s">
        <v>689</v>
      </c>
      <c r="B6" s="63">
        <v>48.81</v>
      </c>
      <c r="C6" s="64"/>
      <c r="D6" s="103">
        <f>C6*1</f>
        <v>0</v>
      </c>
      <c r="E6" s="103">
        <f>(B6+D6)*$D$1</f>
        <v>3155.5665000000004</v>
      </c>
      <c r="F6" s="79">
        <v>3156</v>
      </c>
      <c r="G6" s="14">
        <f>-E6+F6</f>
        <v>0.43349999999963984</v>
      </c>
      <c r="H6" s="74"/>
    </row>
    <row r="7" spans="1:8" s="10" customFormat="1" ht="14.25">
      <c r="A7" s="11" t="s">
        <v>632</v>
      </c>
      <c r="B7" s="63">
        <v>10.76</v>
      </c>
      <c r="C7" s="64"/>
      <c r="D7" s="103">
        <f>C7*1</f>
        <v>0</v>
      </c>
      <c r="E7" s="103">
        <f>(B7+D7)*$D$1</f>
        <v>695.634</v>
      </c>
      <c r="F7" s="79">
        <v>696</v>
      </c>
      <c r="G7" s="14">
        <f>-E7+F7</f>
        <v>0.36599999999998545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416</v>
      </c>
      <c r="B12" s="27"/>
    </row>
    <row r="13" spans="1:2" ht="14.25">
      <c r="A13" s="71" t="s">
        <v>408</v>
      </c>
      <c r="B13" s="72" t="s">
        <v>690</v>
      </c>
    </row>
    <row r="14" ht="14.25">
      <c r="A14" s="72"/>
    </row>
    <row r="15" ht="14.25">
      <c r="A15" s="72"/>
    </row>
  </sheetData>
  <sheetProtection/>
  <hyperlinks>
    <hyperlink ref="B13" r:id="rId1" display="http://www.iherb.com/earth-science-active-age-defense-i-cream-nourishing-eye-care-5-oz-14-g/27414"/>
  </hyperlinks>
  <printOptions/>
  <pageMargins left="0.7" right="0.7" top="0.75" bottom="0.75" header="0.3" footer="0.3"/>
  <pageSetup orientation="portrait" paperSize="9"/>
</worksheet>
</file>

<file path=xl/worksheets/sheet1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="90" zoomScaleNormal="90" zoomScalePageLayoutView="0" workbookViewId="0" topLeftCell="A1">
      <selection activeCell="P45" sqref="P4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4.25">
      <c r="A2" s="6" t="s">
        <v>688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448</v>
      </c>
      <c r="B4" s="63">
        <v>19.59</v>
      </c>
      <c r="C4" s="64"/>
      <c r="D4" s="103">
        <f>C4*1</f>
        <v>0</v>
      </c>
      <c r="E4" s="103">
        <f>(B4+D4)*$D$1</f>
        <v>1266.4935</v>
      </c>
      <c r="F4" s="85">
        <v>1266</v>
      </c>
      <c r="G4" s="14">
        <f>-E4+F4</f>
        <v>-0.49350000000004</v>
      </c>
      <c r="H4" s="74"/>
    </row>
    <row r="5" spans="1:7" s="10" customFormat="1" ht="14.25">
      <c r="A5" s="15" t="s">
        <v>428</v>
      </c>
      <c r="B5" s="63">
        <v>31.37</v>
      </c>
      <c r="C5" s="64"/>
      <c r="D5" s="103">
        <f>C5*1</f>
        <v>0</v>
      </c>
      <c r="E5" s="104">
        <f>(B5+D5)*$D$1</f>
        <v>2028.0705000000003</v>
      </c>
      <c r="F5" s="85">
        <v>2028.07</v>
      </c>
      <c r="G5" s="77">
        <f>-E5+F5</f>
        <v>-0.0005000000003292371</v>
      </c>
    </row>
    <row r="6" spans="1:8" s="10" customFormat="1" ht="14.25">
      <c r="A6" s="11" t="s">
        <v>640</v>
      </c>
      <c r="B6" s="63">
        <v>21.95</v>
      </c>
      <c r="C6" s="64"/>
      <c r="D6" s="103">
        <f>C6*1</f>
        <v>0</v>
      </c>
      <c r="E6" s="103">
        <f>(B6+D6)*$D$1</f>
        <v>1419.0675</v>
      </c>
      <c r="F6" s="79">
        <v>1419</v>
      </c>
      <c r="G6" s="14">
        <f>-E6+F6</f>
        <v>-0.06750000000010914</v>
      </c>
      <c r="H6" s="74"/>
    </row>
    <row r="7" spans="1:8" s="10" customFormat="1" ht="14.25">
      <c r="A7" s="11" t="s">
        <v>64</v>
      </c>
      <c r="B7" s="63">
        <v>32.75</v>
      </c>
      <c r="C7" s="64"/>
      <c r="D7" s="103">
        <f>C7*1</f>
        <v>0</v>
      </c>
      <c r="E7" s="103">
        <f>(B7+D7)*$D$1</f>
        <v>2117.2875000000004</v>
      </c>
      <c r="F7" s="85">
        <f>2205+12-97</f>
        <v>2120</v>
      </c>
      <c r="G7" s="14">
        <f>-E7+F7</f>
        <v>2.712499999999636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="90" zoomScaleNormal="90"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4.25">
      <c r="A2" s="6" t="s">
        <v>688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99.26</v>
      </c>
      <c r="C4" s="64"/>
      <c r="D4" s="103">
        <f>C4*1</f>
        <v>0</v>
      </c>
      <c r="E4" s="103">
        <f>(B4+D4)*$D$1</f>
        <v>6417.159000000001</v>
      </c>
      <c r="F4" s="79">
        <v>6830</v>
      </c>
      <c r="G4" s="14">
        <f>-E4+F4</f>
        <v>412.84099999999944</v>
      </c>
      <c r="H4" s="74"/>
    </row>
    <row r="5" spans="1:7" s="10" customFormat="1" ht="14.25">
      <c r="A5" s="15" t="s">
        <v>520</v>
      </c>
      <c r="B5" s="63">
        <v>17.33</v>
      </c>
      <c r="C5" s="64"/>
      <c r="D5" s="103">
        <f>C5*1</f>
        <v>0</v>
      </c>
      <c r="E5" s="104">
        <f>(B5+D5)*$D$1</f>
        <v>1120.3845</v>
      </c>
      <c r="F5" s="85">
        <v>1120</v>
      </c>
      <c r="G5" s="77">
        <f>-E5+F5</f>
        <v>-0.38449999999988904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="90" zoomScaleNormal="90"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42318</v>
      </c>
      <c r="C1" s="3" t="s">
        <v>1</v>
      </c>
      <c r="D1" s="4">
        <v>64.76</v>
      </c>
      <c r="E1" s="5" t="s">
        <v>2</v>
      </c>
    </row>
    <row r="2" s="5" customFormat="1" ht="14.25">
      <c r="A2" s="6" t="s">
        <v>693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130</v>
      </c>
      <c r="B4" s="63">
        <v>33.96</v>
      </c>
      <c r="C4" s="64"/>
      <c r="D4" s="103">
        <f>C4*1</f>
        <v>0</v>
      </c>
      <c r="E4" s="103">
        <f>(B4+D4)*$D$1</f>
        <v>2199.2496</v>
      </c>
      <c r="F4" s="79">
        <v>2199</v>
      </c>
      <c r="G4" s="14">
        <f>-E4+F4</f>
        <v>-0.2496000000001004</v>
      </c>
      <c r="H4" s="74"/>
    </row>
    <row r="5" spans="1:7" s="10" customFormat="1" ht="14.25">
      <c r="A5" s="15" t="s">
        <v>169</v>
      </c>
      <c r="B5" s="63">
        <v>20.15</v>
      </c>
      <c r="C5" s="64"/>
      <c r="D5" s="103">
        <f>C5*1</f>
        <v>0</v>
      </c>
      <c r="E5" s="104">
        <f>(B5+D5)*$D$1</f>
        <v>1304.914</v>
      </c>
      <c r="F5" s="79">
        <v>1230</v>
      </c>
      <c r="G5" s="77">
        <f>-E5+F5</f>
        <v>-74.91399999999999</v>
      </c>
    </row>
    <row r="6" spans="1:8" s="10" customFormat="1" ht="14.25">
      <c r="A6" s="11" t="s">
        <v>694</v>
      </c>
      <c r="B6" s="63">
        <v>43.53</v>
      </c>
      <c r="C6" s="64"/>
      <c r="D6" s="103">
        <f>C6*1</f>
        <v>0</v>
      </c>
      <c r="E6" s="103">
        <f>(B6+D6)*$D$1</f>
        <v>2819.0028</v>
      </c>
      <c r="F6" s="79">
        <v>2819</v>
      </c>
      <c r="G6" s="14">
        <f>-E6+F6</f>
        <v>-0.002800000000206637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42318</v>
      </c>
      <c r="C1" s="3" t="s">
        <v>1</v>
      </c>
      <c r="D1" s="4">
        <v>64.76</v>
      </c>
      <c r="E1" s="5" t="s">
        <v>2</v>
      </c>
    </row>
    <row r="2" s="5" customFormat="1" ht="14.25">
      <c r="A2" s="6" t="s">
        <v>693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659</v>
      </c>
      <c r="B4" s="63">
        <v>6.62</v>
      </c>
      <c r="C4" s="64"/>
      <c r="D4" s="103">
        <f>C4*1</f>
        <v>0</v>
      </c>
      <c r="E4" s="103">
        <f>(B4+D4)*$D$1</f>
        <v>428.7112</v>
      </c>
      <c r="F4" s="79">
        <v>428</v>
      </c>
      <c r="G4" s="14">
        <f>-E4+F4</f>
        <v>-0.7112000000000194</v>
      </c>
      <c r="H4" s="74"/>
    </row>
    <row r="5" spans="1:7" s="10" customFormat="1" ht="14.25">
      <c r="A5" s="15" t="s">
        <v>35</v>
      </c>
      <c r="B5" s="63">
        <v>33.12</v>
      </c>
      <c r="C5" s="64"/>
      <c r="D5" s="103">
        <f>C5*1</f>
        <v>0</v>
      </c>
      <c r="E5" s="104">
        <f>(B5+D5)*$D$1</f>
        <v>2144.8512</v>
      </c>
      <c r="F5" s="79">
        <f>2020+125</f>
        <v>2145</v>
      </c>
      <c r="G5" s="77">
        <f>-E5+F5</f>
        <v>0.14879999999993743</v>
      </c>
    </row>
    <row r="6" spans="1:7" s="10" customFormat="1" ht="14.25">
      <c r="A6" s="15" t="s">
        <v>640</v>
      </c>
      <c r="B6" s="10">
        <v>52.62</v>
      </c>
      <c r="C6" s="64"/>
      <c r="D6" s="103">
        <f>C6*1</f>
        <v>0</v>
      </c>
      <c r="E6" s="103">
        <f>(B6+D6)*$D$1</f>
        <v>3407.6712</v>
      </c>
      <c r="F6" s="79">
        <v>3408</v>
      </c>
      <c r="G6" s="77">
        <f>-E6+F6</f>
        <v>0.3287999999997737</v>
      </c>
    </row>
    <row r="7" spans="1:8" s="10" customFormat="1" ht="14.25">
      <c r="A7" s="11" t="s">
        <v>165</v>
      </c>
      <c r="B7" s="63">
        <v>20.15</v>
      </c>
      <c r="C7" s="64"/>
      <c r="D7" s="103">
        <f>C7*1</f>
        <v>0</v>
      </c>
      <c r="E7" s="104">
        <f>(B7+D7)*$D$1</f>
        <v>1304.914</v>
      </c>
      <c r="F7" s="79">
        <v>1305</v>
      </c>
      <c r="G7" s="14">
        <f>-E7+F7</f>
        <v>0.08600000000001273</v>
      </c>
      <c r="H7" s="74"/>
    </row>
    <row r="8" spans="1:8" s="10" customFormat="1" ht="14.25">
      <c r="A8" s="11" t="s">
        <v>203</v>
      </c>
      <c r="B8" s="63">
        <v>6.38</v>
      </c>
      <c r="C8" s="64"/>
      <c r="D8" s="103">
        <f>C8*1</f>
        <v>0</v>
      </c>
      <c r="E8" s="103">
        <f>(B8+D8)*$D$1</f>
        <v>413.16880000000003</v>
      </c>
      <c r="F8" s="85"/>
      <c r="G8" s="14">
        <f>-E8+F8</f>
        <v>-413.16880000000003</v>
      </c>
      <c r="H8" s="74"/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4.25">
      <c r="A2" s="6" t="s">
        <v>696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479</v>
      </c>
      <c r="B4" s="63">
        <v>3.04</v>
      </c>
      <c r="C4" s="64"/>
      <c r="D4" s="103">
        <f>C4*1</f>
        <v>0</v>
      </c>
      <c r="E4" s="103">
        <f>(B4+D4)*$D$1</f>
        <v>204.288</v>
      </c>
      <c r="F4" s="79">
        <v>205</v>
      </c>
      <c r="G4" s="14">
        <f>-E4+F4</f>
        <v>0.7119999999999891</v>
      </c>
      <c r="H4" s="74"/>
    </row>
    <row r="5" spans="1:7" s="10" customFormat="1" ht="14.25">
      <c r="A5" s="15" t="s">
        <v>633</v>
      </c>
      <c r="B5" s="63">
        <v>29.35</v>
      </c>
      <c r="C5" s="64"/>
      <c r="D5" s="103">
        <f>C5*1</f>
        <v>0</v>
      </c>
      <c r="E5" s="104">
        <f>(B5+D5)*$D$1</f>
        <v>1972.3200000000002</v>
      </c>
      <c r="F5" s="79">
        <v>1972</v>
      </c>
      <c r="G5" s="77">
        <f>-E5+F5</f>
        <v>-0.3200000000001637</v>
      </c>
    </row>
    <row r="6" spans="1:8" s="10" customFormat="1" ht="14.25">
      <c r="A6" s="11" t="s">
        <v>449</v>
      </c>
      <c r="B6" s="63">
        <v>32.72</v>
      </c>
      <c r="C6" s="64"/>
      <c r="D6" s="103">
        <f>C6*1</f>
        <v>0</v>
      </c>
      <c r="E6" s="103">
        <f>(B6+D6)*$D$1</f>
        <v>2198.784</v>
      </c>
      <c r="F6" s="79">
        <v>2150</v>
      </c>
      <c r="G6" s="14">
        <f>-E6+F6</f>
        <v>-48.784000000000106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4.25">
      <c r="A2" s="6" t="s">
        <v>696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536</v>
      </c>
      <c r="B4" s="63">
        <v>3.95</v>
      </c>
      <c r="C4" s="64"/>
      <c r="D4" s="103">
        <f>C4*1</f>
        <v>0</v>
      </c>
      <c r="E4" s="103">
        <f>(B4+D4)*$D$1</f>
        <v>265.44</v>
      </c>
      <c r="F4" s="85">
        <v>265</v>
      </c>
      <c r="G4" s="14">
        <f>-E4+F4</f>
        <v>-0.4399999999999977</v>
      </c>
      <c r="H4" s="74"/>
    </row>
    <row r="5" spans="1:7" s="10" customFormat="1" ht="14.25">
      <c r="A5" s="15" t="s">
        <v>697</v>
      </c>
      <c r="B5" s="63">
        <v>11.72</v>
      </c>
      <c r="C5" s="64"/>
      <c r="D5" s="103">
        <f>C5*1</f>
        <v>0</v>
      </c>
      <c r="E5" s="104">
        <f>(B5+D5)*$D$1</f>
        <v>787.5840000000001</v>
      </c>
      <c r="F5" s="79">
        <v>788</v>
      </c>
      <c r="G5" s="77">
        <f>-E5+F5</f>
        <v>0.41599999999994</v>
      </c>
    </row>
    <row r="6" spans="1:8" s="10" customFormat="1" ht="14.25">
      <c r="A6" s="11" t="s">
        <v>698</v>
      </c>
      <c r="B6" s="63">
        <v>62.71</v>
      </c>
      <c r="C6" s="64"/>
      <c r="D6" s="103">
        <f>C6*1</f>
        <v>0</v>
      </c>
      <c r="E6" s="103">
        <f>(B6+D6)*$D$1</f>
        <v>4214.112</v>
      </c>
      <c r="F6" s="79">
        <v>4214</v>
      </c>
      <c r="G6" s="14">
        <f>-E6+F6</f>
        <v>-0.11200000000008004</v>
      </c>
      <c r="H6" s="74"/>
    </row>
    <row r="7" spans="1:8" s="10" customFormat="1" ht="14.25">
      <c r="A7" s="11" t="s">
        <v>699</v>
      </c>
      <c r="B7" s="63">
        <v>2.8</v>
      </c>
      <c r="C7" s="64"/>
      <c r="D7" s="103">
        <f>C7*1</f>
        <v>0</v>
      </c>
      <c r="E7" s="103">
        <f>(B7+D7)*$D$1</f>
        <v>188.16</v>
      </c>
      <c r="F7" s="85">
        <v>188</v>
      </c>
      <c r="G7" s="14">
        <f>-E7+F7</f>
        <v>-0.1599999999999966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4.25">
      <c r="A2" s="6" t="s">
        <v>696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63">
        <v>27.75</v>
      </c>
      <c r="C4" s="64"/>
      <c r="D4" s="103">
        <f>C4*1</f>
        <v>0</v>
      </c>
      <c r="E4" s="103">
        <f>(B4+D4)*$D$1</f>
        <v>1864.8000000000002</v>
      </c>
      <c r="F4" s="79">
        <v>1865</v>
      </c>
      <c r="G4" s="14">
        <f>-E4+F4</f>
        <v>0.1999999999998181</v>
      </c>
      <c r="H4" s="74"/>
    </row>
    <row r="5" spans="1:7" s="10" customFormat="1" ht="14.25">
      <c r="A5" s="15" t="s">
        <v>497</v>
      </c>
      <c r="B5" s="63">
        <v>35.64</v>
      </c>
      <c r="C5" s="64"/>
      <c r="D5" s="103">
        <f>C5*1</f>
        <v>0</v>
      </c>
      <c r="E5" s="104">
        <f>(B5+D5)*$D$1</f>
        <v>2395.0080000000003</v>
      </c>
      <c r="F5" s="79">
        <v>2395</v>
      </c>
      <c r="G5" s="77">
        <f>-E5+F5</f>
        <v>-0.008000000000265572</v>
      </c>
    </row>
    <row r="6" spans="1:8" s="10" customFormat="1" ht="14.25">
      <c r="A6" s="11" t="s">
        <v>142</v>
      </c>
      <c r="B6" s="63">
        <v>20.97</v>
      </c>
      <c r="C6" s="64"/>
      <c r="D6" s="103">
        <f>C6*1</f>
        <v>0</v>
      </c>
      <c r="E6" s="103">
        <f>(B6+D6)*$D$1</f>
        <v>1409.184</v>
      </c>
      <c r="F6" s="79">
        <v>1409</v>
      </c>
      <c r="G6" s="14">
        <f>-E6+F6</f>
        <v>-0.18399999999996908</v>
      </c>
      <c r="H6" s="74"/>
    </row>
    <row r="7" spans="1:8" s="10" customFormat="1" ht="14.25">
      <c r="A7" s="11" t="s">
        <v>645</v>
      </c>
      <c r="B7" s="63">
        <v>38.37</v>
      </c>
      <c r="C7" s="64"/>
      <c r="D7" s="103">
        <f>C7*1</f>
        <v>0</v>
      </c>
      <c r="E7" s="103">
        <f>(B7+D7)*$D$1</f>
        <v>2578.464</v>
      </c>
      <c r="F7" s="79">
        <v>2578</v>
      </c>
      <c r="G7" s="14">
        <f>-E7+F7</f>
        <v>-0.4639999999999418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701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101.16</v>
      </c>
      <c r="C4" s="64"/>
      <c r="D4" s="103">
        <f>C4*1</f>
        <v>0</v>
      </c>
      <c r="E4" s="103">
        <f>(B4+D4)*$D$1</f>
        <v>6600.69</v>
      </c>
      <c r="F4" s="85">
        <v>6601</v>
      </c>
      <c r="G4" s="14">
        <f>-E4+F4</f>
        <v>0.3100000000004002</v>
      </c>
      <c r="H4" s="74"/>
    </row>
    <row r="5" spans="1:7" s="10" customFormat="1" ht="14.25">
      <c r="A5" s="15" t="s">
        <v>702</v>
      </c>
      <c r="B5" s="63">
        <v>20.53</v>
      </c>
      <c r="C5" s="64"/>
      <c r="D5" s="103">
        <f>C5*1</f>
        <v>0</v>
      </c>
      <c r="E5" s="104">
        <f>(B5+D5)*$D$1</f>
        <v>1339.5825</v>
      </c>
      <c r="F5" s="85">
        <v>1340</v>
      </c>
      <c r="G5" s="77">
        <f>-E5+F5</f>
        <v>0.4175000000000182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185</v>
      </c>
      <c r="B4" s="63">
        <v>10.39</v>
      </c>
      <c r="C4" s="64"/>
      <c r="D4" s="11"/>
      <c r="E4" s="11">
        <f>(B4+D4)*$D$1</f>
        <v>657.3753</v>
      </c>
      <c r="F4" s="78">
        <v>652</v>
      </c>
      <c r="G4" s="14">
        <f>-E4+F4</f>
        <v>-5.375300000000038</v>
      </c>
      <c r="H4" s="74"/>
    </row>
    <row r="5" spans="1:7" s="10" customFormat="1" ht="14.25">
      <c r="A5" s="15" t="s">
        <v>345</v>
      </c>
      <c r="B5" s="63">
        <v>71.84</v>
      </c>
      <c r="C5" s="64"/>
      <c r="D5" s="11"/>
      <c r="E5" s="76">
        <f>(B5+D5)*$D$1</f>
        <v>4545.3168000000005</v>
      </c>
      <c r="F5" s="79">
        <f>5003+25</f>
        <v>5028</v>
      </c>
      <c r="G5" s="77">
        <f>-E5+F5</f>
        <v>482.6831999999995</v>
      </c>
    </row>
    <row r="6" spans="1:7" s="25" customFormat="1" ht="14.2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0.75">
      <c r="A9" s="26"/>
    </row>
    <row r="10" ht="30.75">
      <c r="A10" s="26"/>
    </row>
    <row r="11" ht="14.25">
      <c r="A11" s="27"/>
    </row>
  </sheetData>
  <sheetProtection/>
  <printOptions/>
  <pageMargins left="0.7" right="0.7" top="0.75" bottom="0.75" header="0.3" footer="0.3"/>
  <pageSetup orientation="portrait" paperSize="9"/>
</worksheet>
</file>

<file path=xl/worksheets/sheet1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701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703</v>
      </c>
      <c r="B4" s="63">
        <v>45.43</v>
      </c>
      <c r="C4" s="64"/>
      <c r="D4" s="103">
        <f>C4*1</f>
        <v>0</v>
      </c>
      <c r="E4" s="103">
        <f>(B4+D4)*$D$1</f>
        <v>2964.3075</v>
      </c>
      <c r="F4" s="85">
        <v>2964</v>
      </c>
      <c r="G4" s="14">
        <f>-E4+F4</f>
        <v>-0.30749999999989086</v>
      </c>
      <c r="H4" s="74"/>
    </row>
    <row r="5" spans="1:7" s="10" customFormat="1" ht="14.25">
      <c r="A5" s="15" t="s">
        <v>640</v>
      </c>
      <c r="B5" s="63">
        <v>29.88</v>
      </c>
      <c r="C5" s="64"/>
      <c r="D5" s="103">
        <f>C5*1</f>
        <v>0</v>
      </c>
      <c r="E5" s="104">
        <f>(B5+D5)*$D$1</f>
        <v>1949.6699999999998</v>
      </c>
      <c r="F5" s="85">
        <v>1950</v>
      </c>
      <c r="G5" s="77">
        <f>-E5+F5</f>
        <v>0.3300000000001546</v>
      </c>
    </row>
    <row r="6" spans="1:8" s="10" customFormat="1" ht="14.25">
      <c r="A6" s="11" t="s">
        <v>408</v>
      </c>
      <c r="B6" s="63">
        <v>6.58</v>
      </c>
      <c r="C6" s="64"/>
      <c r="D6" s="103">
        <f>C6*1</f>
        <v>0</v>
      </c>
      <c r="E6" s="103">
        <f>(B6+D6)*$D$1</f>
        <v>429.345</v>
      </c>
      <c r="F6" s="79">
        <v>429</v>
      </c>
      <c r="G6" s="14">
        <f>-E6+F6</f>
        <v>-0.3450000000000273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701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270</v>
      </c>
      <c r="B4" s="63">
        <v>13.03</v>
      </c>
      <c r="C4" s="64"/>
      <c r="D4" s="103">
        <f>C4*1</f>
        <v>0</v>
      </c>
      <c r="E4" s="103">
        <f>(B4+D4)*$D$1</f>
        <v>850.2075</v>
      </c>
      <c r="F4" s="85">
        <v>850</v>
      </c>
      <c r="G4" s="14">
        <f>-E4+F4</f>
        <v>-0.2074999999999818</v>
      </c>
      <c r="H4" s="74"/>
    </row>
    <row r="5" spans="1:7" s="10" customFormat="1" ht="14.25">
      <c r="A5" s="15" t="s">
        <v>75</v>
      </c>
      <c r="B5" s="63">
        <v>25.19</v>
      </c>
      <c r="C5" s="64"/>
      <c r="D5" s="103">
        <f>C5*1</f>
        <v>0</v>
      </c>
      <c r="E5" s="104">
        <f>(B5+D5)*$D$1</f>
        <v>1643.6475</v>
      </c>
      <c r="F5" s="85">
        <v>1644</v>
      </c>
      <c r="G5" s="77">
        <f>-E5+F5</f>
        <v>0.3524999999999636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42332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708</v>
      </c>
      <c r="B4" s="63">
        <v>12.02</v>
      </c>
      <c r="C4" s="64"/>
      <c r="D4" s="103">
        <f aca="true" t="shared" si="0" ref="D4:D9">C4*1</f>
        <v>0</v>
      </c>
      <c r="E4" s="103">
        <f aca="true" t="shared" si="1" ref="E4:E9">(B4+D4)*$D$1</f>
        <v>784.305</v>
      </c>
      <c r="F4" s="103">
        <v>784.305</v>
      </c>
      <c r="G4" s="14">
        <f aca="true" t="shared" si="2" ref="G4:G9">-E4+F4</f>
        <v>0</v>
      </c>
      <c r="H4" s="74"/>
    </row>
    <row r="5" spans="1:7" s="10" customFormat="1" ht="14.25">
      <c r="A5" s="15" t="s">
        <v>702</v>
      </c>
      <c r="B5" s="63">
        <v>13.77</v>
      </c>
      <c r="C5" s="64"/>
      <c r="D5" s="103">
        <f t="shared" si="0"/>
        <v>0</v>
      </c>
      <c r="E5" s="104">
        <f t="shared" si="1"/>
        <v>898.4925</v>
      </c>
      <c r="F5" s="85">
        <v>898</v>
      </c>
      <c r="G5" s="77">
        <f t="shared" si="2"/>
        <v>-0.49249999999995</v>
      </c>
    </row>
    <row r="6" spans="1:8" s="10" customFormat="1" ht="14.25">
      <c r="A6" s="11" t="s">
        <v>203</v>
      </c>
      <c r="B6" s="63">
        <v>20.32</v>
      </c>
      <c r="C6" s="64"/>
      <c r="D6" s="103">
        <f t="shared" si="0"/>
        <v>0</v>
      </c>
      <c r="E6" s="103">
        <f t="shared" si="1"/>
        <v>1325.88</v>
      </c>
      <c r="F6" s="85">
        <v>1326</v>
      </c>
      <c r="G6" s="14">
        <f t="shared" si="2"/>
        <v>0.11999999999989086</v>
      </c>
      <c r="H6" s="74"/>
    </row>
    <row r="7" spans="1:7" s="10" customFormat="1" ht="14.25">
      <c r="A7" s="15" t="s">
        <v>408</v>
      </c>
      <c r="B7" s="63">
        <v>15.95</v>
      </c>
      <c r="C7" s="64"/>
      <c r="D7" s="103">
        <f t="shared" si="0"/>
        <v>0</v>
      </c>
      <c r="E7" s="104">
        <f t="shared" si="1"/>
        <v>1040.7375</v>
      </c>
      <c r="F7" s="85">
        <v>1041</v>
      </c>
      <c r="G7" s="77">
        <f t="shared" si="2"/>
        <v>0.2625000000000455</v>
      </c>
    </row>
    <row r="8" spans="1:8" s="10" customFormat="1" ht="14.25">
      <c r="A8" s="11" t="s">
        <v>709</v>
      </c>
      <c r="B8" s="63">
        <v>45.64</v>
      </c>
      <c r="C8" s="64"/>
      <c r="D8" s="103">
        <f t="shared" si="0"/>
        <v>0</v>
      </c>
      <c r="E8" s="103">
        <f t="shared" si="1"/>
        <v>2978.01</v>
      </c>
      <c r="F8" s="79">
        <v>3000</v>
      </c>
      <c r="G8" s="14">
        <f t="shared" si="2"/>
        <v>21.98999999999978</v>
      </c>
      <c r="H8" s="74"/>
    </row>
    <row r="9" spans="1:8" s="10" customFormat="1" ht="14.25">
      <c r="A9" s="11" t="s">
        <v>223</v>
      </c>
      <c r="B9" s="63">
        <v>18</v>
      </c>
      <c r="C9" s="64"/>
      <c r="D9" s="103">
        <f t="shared" si="0"/>
        <v>0</v>
      </c>
      <c r="E9" s="103">
        <f t="shared" si="1"/>
        <v>1174.5</v>
      </c>
      <c r="F9" s="85">
        <v>1174</v>
      </c>
      <c r="G9" s="14">
        <f t="shared" si="2"/>
        <v>-0.5</v>
      </c>
      <c r="H9" s="74"/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 t="s">
        <v>416</v>
      </c>
      <c r="B14" s="27"/>
    </row>
    <row r="15" spans="1:2" ht="14.25">
      <c r="A15" s="71" t="s">
        <v>708</v>
      </c>
      <c r="B15" s="72" t="s">
        <v>710</v>
      </c>
    </row>
    <row r="16" ht="14.25">
      <c r="A16" s="72"/>
    </row>
    <row r="17" ht="14.25">
      <c r="A17" s="72"/>
    </row>
  </sheetData>
  <sheetProtection/>
  <hyperlinks>
    <hyperlink ref="B15" r:id="rId1" display="http://www.iherb.com/Shea-Moisture-Mommy-Stretch-Mark-Butter-Cream-6-oz-170-g/63804"/>
  </hyperlinks>
  <printOptions/>
  <pageMargins left="0.7" right="0.7" top="0.75" bottom="0.75" header="0.3" footer="0.3"/>
  <pageSetup orientation="portrait" paperSize="9"/>
</worksheet>
</file>

<file path=xl/worksheets/sheet1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42332</v>
      </c>
      <c r="C1" s="3" t="s">
        <v>1</v>
      </c>
      <c r="D1" s="4">
        <v>65.24</v>
      </c>
      <c r="E1" s="5" t="s">
        <v>2</v>
      </c>
    </row>
    <row r="2" s="5" customFormat="1" ht="14.25">
      <c r="A2" s="6" t="s">
        <v>707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431</v>
      </c>
      <c r="B4" s="63">
        <v>5.86</v>
      </c>
      <c r="C4" s="64"/>
      <c r="D4" s="103">
        <f>C4*1</f>
        <v>0</v>
      </c>
      <c r="E4" s="103">
        <f>(B4+D4)*$D$1</f>
        <v>382.3064</v>
      </c>
      <c r="F4" s="85">
        <v>383</v>
      </c>
      <c r="G4" s="14">
        <f>-E4+F4</f>
        <v>0.6936000000000035</v>
      </c>
      <c r="H4" s="74"/>
    </row>
    <row r="5" spans="1:7" s="10" customFormat="1" ht="14.25">
      <c r="A5" s="15" t="s">
        <v>711</v>
      </c>
      <c r="B5" s="63">
        <v>16.63</v>
      </c>
      <c r="C5" s="64"/>
      <c r="D5" s="103">
        <f>C5*1</f>
        <v>0</v>
      </c>
      <c r="E5" s="104">
        <f>(B5+D5)*$D$1</f>
        <v>1084.9411999999998</v>
      </c>
      <c r="F5" s="85">
        <v>1085</v>
      </c>
      <c r="G5" s="77">
        <f>-E5+F5</f>
        <v>0.058800000000246655</v>
      </c>
    </row>
    <row r="6" spans="1:8" s="10" customFormat="1" ht="14.25">
      <c r="A6" s="11" t="s">
        <v>712</v>
      </c>
      <c r="B6" s="63">
        <v>7.04</v>
      </c>
      <c r="C6" s="64"/>
      <c r="D6" s="103">
        <f>C6*1</f>
        <v>0</v>
      </c>
      <c r="E6" s="103">
        <f>(B6+D6)*$D$1</f>
        <v>459.28959999999995</v>
      </c>
      <c r="F6" s="79">
        <v>460</v>
      </c>
      <c r="G6" s="14">
        <f>-E6+F6</f>
        <v>0.7104000000000497</v>
      </c>
      <c r="H6" s="74"/>
    </row>
    <row r="7" spans="1:8" s="10" customFormat="1" ht="14.25">
      <c r="A7" s="11" t="s">
        <v>169</v>
      </c>
      <c r="B7" s="63">
        <v>40.72</v>
      </c>
      <c r="C7" s="64"/>
      <c r="D7" s="103">
        <f>C7*1</f>
        <v>0</v>
      </c>
      <c r="E7" s="103">
        <f>(B7+D7)*$D$1</f>
        <v>2656.5728</v>
      </c>
      <c r="F7" s="85">
        <v>2656</v>
      </c>
      <c r="G7" s="14">
        <f>-E7+F7</f>
        <v>-0.5727999999999156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42338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714</v>
      </c>
      <c r="B4" s="63">
        <v>20.27</v>
      </c>
      <c r="C4" s="64"/>
      <c r="D4" s="103">
        <f aca="true" t="shared" si="0" ref="D4:D10">C4*1</f>
        <v>0</v>
      </c>
      <c r="E4" s="103">
        <f aca="true" t="shared" si="1" ref="E4:E10">(B4+D4)*$D$1</f>
        <v>1322.6175</v>
      </c>
      <c r="F4" s="85">
        <v>1322</v>
      </c>
      <c r="G4" s="14">
        <f aca="true" t="shared" si="2" ref="G4:G10">-E4+F4</f>
        <v>-0.6175000000000637</v>
      </c>
      <c r="H4" s="74"/>
    </row>
    <row r="5" spans="1:7" s="10" customFormat="1" ht="14.25">
      <c r="A5" s="15" t="s">
        <v>715</v>
      </c>
      <c r="B5" s="63">
        <v>24.2</v>
      </c>
      <c r="C5" s="64"/>
      <c r="D5" s="103">
        <f t="shared" si="0"/>
        <v>0</v>
      </c>
      <c r="E5" s="104">
        <f t="shared" si="1"/>
        <v>1579.05</v>
      </c>
      <c r="F5" s="85">
        <v>1579</v>
      </c>
      <c r="G5" s="77">
        <f t="shared" si="2"/>
        <v>-0.049999999999954525</v>
      </c>
    </row>
    <row r="6" spans="1:8" s="10" customFormat="1" ht="14.25">
      <c r="A6" s="11" t="s">
        <v>229</v>
      </c>
      <c r="B6" s="63">
        <v>28.22</v>
      </c>
      <c r="C6" s="64"/>
      <c r="D6" s="103">
        <f t="shared" si="0"/>
        <v>0</v>
      </c>
      <c r="E6" s="103">
        <f t="shared" si="1"/>
        <v>1841.355</v>
      </c>
      <c r="F6" s="79">
        <v>1842</v>
      </c>
      <c r="G6" s="14">
        <f t="shared" si="2"/>
        <v>0.6449999999999818</v>
      </c>
      <c r="H6" s="74"/>
    </row>
    <row r="7" spans="1:8" s="10" customFormat="1" ht="14.25">
      <c r="A7" s="11" t="s">
        <v>625</v>
      </c>
      <c r="B7" s="63">
        <v>25.19</v>
      </c>
      <c r="C7" s="64"/>
      <c r="D7" s="103">
        <f t="shared" si="0"/>
        <v>0</v>
      </c>
      <c r="E7" s="103">
        <f t="shared" si="1"/>
        <v>1643.6475</v>
      </c>
      <c r="F7" s="85">
        <v>1644</v>
      </c>
      <c r="G7" s="14">
        <f t="shared" si="2"/>
        <v>0.3524999999999636</v>
      </c>
      <c r="H7" s="74"/>
    </row>
    <row r="8" spans="1:7" s="10" customFormat="1" ht="14.25">
      <c r="A8" s="15" t="s">
        <v>640</v>
      </c>
      <c r="B8" s="63">
        <v>36.84</v>
      </c>
      <c r="C8" s="64"/>
      <c r="D8" s="103">
        <f t="shared" si="0"/>
        <v>0</v>
      </c>
      <c r="E8" s="104">
        <f t="shared" si="1"/>
        <v>2403.8100000000004</v>
      </c>
      <c r="F8" s="85">
        <v>2403</v>
      </c>
      <c r="G8" s="77">
        <f t="shared" si="2"/>
        <v>-0.8100000000004002</v>
      </c>
    </row>
    <row r="9" spans="1:8" s="10" customFormat="1" ht="14.25">
      <c r="A9" s="11" t="s">
        <v>666</v>
      </c>
      <c r="B9" s="63">
        <v>10.47</v>
      </c>
      <c r="C9" s="64"/>
      <c r="D9" s="103">
        <f t="shared" si="0"/>
        <v>0</v>
      </c>
      <c r="E9" s="103">
        <f t="shared" si="1"/>
        <v>683.1675</v>
      </c>
      <c r="F9" s="79">
        <v>683</v>
      </c>
      <c r="G9" s="14">
        <f t="shared" si="2"/>
        <v>-0.1675000000000182</v>
      </c>
      <c r="H9" s="74"/>
    </row>
    <row r="10" spans="1:8" s="10" customFormat="1" ht="14.25">
      <c r="A10" s="11" t="s">
        <v>563</v>
      </c>
      <c r="B10" s="63">
        <v>6.79</v>
      </c>
      <c r="C10" s="64"/>
      <c r="D10" s="103">
        <f t="shared" si="0"/>
        <v>0</v>
      </c>
      <c r="E10" s="103">
        <f t="shared" si="1"/>
        <v>443.0475</v>
      </c>
      <c r="F10" s="85">
        <v>443</v>
      </c>
      <c r="G10" s="14">
        <f t="shared" si="2"/>
        <v>-0.04750000000001364</v>
      </c>
      <c r="H10" s="74"/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20.28125" style="0" customWidth="1"/>
    <col min="7" max="7" width="11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42338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455</v>
      </c>
      <c r="B4" s="63">
        <v>8</v>
      </c>
      <c r="C4" s="64"/>
      <c r="D4" s="103">
        <f aca="true" t="shared" si="0" ref="D4:D10">C4*1</f>
        <v>0</v>
      </c>
      <c r="E4" s="103">
        <f aca="true" t="shared" si="1" ref="E4:E10">(B4+D4)*$D$1</f>
        <v>522</v>
      </c>
      <c r="F4" s="85">
        <v>522</v>
      </c>
      <c r="G4" s="14">
        <f aca="true" t="shared" si="2" ref="G4:G10">-E4+F4</f>
        <v>0</v>
      </c>
      <c r="H4" s="74"/>
    </row>
    <row r="5" spans="1:7" s="10" customFormat="1" ht="18" customHeight="1">
      <c r="A5" s="15" t="s">
        <v>645</v>
      </c>
      <c r="B5" s="63">
        <v>10.7</v>
      </c>
      <c r="C5" s="64"/>
      <c r="D5" s="103">
        <f t="shared" si="0"/>
        <v>0</v>
      </c>
      <c r="E5" s="104">
        <f t="shared" si="1"/>
        <v>698.175</v>
      </c>
      <c r="F5" s="85">
        <v>698</v>
      </c>
      <c r="G5" s="77">
        <f t="shared" si="2"/>
        <v>-0.17499999999995453</v>
      </c>
    </row>
    <row r="6" spans="1:8" s="10" customFormat="1" ht="14.25">
      <c r="A6" s="11" t="s">
        <v>660</v>
      </c>
      <c r="B6" s="63">
        <v>41.67</v>
      </c>
      <c r="C6" s="64"/>
      <c r="D6" s="103">
        <f t="shared" si="0"/>
        <v>0</v>
      </c>
      <c r="E6" s="103">
        <f t="shared" si="1"/>
        <v>2718.9675</v>
      </c>
      <c r="F6" s="79">
        <v>2719</v>
      </c>
      <c r="G6" s="14">
        <f t="shared" si="2"/>
        <v>0.03249999999979991</v>
      </c>
      <c r="H6" s="74"/>
    </row>
    <row r="7" spans="1:8" s="10" customFormat="1" ht="14.25">
      <c r="A7" s="11" t="s">
        <v>480</v>
      </c>
      <c r="B7" s="63">
        <v>3.77</v>
      </c>
      <c r="C7" s="64"/>
      <c r="D7" s="103">
        <f t="shared" si="0"/>
        <v>0</v>
      </c>
      <c r="E7" s="103">
        <f t="shared" si="1"/>
        <v>245.9925</v>
      </c>
      <c r="F7" s="85">
        <v>246</v>
      </c>
      <c r="G7" s="14">
        <f t="shared" si="2"/>
        <v>0.007499999999993179</v>
      </c>
      <c r="H7" s="74"/>
    </row>
    <row r="8" spans="1:7" s="10" customFormat="1" ht="14.25">
      <c r="A8" s="15" t="s">
        <v>169</v>
      </c>
      <c r="B8" s="63">
        <v>6.58</v>
      </c>
      <c r="C8" s="64"/>
      <c r="D8" s="103">
        <f t="shared" si="0"/>
        <v>0</v>
      </c>
      <c r="E8" s="104">
        <f t="shared" si="1"/>
        <v>429.345</v>
      </c>
      <c r="F8" s="85">
        <v>430</v>
      </c>
      <c r="G8" s="77">
        <f t="shared" si="2"/>
        <v>0.6549999999999727</v>
      </c>
    </row>
    <row r="9" spans="1:8" s="10" customFormat="1" ht="14.25">
      <c r="A9" s="11" t="s">
        <v>218</v>
      </c>
      <c r="B9" s="63">
        <v>12.4</v>
      </c>
      <c r="C9" s="64"/>
      <c r="D9" s="103">
        <f t="shared" si="0"/>
        <v>0</v>
      </c>
      <c r="E9" s="103">
        <f t="shared" si="1"/>
        <v>809.1</v>
      </c>
      <c r="F9" s="79">
        <v>809</v>
      </c>
      <c r="G9" s="14">
        <f t="shared" si="2"/>
        <v>-0.10000000000002274</v>
      </c>
      <c r="H9" s="74"/>
    </row>
    <row r="10" spans="1:8" s="10" customFormat="1" ht="14.25">
      <c r="A10" s="11" t="s">
        <v>639</v>
      </c>
      <c r="B10" s="63">
        <v>74.49</v>
      </c>
      <c r="C10" s="64"/>
      <c r="D10" s="103">
        <f t="shared" si="0"/>
        <v>0</v>
      </c>
      <c r="E10" s="103">
        <f t="shared" si="1"/>
        <v>4860.4725</v>
      </c>
      <c r="F10" s="85">
        <v>4861</v>
      </c>
      <c r="G10" s="14">
        <f t="shared" si="2"/>
        <v>0.5275000000001455</v>
      </c>
      <c r="H10" s="74"/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6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506</v>
      </c>
      <c r="B4" s="63">
        <v>26.68</v>
      </c>
      <c r="C4" s="64"/>
      <c r="D4" s="103">
        <f>C4*1</f>
        <v>0</v>
      </c>
      <c r="E4" s="103">
        <f>(B4+D4)*$D$1</f>
        <v>1788.6272000000001</v>
      </c>
      <c r="F4" s="85">
        <v>1788</v>
      </c>
      <c r="G4" s="14">
        <f>-E4+F4</f>
        <v>-0.6272000000001299</v>
      </c>
      <c r="H4" s="74"/>
    </row>
    <row r="5" spans="1:7" s="10" customFormat="1" ht="14.25">
      <c r="A5" s="15" t="s">
        <v>721</v>
      </c>
      <c r="B5" s="63">
        <v>15.26</v>
      </c>
      <c r="C5" s="64"/>
      <c r="D5" s="103">
        <f>C5*1</f>
        <v>0</v>
      </c>
      <c r="E5" s="104">
        <f>(B5+D5)*$D$1</f>
        <v>1023.0304000000001</v>
      </c>
      <c r="F5" s="79">
        <v>1023</v>
      </c>
      <c r="G5" s="77">
        <f>-E5+F5</f>
        <v>-0.03040000000009968</v>
      </c>
    </row>
    <row r="6" spans="1:8" s="10" customFormat="1" ht="14.25">
      <c r="A6" s="11" t="s">
        <v>659</v>
      </c>
      <c r="B6" s="63">
        <v>13.29</v>
      </c>
      <c r="C6" s="64"/>
      <c r="D6" s="103">
        <f>C6*1</f>
        <v>0</v>
      </c>
      <c r="E6" s="103">
        <f>(B6+D6)*$D$1</f>
        <v>890.9616</v>
      </c>
      <c r="F6" s="79">
        <v>891</v>
      </c>
      <c r="G6" s="14">
        <f>-E6+F6</f>
        <v>0.03840000000002419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200</v>
      </c>
      <c r="B4" s="63">
        <v>36.13</v>
      </c>
      <c r="C4" s="64"/>
      <c r="D4" s="103">
        <f>C4*1</f>
        <v>0</v>
      </c>
      <c r="E4" s="103">
        <f>(B4+D4)*$D$1</f>
        <v>2422.1552000000006</v>
      </c>
      <c r="F4" s="85">
        <v>2423</v>
      </c>
      <c r="G4" s="14">
        <f>-E4+F4</f>
        <v>0.8447999999993954</v>
      </c>
      <c r="H4" s="74"/>
    </row>
    <row r="5" spans="1:7" s="10" customFormat="1" ht="14.25">
      <c r="A5" s="15" t="s">
        <v>722</v>
      </c>
      <c r="B5" s="63">
        <v>4.95</v>
      </c>
      <c r="C5" s="64"/>
      <c r="D5" s="103">
        <f>C5*1</f>
        <v>0</v>
      </c>
      <c r="E5" s="104">
        <f>(B5+D5)*$D$1</f>
        <v>331.84800000000007</v>
      </c>
      <c r="F5" s="79">
        <v>469</v>
      </c>
      <c r="G5" s="77">
        <f>-E5+F5</f>
        <v>137.15199999999993</v>
      </c>
    </row>
    <row r="6" spans="1:8" s="10" customFormat="1" ht="14.25">
      <c r="A6" s="11" t="s">
        <v>723</v>
      </c>
      <c r="B6" s="63">
        <v>16.76</v>
      </c>
      <c r="C6" s="64"/>
      <c r="D6" s="103">
        <f>C6*1</f>
        <v>0</v>
      </c>
      <c r="E6" s="103">
        <f>(B6+D6)*$D$1</f>
        <v>1123.5904000000003</v>
      </c>
      <c r="F6" s="79">
        <v>1124</v>
      </c>
      <c r="G6" s="14">
        <f>-E6+F6</f>
        <v>0.4095999999997275</v>
      </c>
      <c r="H6" s="74"/>
    </row>
    <row r="7" spans="1:8" s="10" customFormat="1" ht="14.25">
      <c r="A7" s="11" t="s">
        <v>640</v>
      </c>
      <c r="B7" s="63">
        <v>8.2</v>
      </c>
      <c r="C7" s="64"/>
      <c r="D7" s="103">
        <f>C7*1</f>
        <v>0</v>
      </c>
      <c r="E7" s="103">
        <f>(B7+D7)*$D$1</f>
        <v>549.728</v>
      </c>
      <c r="F7" s="85">
        <v>550</v>
      </c>
      <c r="G7" s="14">
        <f>-E7+F7</f>
        <v>0.2720000000000482</v>
      </c>
      <c r="H7" s="74"/>
    </row>
    <row r="8" spans="1:7" s="10" customFormat="1" ht="14.25">
      <c r="A8" s="15" t="s">
        <v>24</v>
      </c>
      <c r="B8" s="63">
        <v>5.59</v>
      </c>
      <c r="C8" s="64"/>
      <c r="D8" s="103">
        <f>C8*1</f>
        <v>0</v>
      </c>
      <c r="E8" s="104">
        <f>(B8+D8)*$D$1</f>
        <v>374.7536</v>
      </c>
      <c r="F8" s="85">
        <v>374</v>
      </c>
      <c r="G8" s="77">
        <f>-E8+F8</f>
        <v>-0.7536000000000058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416</v>
      </c>
      <c r="B13" s="27"/>
    </row>
    <row r="14" spans="1:2" ht="14.25">
      <c r="A14" s="71" t="s">
        <v>722</v>
      </c>
      <c r="B14" s="113" t="s">
        <v>724</v>
      </c>
    </row>
    <row r="15" spans="1:2" ht="14.25">
      <c r="A15" s="71" t="s">
        <v>640</v>
      </c>
      <c r="B15" s="113" t="s">
        <v>725</v>
      </c>
    </row>
    <row r="16" ht="14.25">
      <c r="A16" s="72"/>
    </row>
  </sheetData>
  <sheetProtection/>
  <hyperlinks>
    <hyperlink ref="B14" r:id="rId1" display="http://ru.iherb.com/MRM-CoQ-10-100-mg-60-Softgels/22808"/>
    <hyperlink ref="B15" r:id="rId2" display="http://ru.iherb.com/MRM-Flax-Oil-1000-mg-90-Softgels/41352"/>
  </hyperlinks>
  <printOptions/>
  <pageMargins left="0.7" right="0.7" top="0.75" bottom="0.75" header="0.3" footer="0.3"/>
  <pageSetup orientation="portrait" paperSize="9"/>
</worksheet>
</file>

<file path=xl/worksheets/sheet1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708</v>
      </c>
      <c r="B4" s="63">
        <v>18.7</v>
      </c>
      <c r="C4" s="64"/>
      <c r="D4" s="103">
        <f>C4*1</f>
        <v>0</v>
      </c>
      <c r="E4" s="103">
        <f>(B4+D4)*$D$1</f>
        <v>1253.6480000000001</v>
      </c>
      <c r="F4" s="85">
        <v>1253.65</v>
      </c>
      <c r="G4" s="14">
        <f>-E4+F4</f>
        <v>0.0019999999999527063</v>
      </c>
      <c r="H4" s="74"/>
    </row>
    <row r="5" spans="1:7" s="10" customFormat="1" ht="14.25">
      <c r="A5" s="15" t="s">
        <v>185</v>
      </c>
      <c r="B5" s="63">
        <v>53.1</v>
      </c>
      <c r="C5" s="64"/>
      <c r="D5" s="103">
        <f>C5*1</f>
        <v>0</v>
      </c>
      <c r="E5" s="104">
        <f>(B5+D5)*$D$1</f>
        <v>3559.8240000000005</v>
      </c>
      <c r="F5" s="79">
        <v>3569</v>
      </c>
      <c r="G5" s="77">
        <f>-E5+F5</f>
        <v>9.175999999999476</v>
      </c>
    </row>
    <row r="6" spans="1:8" s="10" customFormat="1" ht="14.25">
      <c r="A6" s="11" t="s">
        <v>400</v>
      </c>
      <c r="B6" s="63">
        <v>4.95</v>
      </c>
      <c r="C6" s="64"/>
      <c r="D6" s="103">
        <f>C6*1</f>
        <v>0</v>
      </c>
      <c r="E6" s="103">
        <f>(B6+D6)*$D$1</f>
        <v>331.84800000000007</v>
      </c>
      <c r="F6" s="79">
        <v>332</v>
      </c>
      <c r="G6" s="14">
        <f>-E6+F6</f>
        <v>0.15199999999992997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666</v>
      </c>
      <c r="B4" s="63">
        <v>59.15</v>
      </c>
      <c r="C4" s="64"/>
      <c r="D4" s="103">
        <f>C4*1</f>
        <v>0</v>
      </c>
      <c r="E4" s="103">
        <f>(B4+D4)*$D$1</f>
        <v>3965.416</v>
      </c>
      <c r="F4" s="85">
        <v>3965</v>
      </c>
      <c r="G4" s="14">
        <f>-E4+F4</f>
        <v>-0.41600000000016735</v>
      </c>
      <c r="H4" s="74"/>
    </row>
    <row r="5" spans="1:7" s="10" customFormat="1" ht="14.25">
      <c r="A5" s="15" t="s">
        <v>408</v>
      </c>
      <c r="B5" s="63">
        <v>17.63</v>
      </c>
      <c r="C5" s="64"/>
      <c r="D5" s="103">
        <f>C5*1</f>
        <v>0</v>
      </c>
      <c r="E5" s="104">
        <f>(B5+D5)*$D$1</f>
        <v>1181.9152000000001</v>
      </c>
      <c r="F5" s="85">
        <v>1182</v>
      </c>
      <c r="G5" s="77">
        <f>-E5+F5</f>
        <v>0.08479999999985921</v>
      </c>
    </row>
    <row r="6" spans="1:8" s="10" customFormat="1" ht="14.25">
      <c r="A6" s="11" t="s">
        <v>51</v>
      </c>
      <c r="B6" s="63">
        <v>31.1</v>
      </c>
      <c r="C6" s="64"/>
      <c r="D6" s="103">
        <f>C6*1</f>
        <v>0</v>
      </c>
      <c r="E6" s="103">
        <f>(B6+D6)*$D$1</f>
        <v>2084.9440000000004</v>
      </c>
      <c r="F6" s="79">
        <v>2085</v>
      </c>
      <c r="G6" s="14">
        <f>-E6+F6</f>
        <v>0.05599999999958527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28.5">
      <c r="A11" s="98" t="s">
        <v>416</v>
      </c>
      <c r="B11" s="27"/>
    </row>
    <row r="12" spans="1:2" ht="14.25">
      <c r="A12" s="71" t="s">
        <v>666</v>
      </c>
      <c r="B12" s="72" t="s">
        <v>726</v>
      </c>
    </row>
    <row r="13" ht="14.25">
      <c r="A13" s="72"/>
    </row>
    <row r="14" ht="14.25">
      <c r="A14" s="72"/>
    </row>
  </sheetData>
  <sheetProtection/>
  <hyperlinks>
    <hyperlink ref="B12" r:id="rId1" display="http://ru.iherb.com/Bluebonnet-Nutri...lb-450-g/12804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120</v>
      </c>
      <c r="B4" s="63">
        <v>22.29</v>
      </c>
      <c r="C4" s="64"/>
      <c r="D4" s="11"/>
      <c r="E4" s="11">
        <f>(B4+D4)*$D$1</f>
        <v>1410.2883</v>
      </c>
      <c r="F4" s="78">
        <f>1126+7</f>
        <v>1133</v>
      </c>
      <c r="G4" s="14">
        <f>-E4+F4</f>
        <v>-277.28829999999994</v>
      </c>
      <c r="H4" s="74"/>
    </row>
    <row r="5" spans="1:7" s="10" customFormat="1" ht="14.25">
      <c r="A5" s="15" t="s">
        <v>346</v>
      </c>
      <c r="B5" s="63">
        <v>13.85</v>
      </c>
      <c r="C5" s="64"/>
      <c r="D5" s="11"/>
      <c r="E5" s="76">
        <f>(B5+D5)*$D$1</f>
        <v>876.2895</v>
      </c>
      <c r="F5" s="79">
        <v>977</v>
      </c>
      <c r="G5" s="77">
        <f>-E5+F5</f>
        <v>100.71050000000002</v>
      </c>
    </row>
    <row r="6" spans="1:7" s="10" customFormat="1" ht="14.25">
      <c r="A6" s="15" t="s">
        <v>204</v>
      </c>
      <c r="B6" s="12">
        <v>37.58</v>
      </c>
      <c r="C6" s="12"/>
      <c r="D6" s="11"/>
      <c r="E6" s="11">
        <f>(B6+D6)*$D$1</f>
        <v>2377.6866</v>
      </c>
      <c r="F6" s="69">
        <f>2323+12</f>
        <v>2335</v>
      </c>
      <c r="G6" s="14">
        <f>-E6+F6</f>
        <v>-42.6866</v>
      </c>
    </row>
    <row r="7" spans="1:7" s="10" customFormat="1" ht="14.25">
      <c r="A7" s="11" t="s">
        <v>189</v>
      </c>
      <c r="B7" s="63">
        <v>17.46</v>
      </c>
      <c r="C7" s="64"/>
      <c r="D7" s="11"/>
      <c r="E7" s="11">
        <f>(B7+D7)*$D$1</f>
        <v>1104.6942000000001</v>
      </c>
      <c r="F7" s="67">
        <v>1072</v>
      </c>
      <c r="G7" s="14">
        <f>-E7+F7</f>
        <v>-32.69420000000014</v>
      </c>
    </row>
    <row r="8" spans="1:7" s="25" customFormat="1" ht="14.25">
      <c r="A8" s="24"/>
      <c r="B8" s="24"/>
      <c r="C8" s="24">
        <f>SUM(C4:C7)</f>
        <v>0</v>
      </c>
      <c r="D8" s="24">
        <v>0</v>
      </c>
      <c r="E8" s="24"/>
      <c r="F8" s="24"/>
      <c r="G8" s="24"/>
    </row>
    <row r="11" ht="30.75">
      <c r="A11" s="26"/>
    </row>
    <row r="12" ht="30.75">
      <c r="A12" s="26"/>
    </row>
    <row r="13" ht="14.2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42346</v>
      </c>
      <c r="C1" s="3" t="s">
        <v>1</v>
      </c>
      <c r="D1" s="4">
        <v>69.73</v>
      </c>
      <c r="E1" s="5" t="s">
        <v>2</v>
      </c>
    </row>
    <row r="2" s="5" customFormat="1" ht="14.25">
      <c r="A2" s="6" t="s">
        <v>727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61.56</v>
      </c>
      <c r="C4" s="64"/>
      <c r="D4" s="103">
        <f>C4*1</f>
        <v>0</v>
      </c>
      <c r="E4" s="103">
        <f>(B4+D4)*$D$1</f>
        <v>4292.5788</v>
      </c>
      <c r="F4" s="85">
        <v>4293</v>
      </c>
      <c r="G4" s="14">
        <f>-E4+F4</f>
        <v>0.42119999999977153</v>
      </c>
      <c r="H4" s="74"/>
    </row>
    <row r="5" spans="1:7" s="10" customFormat="1" ht="14.25">
      <c r="A5" s="15" t="s">
        <v>660</v>
      </c>
      <c r="B5" s="63">
        <v>42.4</v>
      </c>
      <c r="C5" s="64"/>
      <c r="D5" s="103">
        <f>C5*1</f>
        <v>0</v>
      </c>
      <c r="E5" s="104">
        <f>(B5+D5)*$D$1</f>
        <v>2956.552</v>
      </c>
      <c r="F5" s="85">
        <v>2957</v>
      </c>
      <c r="G5" s="77">
        <f>-E5+F5</f>
        <v>0.4479999999998654</v>
      </c>
    </row>
    <row r="6" spans="1:8" s="10" customFormat="1" ht="14.25">
      <c r="A6" s="11" t="s">
        <v>215</v>
      </c>
      <c r="B6" s="63">
        <v>5.78</v>
      </c>
      <c r="C6" s="64"/>
      <c r="D6" s="103">
        <f>C6*1</f>
        <v>0</v>
      </c>
      <c r="E6" s="103">
        <f>(B6+D6)*$D$1</f>
        <v>403.03940000000006</v>
      </c>
      <c r="F6" s="79">
        <v>403</v>
      </c>
      <c r="G6" s="14">
        <f>-E6+F6</f>
        <v>-0.03940000000005739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140625" style="0" customWidth="1"/>
    <col min="7" max="8" width="20.28125" style="0" customWidth="1"/>
  </cols>
  <sheetData>
    <row r="1" spans="1:5" s="5" customFormat="1" ht="21">
      <c r="A1" s="1" t="s">
        <v>0</v>
      </c>
      <c r="B1" s="2">
        <v>42346</v>
      </c>
      <c r="C1" s="3" t="s">
        <v>1</v>
      </c>
      <c r="D1" s="4">
        <v>69.73</v>
      </c>
      <c r="E1" s="5" t="s">
        <v>2</v>
      </c>
    </row>
    <row r="2" s="5" customFormat="1" ht="14.25">
      <c r="A2" s="6" t="s">
        <v>727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51</v>
      </c>
      <c r="B4" s="63">
        <v>12.36</v>
      </c>
      <c r="C4" s="64"/>
      <c r="D4" s="103">
        <f>C4*1</f>
        <v>0</v>
      </c>
      <c r="E4" s="103">
        <f>(B4+D4)*$D$1</f>
        <v>861.8628</v>
      </c>
      <c r="F4" s="85">
        <v>862</v>
      </c>
      <c r="G4" s="14">
        <f>-E4+F4</f>
        <v>0.1372000000000071</v>
      </c>
      <c r="H4" s="74"/>
    </row>
    <row r="5" spans="1:7" s="10" customFormat="1" ht="14.25">
      <c r="A5" s="15" t="s">
        <v>182</v>
      </c>
      <c r="B5" s="63">
        <v>28.75</v>
      </c>
      <c r="C5" s="64"/>
      <c r="D5" s="103">
        <f>C5*1</f>
        <v>0</v>
      </c>
      <c r="E5" s="104">
        <f>(B5+D5)*$D$1</f>
        <v>2004.7375000000002</v>
      </c>
      <c r="F5" s="85">
        <v>1980</v>
      </c>
      <c r="G5" s="77">
        <f>-E5+F5</f>
        <v>-24.737500000000182</v>
      </c>
    </row>
    <row r="6" spans="1:8" s="10" customFormat="1" ht="14.25">
      <c r="A6" s="11" t="s">
        <v>189</v>
      </c>
      <c r="B6" s="63">
        <v>5.39</v>
      </c>
      <c r="C6" s="64"/>
      <c r="D6" s="103">
        <f>C6*1</f>
        <v>0</v>
      </c>
      <c r="E6" s="103">
        <f>(B6+D6)*$D$1</f>
        <v>375.8447</v>
      </c>
      <c r="F6" s="79">
        <v>376</v>
      </c>
      <c r="G6" s="14">
        <f>-E6+F6</f>
        <v>0.1553000000000111</v>
      </c>
      <c r="H6" s="74"/>
    </row>
    <row r="7" spans="1:8" s="10" customFormat="1" ht="14.25">
      <c r="A7" s="11" t="s">
        <v>229</v>
      </c>
      <c r="B7" s="63">
        <v>32.4</v>
      </c>
      <c r="C7" s="64"/>
      <c r="D7" s="103">
        <f>C7*1</f>
        <v>0</v>
      </c>
      <c r="E7" s="103">
        <f>(B7+D7)*$D$1</f>
        <v>2259.252</v>
      </c>
      <c r="F7" s="85">
        <f>2000</f>
        <v>2000</v>
      </c>
      <c r="G7" s="14">
        <f>-E7+F7</f>
        <v>-259.25199999999995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728</v>
      </c>
    </row>
    <row r="12" spans="1:2" ht="28.5">
      <c r="A12" s="98" t="s">
        <v>416</v>
      </c>
      <c r="B12" s="27"/>
    </row>
    <row r="13" spans="1:2" ht="14.25">
      <c r="A13" s="71" t="s">
        <v>182</v>
      </c>
      <c r="B13" s="72" t="s">
        <v>729</v>
      </c>
    </row>
    <row r="14" ht="14.25">
      <c r="A14" s="72"/>
    </row>
    <row r="15" ht="14.25">
      <c r="A15" s="72"/>
    </row>
  </sheetData>
  <sheetProtection/>
  <hyperlinks>
    <hyperlink ref="B13" r:id="rId1" display="http://ru.iherb.com/Starwest-Botanicals-Flower-Waters-Roman-Chamomile-4-fl-oz-118-ml/22495"/>
  </hyperlinks>
  <printOptions/>
  <pageMargins left="0.7" right="0.7" top="0.75" bottom="0.75" header="0.3" footer="0.3"/>
  <pageSetup orientation="portrait" paperSize="9"/>
</worksheet>
</file>

<file path=xl/worksheets/sheet1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2.57421875" style="0" customWidth="1"/>
    <col min="5" max="5" width="11.57421875" style="0" customWidth="1"/>
    <col min="6" max="6" width="12.28125" style="0" customWidth="1"/>
    <col min="7" max="7" width="7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42351</v>
      </c>
      <c r="C1" s="3" t="s">
        <v>1</v>
      </c>
      <c r="D1" s="4">
        <v>70.7</v>
      </c>
      <c r="E1" s="5" t="s">
        <v>2</v>
      </c>
    </row>
    <row r="2" s="5" customFormat="1" ht="14.25">
      <c r="A2" s="6" t="s">
        <v>730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254</v>
      </c>
      <c r="B4" s="63">
        <v>8.64</v>
      </c>
      <c r="C4" s="64"/>
      <c r="D4" s="103">
        <f aca="true" t="shared" si="0" ref="D4:D10">C4*1</f>
        <v>0</v>
      </c>
      <c r="E4" s="103">
        <f aca="true" t="shared" si="1" ref="E4:E10">(B4+D4)*$D$1</f>
        <v>610.8480000000001</v>
      </c>
      <c r="F4" s="85">
        <v>606</v>
      </c>
      <c r="G4" s="14">
        <f aca="true" t="shared" si="2" ref="G4:G10">-E4+F4</f>
        <v>-4.84800000000007</v>
      </c>
      <c r="H4" s="74"/>
    </row>
    <row r="5" spans="1:7" s="10" customFormat="1" ht="14.25">
      <c r="A5" s="15" t="s">
        <v>731</v>
      </c>
      <c r="B5" s="63">
        <v>6.96</v>
      </c>
      <c r="C5" s="64"/>
      <c r="D5" s="103">
        <f t="shared" si="0"/>
        <v>0</v>
      </c>
      <c r="E5" s="104">
        <f t="shared" si="1"/>
        <v>492.072</v>
      </c>
      <c r="F5" s="85">
        <v>492</v>
      </c>
      <c r="G5" s="77">
        <f t="shared" si="2"/>
        <v>-0.07200000000000273</v>
      </c>
    </row>
    <row r="6" spans="1:8" s="10" customFormat="1" ht="14.25">
      <c r="A6" s="11" t="s">
        <v>622</v>
      </c>
      <c r="B6" s="63">
        <v>48.68</v>
      </c>
      <c r="C6" s="64"/>
      <c r="D6" s="103">
        <f t="shared" si="0"/>
        <v>0</v>
      </c>
      <c r="E6" s="103">
        <f t="shared" si="1"/>
        <v>3441.676</v>
      </c>
      <c r="F6" s="79">
        <f>3450+20</f>
        <v>3470</v>
      </c>
      <c r="G6" s="14">
        <f t="shared" si="2"/>
        <v>28.32400000000007</v>
      </c>
      <c r="H6" s="74"/>
    </row>
    <row r="7" spans="1:7" s="10" customFormat="1" ht="14.25">
      <c r="A7" s="15" t="s">
        <v>496</v>
      </c>
      <c r="B7" s="63">
        <v>12.54</v>
      </c>
      <c r="C7" s="64"/>
      <c r="D7" s="103">
        <f>C7*1</f>
        <v>0</v>
      </c>
      <c r="E7" s="104">
        <f>(B7+D7)*$D$1</f>
        <v>886.578</v>
      </c>
      <c r="F7" s="85">
        <v>887</v>
      </c>
      <c r="G7" s="77">
        <f>-E7+F7</f>
        <v>0.42200000000002547</v>
      </c>
    </row>
    <row r="8" spans="1:8" s="10" customFormat="1" ht="14.25">
      <c r="A8" s="11" t="s">
        <v>200</v>
      </c>
      <c r="B8" s="63">
        <v>26.87</v>
      </c>
      <c r="C8" s="64"/>
      <c r="D8" s="103">
        <f>C8*1</f>
        <v>0</v>
      </c>
      <c r="E8" s="103">
        <f>(B8+D8)*$D$1</f>
        <v>1899.709</v>
      </c>
      <c r="F8" s="79">
        <v>1900</v>
      </c>
      <c r="G8" s="14">
        <f>-E8+F8</f>
        <v>0.29099999999994</v>
      </c>
      <c r="H8" s="74"/>
    </row>
    <row r="9" spans="1:8" s="10" customFormat="1" ht="14.25">
      <c r="A9" s="11" t="s">
        <v>732</v>
      </c>
      <c r="B9" s="63">
        <v>25.27</v>
      </c>
      <c r="C9" s="64"/>
      <c r="D9" s="103">
        <f t="shared" si="0"/>
        <v>0</v>
      </c>
      <c r="E9" s="103">
        <f t="shared" si="1"/>
        <v>1786.589</v>
      </c>
      <c r="F9" s="85">
        <v>1787</v>
      </c>
      <c r="G9" s="14">
        <f t="shared" si="2"/>
        <v>0.4110000000000582</v>
      </c>
      <c r="H9" s="74"/>
    </row>
    <row r="10" spans="1:7" s="10" customFormat="1" ht="14.25">
      <c r="A10" s="15" t="s">
        <v>169</v>
      </c>
      <c r="B10" s="63">
        <v>19.27</v>
      </c>
      <c r="C10" s="64"/>
      <c r="D10" s="103">
        <f t="shared" si="0"/>
        <v>0</v>
      </c>
      <c r="E10" s="104">
        <f t="shared" si="1"/>
        <v>1362.3890000000001</v>
      </c>
      <c r="F10" s="85">
        <v>1362</v>
      </c>
      <c r="G10" s="77">
        <f t="shared" si="2"/>
        <v>-0.3890000000001237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16.57421875" style="0" customWidth="1"/>
    <col min="2" max="2" width="15.421875" style="0" customWidth="1"/>
    <col min="3" max="3" width="9.28125" style="0" customWidth="1"/>
    <col min="4" max="4" width="14.28125" style="0" customWidth="1"/>
    <col min="5" max="5" width="11.57421875" style="0" customWidth="1"/>
    <col min="6" max="6" width="11.421875" style="0" customWidth="1"/>
    <col min="7" max="7" width="6.8515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42351</v>
      </c>
      <c r="C1" s="3" t="s">
        <v>1</v>
      </c>
      <c r="D1" s="4">
        <v>70.7</v>
      </c>
      <c r="E1" s="5" t="s">
        <v>2</v>
      </c>
    </row>
    <row r="2" s="5" customFormat="1" ht="14.25">
      <c r="A2" s="6" t="s">
        <v>730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301</v>
      </c>
      <c r="B4" s="63">
        <v>8.07</v>
      </c>
      <c r="C4" s="64"/>
      <c r="D4" s="103">
        <f aca="true" t="shared" si="0" ref="D4:D13">C4*1</f>
        <v>0</v>
      </c>
      <c r="E4" s="103">
        <f aca="true" t="shared" si="1" ref="E4:E13">(B4+D4)*$D$1</f>
        <v>570.5490000000001</v>
      </c>
      <c r="F4" s="85">
        <v>570</v>
      </c>
      <c r="G4" s="14">
        <f aca="true" t="shared" si="2" ref="G4:G13">-E4+F4</f>
        <v>-0.5490000000000919</v>
      </c>
      <c r="H4" s="74"/>
    </row>
    <row r="5" spans="1:7" s="10" customFormat="1" ht="14.25">
      <c r="A5" s="15" t="s">
        <v>408</v>
      </c>
      <c r="B5" s="63">
        <v>7.84</v>
      </c>
      <c r="C5" s="64"/>
      <c r="D5" s="103">
        <f t="shared" si="0"/>
        <v>0</v>
      </c>
      <c r="E5" s="104">
        <f t="shared" si="1"/>
        <v>554.288</v>
      </c>
      <c r="F5" s="85">
        <v>554</v>
      </c>
      <c r="G5" s="77">
        <f t="shared" si="2"/>
        <v>-0.2880000000000109</v>
      </c>
    </row>
    <row r="6" spans="1:8" s="10" customFormat="1" ht="14.25">
      <c r="A6" s="11" t="s">
        <v>180</v>
      </c>
      <c r="B6" s="63">
        <v>27.19</v>
      </c>
      <c r="C6" s="64"/>
      <c r="D6" s="103">
        <f t="shared" si="0"/>
        <v>0</v>
      </c>
      <c r="E6" s="103">
        <f t="shared" si="1"/>
        <v>1922.333</v>
      </c>
      <c r="F6" s="79">
        <v>1923</v>
      </c>
      <c r="G6" s="14">
        <f t="shared" si="2"/>
        <v>0.6669999999999163</v>
      </c>
      <c r="H6" s="74"/>
    </row>
    <row r="7" spans="1:7" s="10" customFormat="1" ht="14.25">
      <c r="A7" s="15" t="s">
        <v>640</v>
      </c>
      <c r="B7" s="63">
        <v>17.2</v>
      </c>
      <c r="C7" s="64"/>
      <c r="D7" s="103">
        <f t="shared" si="0"/>
        <v>0</v>
      </c>
      <c r="E7" s="104">
        <f t="shared" si="1"/>
        <v>1216.04</v>
      </c>
      <c r="F7" s="85">
        <v>1216</v>
      </c>
      <c r="G7" s="77">
        <f t="shared" si="2"/>
        <v>-0.03999999999996362</v>
      </c>
    </row>
    <row r="8" spans="1:8" s="10" customFormat="1" ht="14.25">
      <c r="A8" s="11" t="s">
        <v>377</v>
      </c>
      <c r="B8" s="63">
        <v>6.36</v>
      </c>
      <c r="C8" s="64"/>
      <c r="D8" s="103">
        <f t="shared" si="0"/>
        <v>0</v>
      </c>
      <c r="E8" s="103">
        <f t="shared" si="1"/>
        <v>449.65200000000004</v>
      </c>
      <c r="F8" s="79">
        <v>454</v>
      </c>
      <c r="G8" s="14">
        <f t="shared" si="2"/>
        <v>4.347999999999956</v>
      </c>
      <c r="H8" s="74"/>
    </row>
    <row r="9" spans="1:8" s="10" customFormat="1" ht="14.25">
      <c r="A9" s="11" t="s">
        <v>34</v>
      </c>
      <c r="B9" s="63">
        <v>8.05</v>
      </c>
      <c r="C9" s="64"/>
      <c r="D9" s="103">
        <f t="shared" si="0"/>
        <v>0</v>
      </c>
      <c r="E9" s="103">
        <f t="shared" si="1"/>
        <v>569.1350000000001</v>
      </c>
      <c r="F9" s="85">
        <v>570</v>
      </c>
      <c r="G9" s="14">
        <f t="shared" si="2"/>
        <v>0.8649999999998954</v>
      </c>
      <c r="H9" s="74"/>
    </row>
    <row r="10" spans="1:7" s="10" customFormat="1" ht="14.25">
      <c r="A10" s="15" t="s">
        <v>168</v>
      </c>
      <c r="B10" s="63">
        <v>15.080000000000002</v>
      </c>
      <c r="C10" s="64"/>
      <c r="D10" s="103">
        <f t="shared" si="0"/>
        <v>0</v>
      </c>
      <c r="E10" s="104">
        <f t="shared" si="1"/>
        <v>1066.1560000000002</v>
      </c>
      <c r="F10" s="85">
        <v>1066</v>
      </c>
      <c r="G10" s="77">
        <f t="shared" si="2"/>
        <v>-0.15600000000017644</v>
      </c>
    </row>
    <row r="11" spans="1:8" s="10" customFormat="1" ht="14.25">
      <c r="A11" s="11" t="s">
        <v>479</v>
      </c>
      <c r="B11" s="63">
        <v>5.86</v>
      </c>
      <c r="C11" s="64"/>
      <c r="D11" s="103">
        <f t="shared" si="0"/>
        <v>0</v>
      </c>
      <c r="E11" s="103">
        <f t="shared" si="1"/>
        <v>414.302</v>
      </c>
      <c r="F11" s="79">
        <v>414</v>
      </c>
      <c r="G11" s="14">
        <f t="shared" si="2"/>
        <v>-0.3020000000000209</v>
      </c>
      <c r="H11" s="74"/>
    </row>
    <row r="12" spans="1:8" s="10" customFormat="1" ht="14.25">
      <c r="A12" s="11" t="s">
        <v>415</v>
      </c>
      <c r="B12" s="63">
        <v>11.31</v>
      </c>
      <c r="C12" s="64"/>
      <c r="D12" s="103">
        <f>C12*1</f>
        <v>0</v>
      </c>
      <c r="E12" s="103">
        <f>(B12+D12)*$D$1</f>
        <v>799.6170000000001</v>
      </c>
      <c r="F12" s="79">
        <v>800</v>
      </c>
      <c r="G12" s="14">
        <f>-E12+F12</f>
        <v>0.3829999999999245</v>
      </c>
      <c r="H12" s="74"/>
    </row>
    <row r="13" spans="1:8" s="10" customFormat="1" ht="14.25">
      <c r="A13" s="11" t="s">
        <v>194</v>
      </c>
      <c r="B13" s="63">
        <v>9.98</v>
      </c>
      <c r="C13" s="64"/>
      <c r="D13" s="103">
        <f t="shared" si="0"/>
        <v>0</v>
      </c>
      <c r="E13" s="103">
        <f t="shared" si="1"/>
        <v>705.586</v>
      </c>
      <c r="F13" s="85">
        <v>722</v>
      </c>
      <c r="G13" s="14">
        <f t="shared" si="2"/>
        <v>16.413999999999987</v>
      </c>
      <c r="H13" s="74"/>
    </row>
    <row r="14" spans="1:7" s="25" customFormat="1" ht="14.25">
      <c r="A14" s="24"/>
      <c r="B14" s="24"/>
      <c r="C14" s="24">
        <f>SUM(C4:C13)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spans="1:2" ht="14.25">
      <c r="A18" s="72"/>
      <c r="B18" s="27"/>
    </row>
    <row r="19" spans="1:2" ht="14.25">
      <c r="A19" s="72"/>
      <c r="B19" s="72"/>
    </row>
    <row r="20" ht="14.25">
      <c r="A20" s="72"/>
    </row>
    <row r="21" ht="14.25">
      <c r="A21" s="72"/>
    </row>
  </sheetData>
  <sheetProtection/>
  <printOptions/>
  <pageMargins left="0.7" right="0.7" top="0.75" bottom="0.75" header="0.3" footer="0.3"/>
  <pageSetup orientation="portrait" paperSize="9"/>
</worksheet>
</file>

<file path=xl/worksheets/sheet1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42358</v>
      </c>
      <c r="C1" s="3" t="s">
        <v>1</v>
      </c>
      <c r="D1" s="4">
        <v>70.41</v>
      </c>
      <c r="E1" s="5" t="s">
        <v>2</v>
      </c>
    </row>
    <row r="2" s="5" customFormat="1" ht="14.25">
      <c r="A2" s="6" t="s">
        <v>737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479</v>
      </c>
      <c r="B4" s="63">
        <v>11.72</v>
      </c>
      <c r="C4" s="64"/>
      <c r="D4" s="103">
        <f aca="true" t="shared" si="0" ref="D4:D13">C4*1</f>
        <v>0</v>
      </c>
      <c r="E4" s="114">
        <f>(B4+D4)*$D$1</f>
        <v>825.2052</v>
      </c>
      <c r="F4" s="85">
        <v>825</v>
      </c>
      <c r="G4" s="14">
        <f>-E4+F4</f>
        <v>-0.20519999999999072</v>
      </c>
      <c r="H4" s="74"/>
    </row>
    <row r="5" spans="1:7" s="10" customFormat="1" ht="14.25">
      <c r="A5" s="15" t="s">
        <v>431</v>
      </c>
      <c r="B5" s="63">
        <v>11.84</v>
      </c>
      <c r="C5" s="64"/>
      <c r="D5" s="103">
        <f t="shared" si="0"/>
        <v>0</v>
      </c>
      <c r="E5" s="115">
        <f aca="true" t="shared" si="1" ref="E5:E13">(B5+D5)*$D$1</f>
        <v>833.6543999999999</v>
      </c>
      <c r="F5" s="85">
        <v>834</v>
      </c>
      <c r="G5" s="77">
        <f aca="true" t="shared" si="2" ref="G5:G13">-E5+F5</f>
        <v>0.34560000000010405</v>
      </c>
    </row>
    <row r="6" spans="1:8" s="10" customFormat="1" ht="14.25">
      <c r="A6" s="11" t="s">
        <v>738</v>
      </c>
      <c r="B6" s="63">
        <v>13.6</v>
      </c>
      <c r="C6" s="64"/>
      <c r="D6" s="103">
        <f t="shared" si="0"/>
        <v>0</v>
      </c>
      <c r="E6" s="114">
        <f t="shared" si="1"/>
        <v>957.5759999999999</v>
      </c>
      <c r="F6" s="116">
        <v>958</v>
      </c>
      <c r="G6" s="14">
        <f t="shared" si="2"/>
        <v>0.42400000000009186</v>
      </c>
      <c r="H6" s="74"/>
    </row>
    <row r="7" spans="1:7" s="10" customFormat="1" ht="14.25">
      <c r="A7" s="15" t="s">
        <v>382</v>
      </c>
      <c r="B7" s="63">
        <v>7.5</v>
      </c>
      <c r="C7" s="64"/>
      <c r="D7" s="103">
        <f t="shared" si="0"/>
        <v>0</v>
      </c>
      <c r="E7" s="115">
        <f t="shared" si="1"/>
        <v>528.0749999999999</v>
      </c>
      <c r="F7" s="117">
        <v>528</v>
      </c>
      <c r="G7" s="77">
        <f t="shared" si="2"/>
        <v>-0.07499999999993179</v>
      </c>
    </row>
    <row r="8" spans="1:8" s="10" customFormat="1" ht="14.25">
      <c r="A8" s="11" t="s">
        <v>739</v>
      </c>
      <c r="B8" s="63">
        <v>6.24</v>
      </c>
      <c r="C8" s="64"/>
      <c r="D8" s="103">
        <f t="shared" si="0"/>
        <v>0</v>
      </c>
      <c r="E8" s="114">
        <f t="shared" si="1"/>
        <v>439.3584</v>
      </c>
      <c r="F8" s="79">
        <v>440</v>
      </c>
      <c r="G8" s="14">
        <f t="shared" si="2"/>
        <v>0.6415999999999826</v>
      </c>
      <c r="H8" s="74"/>
    </row>
    <row r="9" spans="1:8" s="10" customFormat="1" ht="14.25">
      <c r="A9" s="11" t="s">
        <v>228</v>
      </c>
      <c r="B9" s="63">
        <v>7.14</v>
      </c>
      <c r="C9" s="64"/>
      <c r="D9" s="103">
        <f t="shared" si="0"/>
        <v>0</v>
      </c>
      <c r="E9" s="114">
        <f t="shared" si="1"/>
        <v>502.72739999999993</v>
      </c>
      <c r="F9" s="85">
        <v>503</v>
      </c>
      <c r="G9" s="14">
        <f t="shared" si="2"/>
        <v>0.2726000000000681</v>
      </c>
      <c r="H9" s="74"/>
    </row>
    <row r="10" spans="1:7" s="10" customFormat="1" ht="14.25">
      <c r="A10" s="15" t="s">
        <v>130</v>
      </c>
      <c r="B10" s="63">
        <v>5.99</v>
      </c>
      <c r="C10" s="64"/>
      <c r="D10" s="103">
        <f t="shared" si="0"/>
        <v>0</v>
      </c>
      <c r="E10" s="115">
        <f t="shared" si="1"/>
        <v>421.7559</v>
      </c>
      <c r="F10" s="85">
        <v>422</v>
      </c>
      <c r="G10" s="77">
        <f t="shared" si="2"/>
        <v>0.2441000000000031</v>
      </c>
    </row>
    <row r="11" spans="1:8" s="10" customFormat="1" ht="14.25">
      <c r="A11" s="11" t="s">
        <v>682</v>
      </c>
      <c r="B11" s="63">
        <v>19.72</v>
      </c>
      <c r="C11" s="64"/>
      <c r="D11" s="103">
        <f t="shared" si="0"/>
        <v>0</v>
      </c>
      <c r="E11" s="114">
        <f t="shared" si="1"/>
        <v>1388.4851999999998</v>
      </c>
      <c r="F11" s="117">
        <v>1388</v>
      </c>
      <c r="G11" s="14">
        <f t="shared" si="2"/>
        <v>-0.48519999999984975</v>
      </c>
      <c r="H11" s="74"/>
    </row>
    <row r="12" spans="1:8" s="10" customFormat="1" ht="14.25">
      <c r="A12" s="11" t="s">
        <v>740</v>
      </c>
      <c r="B12" s="63">
        <v>22.43</v>
      </c>
      <c r="C12" s="64"/>
      <c r="D12" s="103">
        <f>C12*1</f>
        <v>0</v>
      </c>
      <c r="E12" s="114">
        <f>(B12+D12)*$D$1</f>
        <v>1579.2963</v>
      </c>
      <c r="F12" s="116">
        <v>1579</v>
      </c>
      <c r="G12" s="14">
        <f>-E12+F12</f>
        <v>-0.2962999999999738</v>
      </c>
      <c r="H12" s="74"/>
    </row>
    <row r="13" spans="1:8" s="10" customFormat="1" ht="14.25">
      <c r="A13" s="11" t="s">
        <v>169</v>
      </c>
      <c r="B13" s="63">
        <v>11.07</v>
      </c>
      <c r="C13" s="64"/>
      <c r="D13" s="103">
        <f t="shared" si="0"/>
        <v>0</v>
      </c>
      <c r="E13" s="114">
        <f t="shared" si="1"/>
        <v>779.4386999999999</v>
      </c>
      <c r="F13" s="118">
        <v>780</v>
      </c>
      <c r="G13" s="14">
        <f t="shared" si="2"/>
        <v>0.5613000000000739</v>
      </c>
      <c r="H13" s="74"/>
    </row>
    <row r="14" spans="1:7" s="25" customFormat="1" ht="14.25">
      <c r="A14" s="24"/>
      <c r="B14" s="24"/>
      <c r="C14" s="24">
        <f>SUM(C4:C13)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spans="1:2" ht="14.25">
      <c r="A18" s="72"/>
      <c r="B18" s="27"/>
    </row>
    <row r="19" spans="1:2" ht="14.25">
      <c r="A19" s="72"/>
      <c r="B19" s="72"/>
    </row>
    <row r="20" ht="14.25">
      <c r="A20" s="72"/>
    </row>
    <row r="21" ht="14.25">
      <c r="A21" s="72"/>
    </row>
  </sheetData>
  <sheetProtection/>
  <printOptions/>
  <pageMargins left="0.7" right="0.7" top="0.75" bottom="0.75" header="0.3" footer="0.3"/>
  <pageSetup orientation="portrait" paperSize="9"/>
</worksheet>
</file>

<file path=xl/worksheets/sheet1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42361</v>
      </c>
      <c r="C1" s="3" t="s">
        <v>1</v>
      </c>
      <c r="D1" s="4">
        <v>71.55</v>
      </c>
      <c r="E1" s="5" t="s">
        <v>2</v>
      </c>
    </row>
    <row r="2" s="5" customFormat="1" ht="14.25">
      <c r="A2" s="6" t="s">
        <v>743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24</v>
      </c>
      <c r="B4" s="63">
        <v>3.79</v>
      </c>
      <c r="C4" s="64"/>
      <c r="D4" s="103">
        <f aca="true" t="shared" si="0" ref="D4:D9">C4*1</f>
        <v>0</v>
      </c>
      <c r="E4" s="114">
        <f aca="true" t="shared" si="1" ref="E4:E9">(B4+D4)*$D$1</f>
        <v>271.17449999999997</v>
      </c>
      <c r="F4" s="85">
        <v>272</v>
      </c>
      <c r="G4" s="14">
        <f aca="true" t="shared" si="2" ref="G4:G9">-E4+F4</f>
        <v>0.8255000000000337</v>
      </c>
      <c r="H4" s="74"/>
    </row>
    <row r="5" spans="1:7" s="10" customFormat="1" ht="14.25">
      <c r="A5" s="15" t="s">
        <v>408</v>
      </c>
      <c r="B5" s="63">
        <v>14.08</v>
      </c>
      <c r="C5" s="64"/>
      <c r="D5" s="103">
        <f t="shared" si="0"/>
        <v>0</v>
      </c>
      <c r="E5" s="115">
        <f t="shared" si="1"/>
        <v>1007.424</v>
      </c>
      <c r="F5" s="85">
        <v>1007</v>
      </c>
      <c r="G5" s="77">
        <f t="shared" si="2"/>
        <v>-0.42399999999997817</v>
      </c>
    </row>
    <row r="6" spans="1:7" s="10" customFormat="1" ht="14.25">
      <c r="A6" s="15" t="s">
        <v>651</v>
      </c>
      <c r="B6" s="63">
        <v>17.62</v>
      </c>
      <c r="C6" s="64"/>
      <c r="D6" s="103">
        <f>C6*1</f>
        <v>0</v>
      </c>
      <c r="E6" s="115">
        <f t="shared" si="1"/>
        <v>1260.711</v>
      </c>
      <c r="F6" s="85">
        <v>1261</v>
      </c>
      <c r="G6" s="77">
        <f t="shared" si="2"/>
        <v>0.28899999999998727</v>
      </c>
    </row>
    <row r="7" spans="1:8" s="10" customFormat="1" ht="14.25">
      <c r="A7" s="11" t="s">
        <v>383</v>
      </c>
      <c r="B7" s="63">
        <v>27.25</v>
      </c>
      <c r="C7" s="64"/>
      <c r="D7" s="103">
        <f t="shared" si="0"/>
        <v>0</v>
      </c>
      <c r="E7" s="114">
        <f t="shared" si="1"/>
        <v>1949.7375</v>
      </c>
      <c r="F7" s="85">
        <v>1949</v>
      </c>
      <c r="G7" s="14">
        <f t="shared" si="2"/>
        <v>-0.7374999999999545</v>
      </c>
      <c r="H7" s="74"/>
    </row>
    <row r="8" spans="1:7" s="10" customFormat="1" ht="14.25">
      <c r="A8" s="15" t="s">
        <v>640</v>
      </c>
      <c r="B8" s="63">
        <v>47.74</v>
      </c>
      <c r="C8" s="64"/>
      <c r="D8" s="103">
        <f t="shared" si="0"/>
        <v>0</v>
      </c>
      <c r="E8" s="115">
        <f t="shared" si="1"/>
        <v>3415.797</v>
      </c>
      <c r="F8" s="79">
        <v>3416</v>
      </c>
      <c r="G8" s="77">
        <f t="shared" si="2"/>
        <v>0.20299999999997453</v>
      </c>
    </row>
    <row r="9" spans="1:8" s="10" customFormat="1" ht="14.25">
      <c r="A9" s="11" t="s">
        <v>149</v>
      </c>
      <c r="B9" s="63">
        <v>12.14</v>
      </c>
      <c r="C9" s="64"/>
      <c r="D9" s="103">
        <f t="shared" si="0"/>
        <v>0</v>
      </c>
      <c r="E9" s="114">
        <f t="shared" si="1"/>
        <v>868.617</v>
      </c>
      <c r="F9" s="79">
        <v>929</v>
      </c>
      <c r="G9" s="14">
        <f t="shared" si="2"/>
        <v>60.38300000000004</v>
      </c>
      <c r="H9" s="74"/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42361</v>
      </c>
      <c r="C1" s="3" t="s">
        <v>1</v>
      </c>
      <c r="D1" s="4">
        <v>71.55</v>
      </c>
      <c r="E1" s="5" t="s">
        <v>2</v>
      </c>
    </row>
    <row r="2" s="5" customFormat="1" ht="14.25">
      <c r="A2" s="6" t="s">
        <v>743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536</v>
      </c>
      <c r="B4" s="63">
        <v>19.43</v>
      </c>
      <c r="C4" s="64"/>
      <c r="D4" s="103">
        <f>C4*1</f>
        <v>0</v>
      </c>
      <c r="E4" s="114">
        <f>(B4+D4)*$D$1</f>
        <v>1390.2165</v>
      </c>
      <c r="F4" s="85">
        <f>890+500</f>
        <v>1390</v>
      </c>
      <c r="G4" s="14">
        <f>-E4+F4</f>
        <v>-0.21649999999999636</v>
      </c>
      <c r="H4" s="74"/>
    </row>
    <row r="5" spans="1:7" s="10" customFormat="1" ht="14.25">
      <c r="A5" s="15" t="s">
        <v>410</v>
      </c>
      <c r="B5" s="63">
        <v>82.6</v>
      </c>
      <c r="C5" s="64"/>
      <c r="D5" s="103">
        <f>C5*1</f>
        <v>0</v>
      </c>
      <c r="E5" s="115">
        <f>(B5+D5)*$D$1</f>
        <v>5910.03</v>
      </c>
      <c r="F5" s="85">
        <v>6000</v>
      </c>
      <c r="G5" s="77">
        <f>-E5+F5</f>
        <v>89.97000000000025</v>
      </c>
    </row>
    <row r="6" spans="1:8" s="10" customFormat="1" ht="14.25">
      <c r="A6" s="11" t="s">
        <v>497</v>
      </c>
      <c r="B6" s="63">
        <v>20.43</v>
      </c>
      <c r="C6" s="64"/>
      <c r="D6" s="103">
        <f>C6*1</f>
        <v>0</v>
      </c>
      <c r="E6" s="114">
        <f>(B6+D6)*$D$1</f>
        <v>1461.7665</v>
      </c>
      <c r="F6" s="116">
        <v>1461</v>
      </c>
      <c r="G6" s="14">
        <f>-E6+F6</f>
        <v>-0.7664999999999509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="90" zoomScaleNormal="90" zoomScalePageLayoutView="0" workbookViewId="0" topLeftCell="A1">
      <selection activeCell="F4" sqref="F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42368</v>
      </c>
      <c r="C1" s="3" t="s">
        <v>1</v>
      </c>
      <c r="D1" s="4">
        <v>72.62</v>
      </c>
      <c r="E1" s="5" t="s">
        <v>2</v>
      </c>
    </row>
    <row r="2" s="5" customFormat="1" ht="14.25">
      <c r="A2" s="6" t="s">
        <v>745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5.75</v>
      </c>
      <c r="C4" s="64"/>
      <c r="D4" s="103">
        <f aca="true" t="shared" si="0" ref="D4:D10">C4*1</f>
        <v>0</v>
      </c>
      <c r="E4" s="114">
        <f>(B4+D4)*$D$1</f>
        <v>417.56500000000005</v>
      </c>
      <c r="F4" s="107">
        <v>400</v>
      </c>
      <c r="G4" s="14">
        <f>-E4+F4</f>
        <v>-17.565000000000055</v>
      </c>
      <c r="H4" s="74"/>
    </row>
    <row r="5" spans="1:7" s="10" customFormat="1" ht="14.25">
      <c r="A5" s="15" t="s">
        <v>660</v>
      </c>
      <c r="B5" s="63">
        <v>14.39</v>
      </c>
      <c r="C5" s="64"/>
      <c r="D5" s="103">
        <f t="shared" si="0"/>
        <v>0</v>
      </c>
      <c r="E5" s="115">
        <f aca="true" t="shared" si="1" ref="E5:E10">(B5+D5)*$D$1</f>
        <v>1045.0018</v>
      </c>
      <c r="F5" s="85">
        <v>1045</v>
      </c>
      <c r="G5" s="77">
        <f aca="true" t="shared" si="2" ref="G5:G10">-E5+F5</f>
        <v>-0.0018000000000029104</v>
      </c>
    </row>
    <row r="6" spans="1:8" s="10" customFormat="1" ht="14.25">
      <c r="A6" s="11" t="s">
        <v>428</v>
      </c>
      <c r="B6" s="63">
        <v>14.34</v>
      </c>
      <c r="C6" s="64"/>
      <c r="D6" s="103">
        <f t="shared" si="0"/>
        <v>0</v>
      </c>
      <c r="E6" s="114">
        <f t="shared" si="1"/>
        <v>1041.3708000000001</v>
      </c>
      <c r="F6" s="116">
        <v>1048</v>
      </c>
      <c r="G6" s="14">
        <f t="shared" si="2"/>
        <v>6.629199999999855</v>
      </c>
      <c r="H6" s="74"/>
    </row>
    <row r="7" spans="1:7" s="10" customFormat="1" ht="14.25">
      <c r="A7" s="15" t="s">
        <v>400</v>
      </c>
      <c r="B7" s="63">
        <v>3.8</v>
      </c>
      <c r="C7" s="64"/>
      <c r="D7" s="103">
        <f t="shared" si="0"/>
        <v>0</v>
      </c>
      <c r="E7" s="115">
        <f t="shared" si="1"/>
        <v>275.956</v>
      </c>
      <c r="F7" s="117">
        <v>276</v>
      </c>
      <c r="G7" s="77">
        <f t="shared" si="2"/>
        <v>0.04399999999998272</v>
      </c>
    </row>
    <row r="8" spans="1:8" s="10" customFormat="1" ht="14.25">
      <c r="A8" s="11" t="s">
        <v>410</v>
      </c>
      <c r="B8" s="63">
        <v>24.49</v>
      </c>
      <c r="C8" s="64"/>
      <c r="D8" s="103">
        <f t="shared" si="0"/>
        <v>0</v>
      </c>
      <c r="E8" s="114">
        <f t="shared" si="1"/>
        <v>1778.4638</v>
      </c>
      <c r="F8" s="79">
        <v>1800</v>
      </c>
      <c r="G8" s="14">
        <f t="shared" si="2"/>
        <v>21.536200000000008</v>
      </c>
      <c r="H8" s="74"/>
    </row>
    <row r="9" spans="1:8" s="10" customFormat="1" ht="14.25">
      <c r="A9" s="11" t="s">
        <v>626</v>
      </c>
      <c r="B9" s="63">
        <v>14.38</v>
      </c>
      <c r="C9" s="64"/>
      <c r="D9" s="103">
        <f t="shared" si="0"/>
        <v>0</v>
      </c>
      <c r="E9" s="114">
        <f t="shared" si="1"/>
        <v>1044.2756000000002</v>
      </c>
      <c r="F9" s="85">
        <v>1044</v>
      </c>
      <c r="G9" s="14">
        <f t="shared" si="2"/>
        <v>-0.2756000000001677</v>
      </c>
      <c r="H9" s="74"/>
    </row>
    <row r="10" spans="1:7" s="10" customFormat="1" ht="14.25">
      <c r="A10" s="15" t="s">
        <v>169</v>
      </c>
      <c r="B10" s="63">
        <v>46.34</v>
      </c>
      <c r="C10" s="64"/>
      <c r="D10" s="103">
        <f t="shared" si="0"/>
        <v>0</v>
      </c>
      <c r="E10" s="115">
        <f t="shared" si="1"/>
        <v>3365.2108000000003</v>
      </c>
      <c r="F10" s="85">
        <v>3365</v>
      </c>
      <c r="G10" s="77">
        <f t="shared" si="2"/>
        <v>-0.2108000000002903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="90" zoomScaleNormal="90"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42368</v>
      </c>
      <c r="C1" s="3" t="s">
        <v>1</v>
      </c>
      <c r="D1" s="4">
        <v>72.62</v>
      </c>
      <c r="E1" s="5" t="s">
        <v>2</v>
      </c>
    </row>
    <row r="2" s="5" customFormat="1" ht="14.25">
      <c r="A2" s="6" t="s">
        <v>745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183</v>
      </c>
      <c r="B4" s="63">
        <v>4.92</v>
      </c>
      <c r="C4" s="64"/>
      <c r="D4" s="103">
        <f aca="true" t="shared" si="0" ref="D4:D10">C4*1</f>
        <v>0</v>
      </c>
      <c r="E4" s="114">
        <f>(B4+D4)*$D$1</f>
        <v>357.29040000000003</v>
      </c>
      <c r="F4" s="85">
        <v>357</v>
      </c>
      <c r="G4" s="14">
        <f>-E4+F4</f>
        <v>-0.29040000000003374</v>
      </c>
      <c r="H4" s="74"/>
    </row>
    <row r="5" spans="1:7" s="10" customFormat="1" ht="14.25">
      <c r="A5" s="15" t="s">
        <v>120</v>
      </c>
      <c r="B5" s="63">
        <v>17.52</v>
      </c>
      <c r="C5" s="64"/>
      <c r="D5" s="103">
        <f t="shared" si="0"/>
        <v>0</v>
      </c>
      <c r="E5" s="115">
        <f aca="true" t="shared" si="1" ref="E5:E10">(B5+D5)*$D$1</f>
        <v>1272.3024</v>
      </c>
      <c r="F5" s="85">
        <v>1273</v>
      </c>
      <c r="G5" s="77">
        <f aca="true" t="shared" si="2" ref="G5:G10">-E5+F5</f>
        <v>0.6975999999999658</v>
      </c>
    </row>
    <row r="6" spans="1:8" s="10" customFormat="1" ht="14.25">
      <c r="A6" s="11" t="s">
        <v>139</v>
      </c>
      <c r="B6" s="63">
        <v>5.67</v>
      </c>
      <c r="C6" s="64"/>
      <c r="D6" s="103">
        <f t="shared" si="0"/>
        <v>0</v>
      </c>
      <c r="E6" s="114">
        <f t="shared" si="1"/>
        <v>411.7554</v>
      </c>
      <c r="F6" s="116">
        <v>412</v>
      </c>
      <c r="G6" s="14">
        <f t="shared" si="2"/>
        <v>0.24459999999999127</v>
      </c>
      <c r="H6" s="74"/>
    </row>
    <row r="7" spans="1:7" s="10" customFormat="1" ht="14.25">
      <c r="A7" s="15" t="s">
        <v>746</v>
      </c>
      <c r="B7" s="63">
        <v>35.26</v>
      </c>
      <c r="C7" s="64"/>
      <c r="D7" s="103">
        <f t="shared" si="0"/>
        <v>0</v>
      </c>
      <c r="E7" s="115">
        <f t="shared" si="1"/>
        <v>2560.5812</v>
      </c>
      <c r="F7" s="117">
        <v>2561</v>
      </c>
      <c r="G7" s="77">
        <f t="shared" si="2"/>
        <v>0.41879999999991924</v>
      </c>
    </row>
    <row r="8" spans="1:8" s="10" customFormat="1" ht="14.25">
      <c r="A8" s="11" t="s">
        <v>408</v>
      </c>
      <c r="B8" s="63">
        <v>23.54</v>
      </c>
      <c r="C8" s="64"/>
      <c r="D8" s="103">
        <f t="shared" si="0"/>
        <v>0</v>
      </c>
      <c r="E8" s="114">
        <f t="shared" si="1"/>
        <v>1709.4748</v>
      </c>
      <c r="F8" s="79">
        <f>1232+478</f>
        <v>1710</v>
      </c>
      <c r="G8" s="14">
        <f t="shared" si="2"/>
        <v>0.5252000000000407</v>
      </c>
      <c r="H8" s="74"/>
    </row>
    <row r="9" spans="1:8" s="10" customFormat="1" ht="14.25">
      <c r="A9" s="11" t="s">
        <v>666</v>
      </c>
      <c r="B9" s="63">
        <v>14.36</v>
      </c>
      <c r="C9" s="64"/>
      <c r="D9" s="103">
        <f t="shared" si="0"/>
        <v>0</v>
      </c>
      <c r="E9" s="114">
        <f t="shared" si="1"/>
        <v>1042.8232</v>
      </c>
      <c r="F9" s="85">
        <v>1043</v>
      </c>
      <c r="G9" s="14">
        <f t="shared" si="2"/>
        <v>0.17679999999995744</v>
      </c>
      <c r="H9" s="74"/>
    </row>
    <row r="10" spans="1:7" s="10" customFormat="1" ht="14.25">
      <c r="A10" s="15" t="s">
        <v>682</v>
      </c>
      <c r="B10" s="63">
        <v>15.26</v>
      </c>
      <c r="C10" s="64"/>
      <c r="D10" s="103">
        <f t="shared" si="0"/>
        <v>0</v>
      </c>
      <c r="E10" s="115">
        <f t="shared" si="1"/>
        <v>1108.1812</v>
      </c>
      <c r="F10" s="85">
        <v>1108</v>
      </c>
      <c r="G10" s="77">
        <f t="shared" si="2"/>
        <v>-0.1811999999999898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42375</v>
      </c>
      <c r="C1" s="3" t="s">
        <v>1</v>
      </c>
      <c r="D1" s="4">
        <v>73.72</v>
      </c>
      <c r="E1" s="5" t="s">
        <v>2</v>
      </c>
    </row>
    <row r="2" s="5" customFormat="1" ht="14.25">
      <c r="A2" s="6" t="s">
        <v>748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189</v>
      </c>
      <c r="B4" s="63">
        <v>10.88</v>
      </c>
      <c r="C4" s="64"/>
      <c r="D4" s="103">
        <f>C4*1</f>
        <v>0</v>
      </c>
      <c r="E4" s="114">
        <f>(B4+D4)*$D$1</f>
        <v>802.0736</v>
      </c>
      <c r="F4" s="85">
        <v>802</v>
      </c>
      <c r="G4" s="14">
        <f>-E4+F4</f>
        <v>-0.07360000000005584</v>
      </c>
      <c r="H4" s="74"/>
    </row>
    <row r="5" spans="1:7" s="10" customFormat="1" ht="14.25">
      <c r="A5" s="15" t="s">
        <v>732</v>
      </c>
      <c r="B5" s="63">
        <v>9.93</v>
      </c>
      <c r="C5" s="64"/>
      <c r="D5" s="103">
        <f>C5*1</f>
        <v>0</v>
      </c>
      <c r="E5" s="115">
        <f>(B5+D5)*$D$1</f>
        <v>732.0396</v>
      </c>
      <c r="F5" s="85">
        <v>732</v>
      </c>
      <c r="G5" s="77">
        <f>-E5+F5</f>
        <v>-0.03959999999995034</v>
      </c>
    </row>
    <row r="6" spans="1:8" s="10" customFormat="1" ht="14.25">
      <c r="A6" s="11" t="s">
        <v>227</v>
      </c>
      <c r="B6" s="63">
        <v>5.39</v>
      </c>
      <c r="C6" s="64"/>
      <c r="D6" s="103">
        <f>C6*1</f>
        <v>0</v>
      </c>
      <c r="E6" s="114">
        <f>(B6+D6)*$D$1</f>
        <v>397.3508</v>
      </c>
      <c r="F6" s="116">
        <v>398</v>
      </c>
      <c r="G6" s="14">
        <f>-E6+F6</f>
        <v>0.6492000000000075</v>
      </c>
      <c r="H6" s="74"/>
    </row>
    <row r="7" spans="1:7" s="10" customFormat="1" ht="14.25">
      <c r="A7" s="15" t="s">
        <v>410</v>
      </c>
      <c r="B7" s="63">
        <v>8.28</v>
      </c>
      <c r="C7" s="64"/>
      <c r="D7" s="103">
        <f>C7*1</f>
        <v>0</v>
      </c>
      <c r="E7" s="115">
        <f>(B7+D7)*$D$1</f>
        <v>610.4015999999999</v>
      </c>
      <c r="F7" s="117">
        <v>497</v>
      </c>
      <c r="G7" s="77">
        <f>-E7+F7</f>
        <v>-113.40159999999992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11.200000000000001</v>
      </c>
      <c r="C4" s="64"/>
      <c r="D4" s="11"/>
      <c r="E4" s="11">
        <f aca="true" t="shared" si="0" ref="E4:E13">(B4+D4)*$D$1</f>
        <v>708.6240000000001</v>
      </c>
      <c r="F4" s="78">
        <v>716</v>
      </c>
      <c r="G4" s="14">
        <f aca="true" t="shared" si="1" ref="G4:G13">-E4+F4</f>
        <v>7.375999999999863</v>
      </c>
      <c r="H4" s="74"/>
    </row>
    <row r="5" spans="1:7" s="10" customFormat="1" ht="14.25">
      <c r="A5" s="15" t="s">
        <v>223</v>
      </c>
      <c r="B5" s="63">
        <v>8.99</v>
      </c>
      <c r="C5" s="64"/>
      <c r="D5" s="11"/>
      <c r="E5" s="76">
        <f t="shared" si="0"/>
        <v>568.7973000000001</v>
      </c>
      <c r="F5" s="79">
        <v>566</v>
      </c>
      <c r="G5" s="77">
        <f t="shared" si="1"/>
        <v>-2.797300000000064</v>
      </c>
    </row>
    <row r="6" spans="1:8" s="10" customFormat="1" ht="14.25">
      <c r="A6" s="11" t="s">
        <v>346</v>
      </c>
      <c r="B6" s="63">
        <v>1.67</v>
      </c>
      <c r="C6" s="64"/>
      <c r="D6" s="11"/>
      <c r="E6" s="11">
        <f t="shared" si="0"/>
        <v>105.6609</v>
      </c>
      <c r="F6" s="78">
        <v>5</v>
      </c>
      <c r="G6" s="14">
        <f t="shared" si="1"/>
        <v>-100.6609</v>
      </c>
      <c r="H6" s="74"/>
    </row>
    <row r="7" spans="1:7" s="10" customFormat="1" ht="14.25">
      <c r="A7" s="15" t="s">
        <v>345</v>
      </c>
      <c r="B7" s="63">
        <v>7.63</v>
      </c>
      <c r="C7" s="64"/>
      <c r="D7" s="11"/>
      <c r="E7" s="76">
        <f t="shared" si="0"/>
        <v>482.75010000000003</v>
      </c>
      <c r="F7" s="79"/>
      <c r="G7" s="77">
        <f t="shared" si="1"/>
        <v>-482.75010000000003</v>
      </c>
    </row>
    <row r="8" spans="1:7" s="10" customFormat="1" ht="18" customHeight="1">
      <c r="A8" s="15" t="s">
        <v>183</v>
      </c>
      <c r="B8" s="12">
        <v>3</v>
      </c>
      <c r="C8" s="12"/>
      <c r="D8" s="11"/>
      <c r="E8" s="11">
        <f t="shared" si="0"/>
        <v>189.81</v>
      </c>
      <c r="F8" s="69">
        <v>188</v>
      </c>
      <c r="G8" s="14">
        <f t="shared" si="1"/>
        <v>-1.8100000000000023</v>
      </c>
    </row>
    <row r="9" spans="1:7" s="10" customFormat="1" ht="14.25">
      <c r="A9" s="11" t="s">
        <v>104</v>
      </c>
      <c r="B9" s="63">
        <v>3</v>
      </c>
      <c r="C9" s="64"/>
      <c r="D9" s="11"/>
      <c r="E9" s="11">
        <f t="shared" si="0"/>
        <v>189.81</v>
      </c>
      <c r="F9" s="67">
        <v>182</v>
      </c>
      <c r="G9" s="14">
        <f t="shared" si="1"/>
        <v>-7.810000000000002</v>
      </c>
    </row>
    <row r="10" spans="1:8" s="10" customFormat="1" ht="14.25">
      <c r="A10" s="11" t="s">
        <v>169</v>
      </c>
      <c r="B10" s="63">
        <v>58</v>
      </c>
      <c r="C10" s="64"/>
      <c r="D10" s="11"/>
      <c r="E10" s="11">
        <f t="shared" si="0"/>
        <v>3669.6600000000003</v>
      </c>
      <c r="F10" s="78">
        <v>3675</v>
      </c>
      <c r="G10" s="14">
        <f t="shared" si="1"/>
        <v>5.339999999999691</v>
      </c>
      <c r="H10" s="74"/>
    </row>
    <row r="11" spans="1:7" s="10" customFormat="1" ht="14.25">
      <c r="A11" s="15" t="s">
        <v>284</v>
      </c>
      <c r="B11" s="63">
        <v>24.81</v>
      </c>
      <c r="C11" s="64"/>
      <c r="D11" s="11"/>
      <c r="E11" s="76">
        <f t="shared" si="0"/>
        <v>1569.7287</v>
      </c>
      <c r="F11" s="79">
        <f>1605+8</f>
        <v>1613</v>
      </c>
      <c r="G11" s="77">
        <f t="shared" si="1"/>
        <v>43.27130000000011</v>
      </c>
    </row>
    <row r="12" spans="1:7" s="10" customFormat="1" ht="14.25">
      <c r="A12" s="15" t="s">
        <v>215</v>
      </c>
      <c r="B12" s="12">
        <v>8.98</v>
      </c>
      <c r="C12" s="12"/>
      <c r="D12" s="11"/>
      <c r="E12" s="11">
        <f t="shared" si="0"/>
        <v>568.1646000000001</v>
      </c>
      <c r="F12" s="69">
        <v>594</v>
      </c>
      <c r="G12" s="14">
        <f t="shared" si="1"/>
        <v>25.835399999999936</v>
      </c>
    </row>
    <row r="13" spans="1:7" s="10" customFormat="1" ht="14.25">
      <c r="A13" s="11" t="s">
        <v>168</v>
      </c>
      <c r="B13" s="63">
        <v>10.35</v>
      </c>
      <c r="C13" s="64"/>
      <c r="D13" s="11"/>
      <c r="E13" s="11">
        <f t="shared" si="0"/>
        <v>654.8445</v>
      </c>
      <c r="F13" s="67">
        <f>662+3</f>
        <v>665</v>
      </c>
      <c r="G13" s="14">
        <f t="shared" si="1"/>
        <v>10.155499999999961</v>
      </c>
    </row>
    <row r="14" spans="1:7" s="25" customFormat="1" ht="14.25">
      <c r="A14" s="24"/>
      <c r="B14" s="24"/>
      <c r="C14" s="24">
        <f>SUM(C10:C13)</f>
        <v>0</v>
      </c>
      <c r="D14" s="24">
        <v>0</v>
      </c>
      <c r="E14" s="24"/>
      <c r="F14" s="24"/>
      <c r="G14" s="24"/>
    </row>
    <row r="17" ht="30.75">
      <c r="A17" s="26"/>
    </row>
    <row r="18" ht="30.75">
      <c r="A18" s="26"/>
    </row>
    <row r="19" ht="14.2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1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42375</v>
      </c>
      <c r="C1" s="3" t="s">
        <v>1</v>
      </c>
      <c r="D1" s="4">
        <v>73.72</v>
      </c>
      <c r="E1" s="5" t="s">
        <v>2</v>
      </c>
    </row>
    <row r="2" s="5" customFormat="1" ht="14.25">
      <c r="A2" s="6" t="s">
        <v>748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497</v>
      </c>
      <c r="B4" s="63">
        <v>16.21</v>
      </c>
      <c r="C4" s="64"/>
      <c r="D4" s="103">
        <f>C4*1</f>
        <v>0</v>
      </c>
      <c r="E4" s="114">
        <f>(B4+D4)*$D$1</f>
        <v>1195.0012000000002</v>
      </c>
      <c r="F4" s="85">
        <v>1195</v>
      </c>
      <c r="G4" s="14">
        <f>-E4+F4</f>
        <v>-0.0012000000001535227</v>
      </c>
      <c r="H4" s="74"/>
    </row>
    <row r="5" spans="1:7" s="10" customFormat="1" ht="14.25">
      <c r="A5" s="15" t="s">
        <v>452</v>
      </c>
      <c r="B5" s="63">
        <v>11.69</v>
      </c>
      <c r="C5" s="64"/>
      <c r="D5" s="103">
        <f>C5*1</f>
        <v>0</v>
      </c>
      <c r="E5" s="115">
        <f>(B5+D5)*$D$1</f>
        <v>861.7868</v>
      </c>
      <c r="F5" s="85">
        <v>862</v>
      </c>
      <c r="G5" s="77">
        <f>-E5+F5</f>
        <v>0.21320000000002892</v>
      </c>
    </row>
    <row r="6" spans="1:8" s="10" customFormat="1" ht="14.25">
      <c r="A6" s="11" t="s">
        <v>448</v>
      </c>
      <c r="B6" s="63">
        <v>6.49</v>
      </c>
      <c r="C6" s="64"/>
      <c r="D6" s="103">
        <f>C6*1</f>
        <v>0</v>
      </c>
      <c r="E6" s="114">
        <f>(B6+D6)*$D$1</f>
        <v>478.44280000000003</v>
      </c>
      <c r="F6" s="116">
        <v>479</v>
      </c>
      <c r="G6" s="14">
        <f>-E6+F6</f>
        <v>0.5571999999999662</v>
      </c>
      <c r="H6" s="74"/>
    </row>
    <row r="7" spans="1:7" s="10" customFormat="1" ht="14.25">
      <c r="A7" s="15" t="s">
        <v>660</v>
      </c>
      <c r="B7" s="63">
        <v>19.98</v>
      </c>
      <c r="C7" s="64"/>
      <c r="D7" s="103">
        <f>C7*1</f>
        <v>0</v>
      </c>
      <c r="E7" s="115">
        <f>(B7+D7)*$D$1</f>
        <v>1472.9256</v>
      </c>
      <c r="F7" s="117">
        <v>1472</v>
      </c>
      <c r="G7" s="77">
        <f>-E7+F7</f>
        <v>-0.9256000000000313</v>
      </c>
    </row>
    <row r="8" spans="1:8" s="10" customFormat="1" ht="28.5">
      <c r="A8" s="11" t="s">
        <v>749</v>
      </c>
      <c r="B8" s="63">
        <v>10</v>
      </c>
      <c r="C8" s="64"/>
      <c r="D8" s="103">
        <f>C8*1</f>
        <v>0</v>
      </c>
      <c r="E8" s="114">
        <f>(B8+D8)*$D$1</f>
        <v>737.2</v>
      </c>
      <c r="F8" s="79">
        <v>737</v>
      </c>
      <c r="G8" s="14">
        <f>-E8+F8</f>
        <v>-0.20000000000004547</v>
      </c>
      <c r="H8" s="74"/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42380</v>
      </c>
      <c r="C1" s="3" t="s">
        <v>1</v>
      </c>
      <c r="D1" s="4">
        <v>75.22</v>
      </c>
      <c r="E1" s="5" t="s">
        <v>2</v>
      </c>
    </row>
    <row r="2" s="5" customFormat="1" ht="14.25">
      <c r="A2" s="6" t="s">
        <v>752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753</v>
      </c>
      <c r="B4" s="63">
        <v>4.95</v>
      </c>
      <c r="C4" s="64"/>
      <c r="D4" s="103">
        <f>C4*1</f>
        <v>0</v>
      </c>
      <c r="E4" s="114">
        <f>(B4+D4)*$D$1</f>
        <v>372.339</v>
      </c>
      <c r="F4" s="79">
        <v>372</v>
      </c>
      <c r="G4" s="14">
        <f>-E4+F4</f>
        <v>-0.33899999999999864</v>
      </c>
      <c r="H4" s="74"/>
    </row>
    <row r="5" spans="1:7" s="10" customFormat="1" ht="14.25">
      <c r="A5" s="15" t="s">
        <v>660</v>
      </c>
      <c r="B5" s="63">
        <v>10.5</v>
      </c>
      <c r="C5" s="64"/>
      <c r="D5" s="103">
        <f>C5*1</f>
        <v>0</v>
      </c>
      <c r="E5" s="115">
        <f>(B5+D5)*$D$1</f>
        <v>789.81</v>
      </c>
      <c r="F5" s="79">
        <v>790</v>
      </c>
      <c r="G5" s="77">
        <f>-E5+F5</f>
        <v>0.19000000000005457</v>
      </c>
    </row>
    <row r="6" spans="1:8" s="10" customFormat="1" ht="14.25">
      <c r="A6" s="11" t="s">
        <v>35</v>
      </c>
      <c r="B6" s="63">
        <v>11.36</v>
      </c>
      <c r="C6" s="64"/>
      <c r="D6" s="103">
        <f>C6*1</f>
        <v>0</v>
      </c>
      <c r="E6" s="114">
        <f>(B6+D6)*$D$1</f>
        <v>854.4992</v>
      </c>
      <c r="F6" s="79">
        <v>854</v>
      </c>
      <c r="G6" s="14">
        <f>-E6+F6</f>
        <v>-0.49919999999997344</v>
      </c>
      <c r="H6" s="74"/>
    </row>
    <row r="7" spans="1:7" s="10" customFormat="1" ht="14.25">
      <c r="A7" s="15" t="s">
        <v>301</v>
      </c>
      <c r="B7" s="63">
        <v>17.52</v>
      </c>
      <c r="C7" s="64"/>
      <c r="D7" s="103">
        <f>C7*1</f>
        <v>0</v>
      </c>
      <c r="E7" s="115">
        <f>(B7+D7)*$D$1</f>
        <v>1317.8544</v>
      </c>
      <c r="F7" s="79">
        <v>1318</v>
      </c>
      <c r="G7" s="77">
        <f>-E7+F7</f>
        <v>0.14560000000005857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42380</v>
      </c>
      <c r="C1" s="3" t="s">
        <v>1</v>
      </c>
      <c r="D1" s="4">
        <v>75.22</v>
      </c>
      <c r="E1" s="5" t="s">
        <v>2</v>
      </c>
    </row>
    <row r="2" s="5" customFormat="1" ht="14.25">
      <c r="A2" s="6" t="s">
        <v>752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284</v>
      </c>
      <c r="B4" s="63">
        <v>28.24</v>
      </c>
      <c r="C4" s="64"/>
      <c r="D4" s="103">
        <f>C4*1</f>
        <v>0</v>
      </c>
      <c r="E4" s="114">
        <f>(B4+D4)*$D$1</f>
        <v>2124.2128</v>
      </c>
      <c r="F4" s="79">
        <v>2124</v>
      </c>
      <c r="G4" s="14">
        <f>-E4+F4</f>
        <v>-0.21279999999978827</v>
      </c>
      <c r="H4" s="74"/>
    </row>
    <row r="5" spans="1:7" s="10" customFormat="1" ht="14.25">
      <c r="A5" s="15" t="s">
        <v>722</v>
      </c>
      <c r="B5" s="63">
        <v>12.18</v>
      </c>
      <c r="C5" s="64"/>
      <c r="D5" s="103">
        <f>C5*1</f>
        <v>0</v>
      </c>
      <c r="E5" s="115">
        <f>(B5+D5)*$D$1</f>
        <v>916.1795999999999</v>
      </c>
      <c r="F5" s="79">
        <v>779</v>
      </c>
      <c r="G5" s="77">
        <f>-E5+F5</f>
        <v>-137.17959999999994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42389</v>
      </c>
      <c r="C1" s="3" t="s">
        <v>1</v>
      </c>
      <c r="D1" s="4">
        <v>78.36</v>
      </c>
      <c r="E1" s="5" t="s">
        <v>2</v>
      </c>
    </row>
    <row r="2" s="5" customFormat="1" ht="14.25">
      <c r="A2" s="6" t="s">
        <v>755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9.99</v>
      </c>
      <c r="C4" s="64"/>
      <c r="D4" s="103">
        <f aca="true" t="shared" si="0" ref="D4:D11">C4*1</f>
        <v>0</v>
      </c>
      <c r="E4" s="114">
        <f aca="true" t="shared" si="1" ref="E4:E11">(B4+D4)*$D$1</f>
        <v>782.8164</v>
      </c>
      <c r="F4" s="120">
        <v>779</v>
      </c>
      <c r="G4" s="14">
        <f aca="true" t="shared" si="2" ref="G4:G11">-E4+F4</f>
        <v>-3.816400000000044</v>
      </c>
      <c r="H4" s="74"/>
    </row>
    <row r="5" spans="1:7" s="10" customFormat="1" ht="14.25">
      <c r="A5" s="15" t="s">
        <v>756</v>
      </c>
      <c r="B5" s="63">
        <v>35.11</v>
      </c>
      <c r="C5" s="64"/>
      <c r="D5" s="103">
        <f t="shared" si="0"/>
        <v>0</v>
      </c>
      <c r="E5" s="115">
        <f t="shared" si="1"/>
        <v>2751.2196</v>
      </c>
      <c r="F5" s="79">
        <v>2751</v>
      </c>
      <c r="G5" s="77">
        <f t="shared" si="2"/>
        <v>-0.21959999999990032</v>
      </c>
    </row>
    <row r="6" spans="1:8" s="10" customFormat="1" ht="14.25">
      <c r="A6" s="11" t="s">
        <v>757</v>
      </c>
      <c r="B6" s="63">
        <v>8.63</v>
      </c>
      <c r="C6" s="64"/>
      <c r="D6" s="103">
        <f t="shared" si="0"/>
        <v>0</v>
      </c>
      <c r="E6" s="114">
        <f t="shared" si="1"/>
        <v>676.2468</v>
      </c>
      <c r="F6" s="79">
        <v>1352</v>
      </c>
      <c r="G6" s="14">
        <f t="shared" si="2"/>
        <v>675.7532</v>
      </c>
      <c r="H6" s="74"/>
    </row>
    <row r="7" spans="1:7" s="10" customFormat="1" ht="14.25">
      <c r="A7" s="15" t="s">
        <v>536</v>
      </c>
      <c r="B7" s="63">
        <v>9.99</v>
      </c>
      <c r="C7" s="64"/>
      <c r="D7" s="103">
        <f t="shared" si="0"/>
        <v>0</v>
      </c>
      <c r="E7" s="115">
        <f t="shared" si="1"/>
        <v>782.8164</v>
      </c>
      <c r="F7" s="79">
        <v>783</v>
      </c>
      <c r="G7" s="77">
        <f t="shared" si="2"/>
        <v>0.1835999999999558</v>
      </c>
    </row>
    <row r="8" spans="1:8" s="10" customFormat="1" ht="14.25">
      <c r="A8" s="11" t="s">
        <v>758</v>
      </c>
      <c r="B8" s="119">
        <v>23.16</v>
      </c>
      <c r="C8" s="64"/>
      <c r="D8" s="103">
        <f t="shared" si="0"/>
        <v>0</v>
      </c>
      <c r="E8" s="114">
        <f t="shared" si="1"/>
        <v>1814.8176</v>
      </c>
      <c r="F8" s="120">
        <v>1815</v>
      </c>
      <c r="G8" s="14">
        <f t="shared" si="2"/>
        <v>0.18239999999991596</v>
      </c>
      <c r="H8" s="74"/>
    </row>
    <row r="9" spans="1:7" s="10" customFormat="1" ht="14.25">
      <c r="A9" s="15" t="s">
        <v>69</v>
      </c>
      <c r="B9" s="119">
        <v>10.75</v>
      </c>
      <c r="C9" s="64"/>
      <c r="D9" s="103">
        <f t="shared" si="0"/>
        <v>0</v>
      </c>
      <c r="E9" s="115">
        <f t="shared" si="1"/>
        <v>842.37</v>
      </c>
      <c r="F9" s="120">
        <v>772</v>
      </c>
      <c r="G9" s="77">
        <f t="shared" si="2"/>
        <v>-70.37</v>
      </c>
    </row>
    <row r="10" spans="1:8" s="10" customFormat="1" ht="14.25">
      <c r="A10" s="11" t="s">
        <v>215</v>
      </c>
      <c r="B10" s="63">
        <v>10.36</v>
      </c>
      <c r="C10" s="64"/>
      <c r="D10" s="103">
        <f t="shared" si="0"/>
        <v>0</v>
      </c>
      <c r="E10" s="114">
        <f t="shared" si="1"/>
        <v>811.8095999999999</v>
      </c>
      <c r="F10" s="120">
        <v>812</v>
      </c>
      <c r="G10" s="14">
        <f t="shared" si="2"/>
        <v>0.19040000000006785</v>
      </c>
      <c r="H10" s="74"/>
    </row>
    <row r="11" spans="1:7" s="10" customFormat="1" ht="14.25">
      <c r="A11" s="15" t="s">
        <v>614</v>
      </c>
      <c r="B11" s="63">
        <v>35.55</v>
      </c>
      <c r="C11" s="64"/>
      <c r="D11" s="103">
        <f t="shared" si="0"/>
        <v>0</v>
      </c>
      <c r="E11" s="115">
        <f t="shared" si="1"/>
        <v>2785.698</v>
      </c>
      <c r="F11" s="120">
        <v>2786</v>
      </c>
      <c r="G11" s="77">
        <f t="shared" si="2"/>
        <v>0.3020000000001346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/>
      <c r="B16" s="27"/>
    </row>
    <row r="17" spans="1:2" ht="14.25">
      <c r="A17" s="72"/>
      <c r="B17" s="72"/>
    </row>
    <row r="18" ht="14.25">
      <c r="A18" s="72"/>
    </row>
    <row r="19" ht="14.2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42389</v>
      </c>
      <c r="C1" s="3" t="s">
        <v>1</v>
      </c>
      <c r="D1" s="4">
        <v>78.36</v>
      </c>
      <c r="E1" s="5" t="s">
        <v>2</v>
      </c>
    </row>
    <row r="2" s="5" customFormat="1" ht="14.25">
      <c r="A2" s="6" t="s">
        <v>755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63">
        <v>31.04</v>
      </c>
      <c r="C4" s="64"/>
      <c r="D4" s="103">
        <f aca="true" t="shared" si="0" ref="D4:D9">C4*1</f>
        <v>0</v>
      </c>
      <c r="E4" s="114">
        <f aca="true" t="shared" si="1" ref="E4:E9">(B4+D4)*$D$1</f>
        <v>2432.2943999999998</v>
      </c>
      <c r="F4" s="120">
        <v>2432</v>
      </c>
      <c r="G4" s="14">
        <f aca="true" t="shared" si="2" ref="G4:G9">-E4+F4</f>
        <v>-0.2943999999997686</v>
      </c>
      <c r="H4" s="74"/>
    </row>
    <row r="5" spans="1:7" s="10" customFormat="1" ht="14.25">
      <c r="A5" s="15" t="s">
        <v>410</v>
      </c>
      <c r="B5" s="63">
        <v>24.51</v>
      </c>
      <c r="C5" s="64"/>
      <c r="D5" s="103">
        <f t="shared" si="0"/>
        <v>0</v>
      </c>
      <c r="E5" s="115">
        <f t="shared" si="1"/>
        <v>1920.6036000000001</v>
      </c>
      <c r="F5" s="120">
        <v>1921</v>
      </c>
      <c r="G5" s="77">
        <f t="shared" si="2"/>
        <v>0.39639999999985776</v>
      </c>
    </row>
    <row r="6" spans="1:8" s="10" customFormat="1" ht="14.25">
      <c r="A6" s="11" t="s">
        <v>759</v>
      </c>
      <c r="B6" s="63">
        <v>27.19</v>
      </c>
      <c r="C6" s="64"/>
      <c r="D6" s="103">
        <f t="shared" si="0"/>
        <v>0</v>
      </c>
      <c r="E6" s="114">
        <f t="shared" si="1"/>
        <v>2130.6084</v>
      </c>
      <c r="F6" s="116">
        <f>2090+50</f>
        <v>2140</v>
      </c>
      <c r="G6" s="14">
        <f t="shared" si="2"/>
        <v>9.391599999999926</v>
      </c>
      <c r="H6" s="74"/>
    </row>
    <row r="7" spans="1:7" s="10" customFormat="1" ht="14.25">
      <c r="A7" s="15" t="s">
        <v>760</v>
      </c>
      <c r="B7" s="63">
        <v>10.36</v>
      </c>
      <c r="C7" s="64"/>
      <c r="D7" s="103">
        <f t="shared" si="0"/>
        <v>0</v>
      </c>
      <c r="E7" s="115">
        <f t="shared" si="1"/>
        <v>811.8095999999999</v>
      </c>
      <c r="F7" s="117">
        <f>670+142</f>
        <v>812</v>
      </c>
      <c r="G7" s="77">
        <f t="shared" si="2"/>
        <v>0.19040000000006785</v>
      </c>
    </row>
    <row r="8" spans="1:8" s="10" customFormat="1" ht="14.25">
      <c r="A8" s="11" t="s">
        <v>156</v>
      </c>
      <c r="B8" s="63">
        <v>8.4</v>
      </c>
      <c r="C8" s="64"/>
      <c r="D8" s="103">
        <f t="shared" si="0"/>
        <v>0</v>
      </c>
      <c r="E8" s="114">
        <f t="shared" si="1"/>
        <v>658.224</v>
      </c>
      <c r="F8" s="79">
        <v>658</v>
      </c>
      <c r="G8" s="14">
        <f t="shared" si="2"/>
        <v>-0.22400000000004638</v>
      </c>
      <c r="H8" s="74"/>
    </row>
    <row r="9" spans="1:7" s="10" customFormat="1" ht="14.25">
      <c r="A9" s="15" t="s">
        <v>449</v>
      </c>
      <c r="B9" s="63">
        <v>41.65</v>
      </c>
      <c r="C9" s="64"/>
      <c r="D9" s="103">
        <f t="shared" si="0"/>
        <v>0</v>
      </c>
      <c r="E9" s="115">
        <f t="shared" si="1"/>
        <v>3263.694</v>
      </c>
      <c r="F9" s="85">
        <f>3264+80</f>
        <v>3344</v>
      </c>
      <c r="G9" s="77">
        <f t="shared" si="2"/>
        <v>80.30600000000004</v>
      </c>
    </row>
    <row r="10" spans="1:7" s="25" customFormat="1" ht="14.2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78.66</v>
      </c>
      <c r="E1" s="5" t="s">
        <v>2</v>
      </c>
    </row>
    <row r="2" s="5" customFormat="1" ht="14.25">
      <c r="A2" s="6" t="s">
        <v>762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188</v>
      </c>
      <c r="B4" s="63">
        <v>95.98</v>
      </c>
      <c r="C4" s="64"/>
      <c r="D4" s="103">
        <f>C4*1</f>
        <v>0</v>
      </c>
      <c r="E4" s="114">
        <f>(B4+D4)*$D$1</f>
        <v>7549.7868</v>
      </c>
      <c r="F4" s="79">
        <v>7550</v>
      </c>
      <c r="G4" s="14">
        <f>-E4+F4</f>
        <v>0.2132000000001426</v>
      </c>
      <c r="H4" s="74"/>
    </row>
    <row r="5" spans="1:7" s="10" customFormat="1" ht="14.25">
      <c r="A5" s="15" t="s">
        <v>200</v>
      </c>
      <c r="B5" s="63">
        <v>20.75</v>
      </c>
      <c r="C5" s="64"/>
      <c r="D5" s="103">
        <f>C5*1</f>
        <v>0</v>
      </c>
      <c r="E5" s="115">
        <f>(B5+D5)*$D$1</f>
        <v>1632.195</v>
      </c>
      <c r="F5" s="121">
        <v>1631</v>
      </c>
      <c r="G5" s="77">
        <f>-E5+F5</f>
        <v>-1.1949999999999363</v>
      </c>
    </row>
    <row r="6" spans="1:8" s="10" customFormat="1" ht="15" thickBot="1">
      <c r="A6" s="11" t="s">
        <v>223</v>
      </c>
      <c r="B6" s="63">
        <v>5.54</v>
      </c>
      <c r="C6" s="64"/>
      <c r="D6" s="103">
        <f>C6*1</f>
        <v>0</v>
      </c>
      <c r="E6" s="114">
        <f>(B6+D6)*$D$1</f>
        <v>435.77639999999997</v>
      </c>
      <c r="F6" s="108">
        <v>436</v>
      </c>
      <c r="G6" s="14">
        <f>-E6+F6</f>
        <v>0.2236000000000331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78.66</v>
      </c>
      <c r="E1" s="5" t="s">
        <v>2</v>
      </c>
    </row>
    <row r="2" s="5" customFormat="1" ht="14.25">
      <c r="A2" s="6" t="s">
        <v>762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63">
        <v>11.93</v>
      </c>
      <c r="C4" s="64"/>
      <c r="D4" s="103">
        <f aca="true" t="shared" si="0" ref="D4:D11">C4*1</f>
        <v>0</v>
      </c>
      <c r="E4" s="114">
        <f aca="true" t="shared" si="1" ref="E4:E11">(B4+D4)*$D$1</f>
        <v>938.4137999999999</v>
      </c>
      <c r="F4" s="122">
        <v>939</v>
      </c>
      <c r="G4" s="14">
        <f aca="true" t="shared" si="2" ref="G4:G11">-E4+F4</f>
        <v>0.5862000000000762</v>
      </c>
      <c r="H4" s="74"/>
    </row>
    <row r="5" spans="1:8" s="10" customFormat="1" ht="14.25">
      <c r="A5" s="11" t="s">
        <v>363</v>
      </c>
      <c r="B5" s="63">
        <v>3.84</v>
      </c>
      <c r="C5" s="64"/>
      <c r="D5" s="103">
        <f t="shared" si="0"/>
        <v>0</v>
      </c>
      <c r="E5" s="114">
        <f>(B5+D5)*$D$1</f>
        <v>302.0544</v>
      </c>
      <c r="F5" s="121">
        <v>302</v>
      </c>
      <c r="G5" s="14">
        <f>-E5+F5</f>
        <v>-0.0543999999999869</v>
      </c>
      <c r="H5" s="74"/>
    </row>
    <row r="6" spans="1:7" s="10" customFormat="1" ht="14.25">
      <c r="A6" s="15" t="s">
        <v>758</v>
      </c>
      <c r="B6" s="63">
        <v>9.23</v>
      </c>
      <c r="C6" s="64"/>
      <c r="D6" s="103">
        <f t="shared" si="0"/>
        <v>0</v>
      </c>
      <c r="E6" s="115">
        <f t="shared" si="1"/>
        <v>726.0318</v>
      </c>
      <c r="F6" s="85"/>
      <c r="G6" s="77">
        <f t="shared" si="2"/>
        <v>-726.0318</v>
      </c>
    </row>
    <row r="7" spans="1:8" s="10" customFormat="1" ht="14.25">
      <c r="A7" s="11" t="s">
        <v>763</v>
      </c>
      <c r="B7" s="63">
        <v>3.84</v>
      </c>
      <c r="C7" s="64"/>
      <c r="D7" s="103">
        <f t="shared" si="0"/>
        <v>0</v>
      </c>
      <c r="E7" s="114">
        <f t="shared" si="1"/>
        <v>302.0544</v>
      </c>
      <c r="F7" s="116">
        <v>300</v>
      </c>
      <c r="G7" s="14">
        <f t="shared" si="2"/>
        <v>-2.054399999999987</v>
      </c>
      <c r="H7" s="74"/>
    </row>
    <row r="8" spans="1:7" s="10" customFormat="1" ht="14.25">
      <c r="A8" s="15" t="s">
        <v>356</v>
      </c>
      <c r="B8" s="63">
        <v>24.81</v>
      </c>
      <c r="C8" s="64"/>
      <c r="D8" s="103">
        <f t="shared" si="0"/>
        <v>0</v>
      </c>
      <c r="E8" s="115">
        <f t="shared" si="1"/>
        <v>1951.5545999999997</v>
      </c>
      <c r="F8" s="79">
        <v>1960</v>
      </c>
      <c r="G8" s="77">
        <f t="shared" si="2"/>
        <v>8.44540000000029</v>
      </c>
    </row>
    <row r="9" spans="1:8" s="10" customFormat="1" ht="14.25">
      <c r="A9" s="11" t="s">
        <v>437</v>
      </c>
      <c r="B9" s="63">
        <v>13.27</v>
      </c>
      <c r="C9" s="64"/>
      <c r="D9" s="103">
        <f t="shared" si="0"/>
        <v>0</v>
      </c>
      <c r="E9" s="114">
        <f t="shared" si="1"/>
        <v>1043.8182</v>
      </c>
      <c r="F9" s="79">
        <v>1044</v>
      </c>
      <c r="G9" s="14">
        <f t="shared" si="2"/>
        <v>0.18180000000006658</v>
      </c>
      <c r="H9" s="74"/>
    </row>
    <row r="10" spans="1:7" s="10" customFormat="1" ht="14.25">
      <c r="A10" s="15" t="s">
        <v>610</v>
      </c>
      <c r="B10" s="63">
        <v>14.69</v>
      </c>
      <c r="C10" s="64"/>
      <c r="D10" s="103">
        <f t="shared" si="0"/>
        <v>0</v>
      </c>
      <c r="E10" s="115">
        <f t="shared" si="1"/>
        <v>1155.5154</v>
      </c>
      <c r="F10" s="79">
        <v>1181</v>
      </c>
      <c r="G10" s="77">
        <f t="shared" si="2"/>
        <v>25.4846</v>
      </c>
    </row>
    <row r="11" spans="1:8" s="10" customFormat="1" ht="14.25">
      <c r="A11" s="11" t="s">
        <v>169</v>
      </c>
      <c r="B11" s="63">
        <v>53.98</v>
      </c>
      <c r="C11" s="64"/>
      <c r="D11" s="103">
        <f t="shared" si="0"/>
        <v>0</v>
      </c>
      <c r="E11" s="114">
        <f t="shared" si="1"/>
        <v>4246.0668</v>
      </c>
      <c r="F11" s="121">
        <v>4246</v>
      </c>
      <c r="G11" s="14">
        <f t="shared" si="2"/>
        <v>-0.06679999999960273</v>
      </c>
      <c r="H11" s="74"/>
    </row>
    <row r="12" spans="1:7" s="25" customFormat="1" ht="14.25">
      <c r="A12" s="24"/>
      <c r="B12" s="24"/>
      <c r="C12" s="24">
        <f>SUM(C4:C8)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 t="s">
        <v>416</v>
      </c>
      <c r="B16" s="27"/>
    </row>
    <row r="17" spans="1:2" ht="14.25">
      <c r="A17" s="71" t="s">
        <v>610</v>
      </c>
      <c r="B17" s="72" t="s">
        <v>764</v>
      </c>
    </row>
    <row r="18" ht="14.25">
      <c r="A18" s="72"/>
    </row>
    <row r="19" ht="14.25">
      <c r="A19" s="72"/>
    </row>
  </sheetData>
  <sheetProtection/>
  <hyperlinks>
    <hyperlink ref="B17" r:id="rId1" display="http://ru.iherb.com/Vaxa-International-Extress-60-Veggie-Caps/10847 "/>
  </hyperlinks>
  <printOptions/>
  <pageMargins left="0.7" right="0.7" top="0.75" bottom="0.75" header="0.3" footer="0.3"/>
  <pageSetup orientation="portrait" paperSize="9"/>
</worksheet>
</file>

<file path=xl/worksheets/sheet1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80.82</v>
      </c>
      <c r="E1" s="5" t="s">
        <v>2</v>
      </c>
    </row>
    <row r="2" s="5" customFormat="1" ht="14.25">
      <c r="A2" s="6" t="s">
        <v>765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746</v>
      </c>
      <c r="B4" s="63">
        <v>4.95</v>
      </c>
      <c r="C4" s="64"/>
      <c r="D4" s="103">
        <f aca="true" t="shared" si="0" ref="D4:D9">C4*1</f>
        <v>0</v>
      </c>
      <c r="E4" s="114">
        <f aca="true" t="shared" si="1" ref="E4:E9">(B4+D4)*$D$1</f>
        <v>400.05899999999997</v>
      </c>
      <c r="F4" s="121">
        <v>400</v>
      </c>
      <c r="G4" s="14">
        <f aca="true" t="shared" si="2" ref="G4:G9">-E4+F4</f>
        <v>-0.05899999999996908</v>
      </c>
      <c r="H4" s="74"/>
    </row>
    <row r="5" spans="1:7" s="10" customFormat="1" ht="14.25">
      <c r="A5" s="15" t="s">
        <v>408</v>
      </c>
      <c r="B5" s="63">
        <v>13.04</v>
      </c>
      <c r="C5" s="64"/>
      <c r="D5" s="103">
        <f t="shared" si="0"/>
        <v>0</v>
      </c>
      <c r="E5" s="115">
        <f t="shared" si="1"/>
        <v>1053.8927999999999</v>
      </c>
      <c r="F5" s="79">
        <v>1054</v>
      </c>
      <c r="G5" s="77">
        <f t="shared" si="2"/>
        <v>0.10720000000014807</v>
      </c>
    </row>
    <row r="6" spans="1:8" s="10" customFormat="1" ht="14.25">
      <c r="A6" s="11" t="s">
        <v>758</v>
      </c>
      <c r="B6" s="63">
        <v>36.26</v>
      </c>
      <c r="C6" s="64"/>
      <c r="D6" s="103">
        <f t="shared" si="0"/>
        <v>0</v>
      </c>
      <c r="E6" s="114">
        <f t="shared" si="1"/>
        <v>2930.5331999999994</v>
      </c>
      <c r="F6" s="121">
        <v>3656</v>
      </c>
      <c r="G6" s="14">
        <f t="shared" si="2"/>
        <v>725.4668000000006</v>
      </c>
      <c r="H6" s="74"/>
    </row>
    <row r="7" spans="1:7" s="10" customFormat="1" ht="14.25">
      <c r="A7" s="15" t="s">
        <v>660</v>
      </c>
      <c r="B7" s="63">
        <v>53</v>
      </c>
      <c r="C7" s="64"/>
      <c r="D7" s="103">
        <f t="shared" si="0"/>
        <v>0</v>
      </c>
      <c r="E7" s="115">
        <f t="shared" si="1"/>
        <v>4283.46</v>
      </c>
      <c r="F7" s="122">
        <v>4283</v>
      </c>
      <c r="G7" s="77">
        <f t="shared" si="2"/>
        <v>-0.4600000000000364</v>
      </c>
    </row>
    <row r="8" spans="1:8" s="10" customFormat="1" ht="14.25">
      <c r="A8" s="11" t="s">
        <v>756</v>
      </c>
      <c r="B8" s="63">
        <v>38.79</v>
      </c>
      <c r="C8" s="64"/>
      <c r="D8" s="103">
        <f t="shared" si="0"/>
        <v>0</v>
      </c>
      <c r="E8" s="114">
        <f t="shared" si="1"/>
        <v>3135.0078</v>
      </c>
      <c r="F8" s="121">
        <v>3135</v>
      </c>
      <c r="G8" s="14">
        <f t="shared" si="2"/>
        <v>-0.007799999999861029</v>
      </c>
      <c r="H8" s="74"/>
    </row>
    <row r="9" spans="1:7" s="10" customFormat="1" ht="14.25">
      <c r="A9" s="15" t="s">
        <v>69</v>
      </c>
      <c r="B9" s="63">
        <v>12.77</v>
      </c>
      <c r="C9" s="64"/>
      <c r="D9" s="103">
        <f t="shared" si="0"/>
        <v>0</v>
      </c>
      <c r="E9" s="115">
        <f t="shared" si="1"/>
        <v>1032.0713999999998</v>
      </c>
      <c r="F9" s="124">
        <v>1000</v>
      </c>
      <c r="G9" s="77">
        <f t="shared" si="2"/>
        <v>-32.07139999999981</v>
      </c>
    </row>
    <row r="10" spans="1:7" s="25" customFormat="1" ht="14.2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  <row r="102" spans="4:5" ht="14.25">
      <c r="D102" s="43">
        <f>'480'!G7+'489'!G4</f>
        <v>0.35979999999995016</v>
      </c>
      <c r="E102" t="s">
        <v>770</v>
      </c>
    </row>
  </sheetData>
  <sheetProtection/>
  <printOptions/>
  <pageMargins left="0.7" right="0.7" top="0.75" bottom="0.75" header="0.3" footer="0.3"/>
  <pageSetup orientation="portrait" paperSize="9"/>
</worksheet>
</file>

<file path=xl/worksheets/sheet1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42397</v>
      </c>
      <c r="C1" s="3" t="s">
        <v>1</v>
      </c>
      <c r="D1" s="4">
        <v>79.17</v>
      </c>
      <c r="E1" s="5" t="s">
        <v>2</v>
      </c>
    </row>
    <row r="2" s="5" customFormat="1" ht="14.25">
      <c r="A2" s="6" t="s">
        <v>771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757</v>
      </c>
      <c r="B4" s="63">
        <v>18.31</v>
      </c>
      <c r="C4" s="64"/>
      <c r="D4" s="103">
        <f>C4*1</f>
        <v>0</v>
      </c>
      <c r="E4" s="114">
        <f>(B4+D4)*$D$1</f>
        <v>1449.6027</v>
      </c>
      <c r="F4" s="124">
        <v>1450</v>
      </c>
      <c r="G4" s="14">
        <f>-E4+F4</f>
        <v>0.3973000000000866</v>
      </c>
      <c r="H4" s="74"/>
    </row>
    <row r="5" spans="1:7" s="10" customFormat="1" ht="14.25">
      <c r="A5" s="15" t="s">
        <v>284</v>
      </c>
      <c r="B5" s="63">
        <v>13.38</v>
      </c>
      <c r="C5" s="64"/>
      <c r="D5" s="103">
        <f>C5*1</f>
        <v>0</v>
      </c>
      <c r="E5" s="115">
        <f>(B5+D5)*$D$1</f>
        <v>1059.2946000000002</v>
      </c>
      <c r="F5" s="79">
        <v>1059</v>
      </c>
      <c r="G5" s="77">
        <f>-E5+F5</f>
        <v>-0.29460000000017317</v>
      </c>
    </row>
    <row r="6" spans="1:8" s="10" customFormat="1" ht="14.25">
      <c r="A6" s="11" t="s">
        <v>772</v>
      </c>
      <c r="B6" s="63">
        <v>17.32</v>
      </c>
      <c r="C6" s="64"/>
      <c r="D6" s="103">
        <f>C6*1</f>
        <v>0</v>
      </c>
      <c r="E6" s="114">
        <f>(B6+D6)*$D$1</f>
        <v>1371.2244</v>
      </c>
      <c r="F6" s="79">
        <v>1371</v>
      </c>
      <c r="G6" s="14">
        <f>-E6+F6</f>
        <v>-0.22440000000005966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770</v>
      </c>
    </row>
  </sheetData>
  <sheetProtection/>
  <printOptions/>
  <pageMargins left="0.7" right="0.7" top="0.75" bottom="0.75" header="0.3" footer="0.3"/>
  <pageSetup orientation="portrait" paperSize="9"/>
</worksheet>
</file>

<file path=xl/worksheets/sheet1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42399</v>
      </c>
      <c r="C1" s="3" t="s">
        <v>1</v>
      </c>
      <c r="D1" s="4">
        <v>76.03</v>
      </c>
      <c r="E1" s="5" t="s">
        <v>2</v>
      </c>
    </row>
    <row r="2" s="5" customFormat="1" ht="14.25">
      <c r="A2" s="6" t="s">
        <v>773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758</v>
      </c>
      <c r="B4" s="63">
        <v>79</v>
      </c>
      <c r="C4" s="64"/>
      <c r="D4" s="103">
        <f>C4*1</f>
        <v>0</v>
      </c>
      <c r="E4" s="114">
        <f>(B4+D4)*$D$1</f>
        <v>6006.37</v>
      </c>
      <c r="F4" s="123">
        <v>6007</v>
      </c>
      <c r="G4" s="14">
        <f>-E4+F4</f>
        <v>0.6300000000001091</v>
      </c>
      <c r="H4" s="74"/>
    </row>
    <row r="5" spans="1:7" s="10" customFormat="1" ht="14.25">
      <c r="A5" s="15" t="s">
        <v>774</v>
      </c>
      <c r="B5" s="63">
        <v>31.05</v>
      </c>
      <c r="C5" s="64"/>
      <c r="D5" s="103">
        <f>C5*1</f>
        <v>0</v>
      </c>
      <c r="E5" s="115">
        <f>(B5+D5)*$D$1</f>
        <v>2360.7315</v>
      </c>
      <c r="F5" s="79">
        <v>2361</v>
      </c>
      <c r="G5" s="77">
        <f>-E5+F5</f>
        <v>0.26850000000013097</v>
      </c>
    </row>
    <row r="6" spans="1:8" s="10" customFormat="1" ht="14.25">
      <c r="A6" s="11" t="s">
        <v>408</v>
      </c>
      <c r="B6" s="63">
        <v>3.79</v>
      </c>
      <c r="C6" s="64"/>
      <c r="D6" s="103">
        <f>C6*1</f>
        <v>0</v>
      </c>
      <c r="E6" s="114">
        <f>(B6+D6)*$D$1</f>
        <v>288.1537</v>
      </c>
      <c r="F6" s="121">
        <v>288</v>
      </c>
      <c r="G6" s="14">
        <f>-E6+F6</f>
        <v>-0.15370000000001482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5.5">
      <c r="A9" s="125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770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347</v>
      </c>
      <c r="B4" s="63">
        <v>23.16</v>
      </c>
      <c r="C4" s="64"/>
      <c r="D4" s="11"/>
      <c r="E4" s="11">
        <f>(B4+D4)*$D$1</f>
        <v>1465.3332</v>
      </c>
      <c r="F4" s="78">
        <f>1458+7</f>
        <v>1465</v>
      </c>
      <c r="G4" s="14">
        <f>-E4+F4</f>
        <v>-0.33320000000003347</v>
      </c>
      <c r="H4" s="74"/>
    </row>
    <row r="5" spans="1:7" s="10" customFormat="1" ht="14.25">
      <c r="A5" s="15" t="s">
        <v>348</v>
      </c>
      <c r="B5" s="63">
        <v>7.98</v>
      </c>
      <c r="C5" s="64"/>
      <c r="D5" s="11"/>
      <c r="E5" s="76">
        <f>(B5+D5)*$D$1</f>
        <v>504.8946</v>
      </c>
      <c r="F5" s="79">
        <f>502+3</f>
        <v>505</v>
      </c>
      <c r="G5" s="77">
        <f>-E5+F5</f>
        <v>0.10539999999997463</v>
      </c>
    </row>
    <row r="6" spans="1:7" s="25" customFormat="1" ht="14.2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0.75">
      <c r="A9" s="26"/>
    </row>
    <row r="10" ht="30.75">
      <c r="A10" s="26"/>
    </row>
    <row r="11" ht="14.25">
      <c r="A11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42399</v>
      </c>
      <c r="C1" s="3" t="s">
        <v>1</v>
      </c>
      <c r="D1" s="4">
        <v>76.03</v>
      </c>
      <c r="E1" s="5" t="s">
        <v>2</v>
      </c>
    </row>
    <row r="2" s="5" customFormat="1" ht="14.25">
      <c r="A2" s="6" t="s">
        <v>773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336</v>
      </c>
      <c r="B4" s="63">
        <v>23.96</v>
      </c>
      <c r="C4" s="64"/>
      <c r="D4" s="103">
        <f>C4*1</f>
        <v>0</v>
      </c>
      <c r="E4" s="114">
        <f>(B4+D4)*$D$1</f>
        <v>1821.6788000000001</v>
      </c>
      <c r="F4" s="124">
        <v>1822</v>
      </c>
      <c r="G4" s="14">
        <f>-E4+F4</f>
        <v>0.3211999999998625</v>
      </c>
      <c r="H4" s="74"/>
    </row>
    <row r="5" spans="1:7" s="10" customFormat="1" ht="14.25">
      <c r="A5" s="15" t="s">
        <v>512</v>
      </c>
      <c r="B5" s="63">
        <v>13.17</v>
      </c>
      <c r="C5" s="64"/>
      <c r="D5" s="103">
        <f>C5*1</f>
        <v>0</v>
      </c>
      <c r="E5" s="115">
        <f>(B5+D5)*$D$1</f>
        <v>1001.3151</v>
      </c>
      <c r="F5" s="79">
        <v>1001</v>
      </c>
      <c r="G5" s="77">
        <f>-E5+F5</f>
        <v>-0.31510000000002947</v>
      </c>
    </row>
    <row r="6" spans="1:8" s="10" customFormat="1" ht="14.25">
      <c r="A6" s="11" t="s">
        <v>367</v>
      </c>
      <c r="B6" s="63">
        <v>3.3</v>
      </c>
      <c r="C6" s="64"/>
      <c r="D6" s="103">
        <f>C6*1</f>
        <v>0</v>
      </c>
      <c r="E6" s="114">
        <f>(B6+D6)*$D$1</f>
        <v>250.899</v>
      </c>
      <c r="F6" s="124">
        <v>250</v>
      </c>
      <c r="G6" s="14">
        <f>-E6+F6</f>
        <v>-0.8990000000000009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770</v>
      </c>
    </row>
  </sheetData>
  <sheetProtection/>
  <printOptions/>
  <pageMargins left="0.7" right="0.7" top="0.75" bottom="0.75" header="0.3" footer="0.3"/>
  <pageSetup orientation="portrait" paperSize="9"/>
</worksheet>
</file>

<file path=xl/worksheets/sheet19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255</v>
      </c>
      <c r="B4" s="63">
        <v>3.84</v>
      </c>
      <c r="C4" s="64"/>
      <c r="D4" s="103">
        <f>C4*1</f>
        <v>0</v>
      </c>
      <c r="E4" s="114">
        <f>(B4+D4)*$D$1</f>
        <v>296.60159999999996</v>
      </c>
      <c r="F4" s="79">
        <v>292.23</v>
      </c>
      <c r="G4" s="14">
        <f>-E4+F4</f>
        <v>-4.371599999999944</v>
      </c>
      <c r="H4" s="74"/>
    </row>
    <row r="5" spans="1:7" s="10" customFormat="1" ht="14.25">
      <c r="A5" s="15" t="s">
        <v>777</v>
      </c>
      <c r="B5" s="63">
        <v>94.66</v>
      </c>
      <c r="C5" s="64"/>
      <c r="D5" s="103">
        <f>C5*1</f>
        <v>0</v>
      </c>
      <c r="E5" s="115">
        <f>(B5+D5)*$D$1</f>
        <v>7311.5383999999995</v>
      </c>
      <c r="F5" s="79">
        <v>7381</v>
      </c>
      <c r="G5" s="77">
        <f>-E5+F5</f>
        <v>69.46160000000054</v>
      </c>
    </row>
    <row r="6" spans="1:8" s="10" customFormat="1" ht="14.25">
      <c r="A6" s="11" t="s">
        <v>621</v>
      </c>
      <c r="B6" s="63">
        <v>17.46</v>
      </c>
      <c r="C6" s="64"/>
      <c r="D6" s="103">
        <f>C6*1</f>
        <v>0</v>
      </c>
      <c r="E6" s="114">
        <f>(B6+D6)*$D$1</f>
        <v>1348.6104</v>
      </c>
      <c r="F6" s="121">
        <v>1349</v>
      </c>
      <c r="G6" s="14">
        <f>-E6+F6</f>
        <v>0.3895999999999731</v>
      </c>
      <c r="H6" s="74"/>
    </row>
    <row r="7" spans="1:7" s="10" customFormat="1" ht="14.25">
      <c r="A7" s="15" t="s">
        <v>760</v>
      </c>
      <c r="B7" s="63"/>
      <c r="C7" s="64"/>
      <c r="D7" s="103">
        <f>C7*1</f>
        <v>0</v>
      </c>
      <c r="E7" s="115">
        <f>(B7+D7)*$D$1</f>
        <v>0</v>
      </c>
      <c r="F7" s="122"/>
      <c r="G7" s="77">
        <f>-E7+F7</f>
        <v>0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770</v>
      </c>
    </row>
  </sheetData>
  <sheetProtection/>
  <printOptions/>
  <pageMargins left="0.7" right="0.7" top="0.75" bottom="0.75" header="0.3" footer="0.3"/>
  <pageSetup orientation="portrait" paperSize="9"/>
</worksheet>
</file>

<file path=xl/worksheets/sheet192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335</v>
      </c>
      <c r="B4" s="63">
        <v>19.44</v>
      </c>
      <c r="C4" s="64"/>
      <c r="D4" s="103">
        <f>C4*1</f>
        <v>0</v>
      </c>
      <c r="E4" s="114">
        <f>(B4+D4)*$D$1</f>
        <v>1501.5456</v>
      </c>
      <c r="F4" s="121">
        <v>1489</v>
      </c>
      <c r="G4" s="14">
        <f>-E4+F4</f>
        <v>-12.545599999999922</v>
      </c>
      <c r="H4" s="74"/>
    </row>
    <row r="5" spans="1:7" s="10" customFormat="1" ht="15" thickBot="1">
      <c r="A5" s="15" t="s">
        <v>778</v>
      </c>
      <c r="B5" s="63">
        <v>3.84</v>
      </c>
      <c r="C5" s="64"/>
      <c r="D5" s="103">
        <f>C5*1</f>
        <v>0</v>
      </c>
      <c r="E5" s="115">
        <f>(B5+D5)*$D$1</f>
        <v>296.60159999999996</v>
      </c>
      <c r="F5" s="108">
        <f>249+48</f>
        <v>297</v>
      </c>
      <c r="G5" s="77">
        <f>-E5+F5</f>
        <v>0.39840000000003783</v>
      </c>
    </row>
    <row r="6" spans="1:8" s="10" customFormat="1" ht="14.25">
      <c r="A6" s="11" t="s">
        <v>758</v>
      </c>
      <c r="B6" s="63">
        <v>33.16</v>
      </c>
      <c r="C6" s="64"/>
      <c r="D6" s="103">
        <f>C6*1</f>
        <v>0</v>
      </c>
      <c r="E6" s="114">
        <f>(B6+D6)*$D$1</f>
        <v>2561.2783999999997</v>
      </c>
      <c r="F6" s="121"/>
      <c r="G6" s="14">
        <f>-E6+F6</f>
        <v>-2561.2783999999997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770</v>
      </c>
    </row>
  </sheetData>
  <sheetProtection/>
  <printOptions/>
  <pageMargins left="0.7" right="0.7" top="0.75" bottom="0.75" header="0.3" footer="0.3"/>
  <pageSetup orientation="portrait" paperSize="9"/>
</worksheet>
</file>

<file path=xl/worksheets/sheet193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758</v>
      </c>
      <c r="B4" s="63">
        <v>80.53</v>
      </c>
      <c r="C4" s="64"/>
      <c r="D4" s="103">
        <f>C4*1</f>
        <v>0</v>
      </c>
      <c r="E4" s="114">
        <f>(B4+D4)*$D$1</f>
        <v>6220.1372</v>
      </c>
      <c r="F4" s="79">
        <v>8781</v>
      </c>
      <c r="G4" s="14">
        <f>-E4+F4</f>
        <v>2560.8628</v>
      </c>
      <c r="H4" s="74"/>
    </row>
    <row r="5" spans="1:7" s="10" customFormat="1" ht="14.25">
      <c r="A5" s="15" t="s">
        <v>223</v>
      </c>
      <c r="B5" s="63">
        <v>28.39</v>
      </c>
      <c r="C5" s="64"/>
      <c r="D5" s="103">
        <f>C5*1</f>
        <v>0</v>
      </c>
      <c r="E5" s="115">
        <f>(B5+D5)*$D$1</f>
        <v>2192.8435999999997</v>
      </c>
      <c r="F5" s="85">
        <v>2193</v>
      </c>
      <c r="G5" s="77">
        <f>-E5+F5</f>
        <v>0.1564000000003034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770</v>
      </c>
    </row>
  </sheetData>
  <sheetProtection/>
  <printOptions/>
  <pageMargins left="0.7" right="0.7" top="0.75" bottom="0.75" header="0.3" footer="0.3"/>
  <pageSetup orientation="portrait" paperSize="9"/>
</worksheet>
</file>

<file path=xl/worksheets/sheet19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410</v>
      </c>
      <c r="B4" s="63">
        <v>18.52</v>
      </c>
      <c r="C4" s="64"/>
      <c r="D4" s="103">
        <f>C4*1</f>
        <v>0</v>
      </c>
      <c r="E4" s="114">
        <f>(B4+D4)*$D$1</f>
        <v>1430.4848</v>
      </c>
      <c r="F4" s="121">
        <v>1430</v>
      </c>
      <c r="G4" s="14">
        <f>-E4+F4</f>
        <v>-0.48479999999995016</v>
      </c>
      <c r="H4" s="74"/>
    </row>
    <row r="5" spans="1:7" s="10" customFormat="1" ht="14.25">
      <c r="A5" s="15" t="s">
        <v>276</v>
      </c>
      <c r="B5" s="63">
        <v>16.57</v>
      </c>
      <c r="C5" s="64"/>
      <c r="D5" s="103">
        <f>C5*1</f>
        <v>0</v>
      </c>
      <c r="E5" s="115">
        <f>(B5+D5)*$D$1</f>
        <v>1279.8668</v>
      </c>
      <c r="F5" s="79">
        <v>1280</v>
      </c>
      <c r="G5" s="77">
        <f>-E5+F5</f>
        <v>0.133199999999988</v>
      </c>
    </row>
    <row r="6" spans="1:8" s="10" customFormat="1" ht="14.25">
      <c r="A6" s="11" t="s">
        <v>169</v>
      </c>
      <c r="B6" s="63">
        <v>61.59</v>
      </c>
      <c r="C6" s="64"/>
      <c r="D6" s="103">
        <f>C6*1</f>
        <v>0</v>
      </c>
      <c r="E6" s="114">
        <f>(B6+D6)*$D$1</f>
        <v>4757.2116</v>
      </c>
      <c r="F6" s="121">
        <v>4757</v>
      </c>
      <c r="G6" s="14">
        <f>-E6+F6</f>
        <v>-0.21159999999963475</v>
      </c>
      <c r="H6" s="74"/>
    </row>
    <row r="7" spans="1:7" s="10" customFormat="1" ht="14.25">
      <c r="A7" s="15" t="s">
        <v>284</v>
      </c>
      <c r="B7" s="63">
        <v>28.84</v>
      </c>
      <c r="C7" s="64"/>
      <c r="D7" s="103">
        <f>C7*1</f>
        <v>0</v>
      </c>
      <c r="E7" s="115">
        <f>(B7+D7)*$D$1</f>
        <v>2227.6016</v>
      </c>
      <c r="F7" s="79">
        <v>2228</v>
      </c>
      <c r="G7" s="77">
        <f>-E7+F7</f>
        <v>0.39840000000003783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416</v>
      </c>
      <c r="B12" s="27"/>
    </row>
    <row r="13" spans="1:2" ht="14.25">
      <c r="A13" s="15" t="s">
        <v>276</v>
      </c>
      <c r="B13" s="72" t="s">
        <v>779</v>
      </c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770</v>
      </c>
    </row>
  </sheetData>
  <sheetProtection/>
  <hyperlinks>
    <hyperlink ref="B13" r:id="rId1" display="http://ru.iherb.com/Jason-Natural-Treatment-Shampoo-Dandruff-Relief-12-fl-oz-355-ml/6253"/>
  </hyperlinks>
  <printOptions/>
  <pageMargins left="0.7" right="0.7" top="0.75" bottom="0.75" header="0.3" footer="0.3"/>
  <pageSetup orientation="portrait" paperSize="9"/>
</worksheet>
</file>

<file path=xl/worksheets/sheet19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780</v>
      </c>
      <c r="B4" s="63">
        <v>21.9</v>
      </c>
      <c r="C4" s="64"/>
      <c r="D4" s="103">
        <f>C4*1</f>
        <v>0</v>
      </c>
      <c r="E4" s="114">
        <f>(B4+D4)*$D$1</f>
        <v>1691.5559999999998</v>
      </c>
      <c r="F4" s="121">
        <v>1692</v>
      </c>
      <c r="G4" s="14">
        <f>-E4+F4</f>
        <v>0.44400000000018736</v>
      </c>
      <c r="H4" s="74"/>
    </row>
    <row r="5" spans="1:8" s="10" customFormat="1" ht="28.5">
      <c r="A5" s="15" t="s">
        <v>164</v>
      </c>
      <c r="B5" s="63">
        <v>65.9</v>
      </c>
      <c r="C5" s="64"/>
      <c r="D5" s="103">
        <f>C5*1</f>
        <v>0</v>
      </c>
      <c r="E5" s="115">
        <f>(B5+D5)*$D$1</f>
        <v>5090.116</v>
      </c>
      <c r="F5" s="79">
        <f>5006+81</f>
        <v>5087</v>
      </c>
      <c r="G5" s="77">
        <f>-E5+F5</f>
        <v>-3.1159999999999854</v>
      </c>
      <c r="H5" s="10" t="s">
        <v>801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770</v>
      </c>
    </row>
  </sheetData>
  <sheetProtection/>
  <printOptions/>
  <pageMargins left="0.7" right="0.7" top="0.75" bottom="0.75" header="0.3" footer="0.3"/>
  <pageSetup orientation="portrait" paperSize="9"/>
</worksheet>
</file>

<file path=xl/worksheets/sheet19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42409</v>
      </c>
      <c r="C1" s="3" t="s">
        <v>1</v>
      </c>
      <c r="D1" s="4">
        <v>79.11</v>
      </c>
      <c r="E1" s="5" t="s">
        <v>2</v>
      </c>
    </row>
    <row r="2" s="5" customFormat="1" ht="14.25">
      <c r="A2" s="6" t="s">
        <v>783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777</v>
      </c>
      <c r="B4" s="63">
        <v>5.5</v>
      </c>
      <c r="C4" s="64"/>
      <c r="D4" s="103">
        <f aca="true" t="shared" si="0" ref="D4:D9">C4*1</f>
        <v>0</v>
      </c>
      <c r="E4" s="114">
        <f aca="true" t="shared" si="1" ref="E4:E9">(B4+D4)*$D$1</f>
        <v>435.105</v>
      </c>
      <c r="F4" s="121">
        <v>435</v>
      </c>
      <c r="G4" s="14">
        <f aca="true" t="shared" si="2" ref="G4:G9">-E4+F4</f>
        <v>-0.10500000000001819</v>
      </c>
      <c r="H4" s="74"/>
    </row>
    <row r="5" spans="1:7" s="10" customFormat="1" ht="14.25">
      <c r="A5" s="15" t="s">
        <v>774</v>
      </c>
      <c r="B5" s="63">
        <v>8.23</v>
      </c>
      <c r="C5" s="64"/>
      <c r="D5" s="103">
        <f t="shared" si="0"/>
        <v>0</v>
      </c>
      <c r="E5" s="114">
        <f t="shared" si="1"/>
        <v>651.0753000000001</v>
      </c>
      <c r="F5" s="79">
        <v>651</v>
      </c>
      <c r="G5" s="77">
        <f t="shared" si="2"/>
        <v>-0.07530000000008386</v>
      </c>
    </row>
    <row r="6" spans="1:8" s="10" customFormat="1" ht="14.25">
      <c r="A6" s="11" t="s">
        <v>512</v>
      </c>
      <c r="B6" s="63">
        <v>3.05</v>
      </c>
      <c r="C6" s="64"/>
      <c r="D6" s="103">
        <f t="shared" si="0"/>
        <v>0</v>
      </c>
      <c r="E6" s="114">
        <f t="shared" si="1"/>
        <v>241.28549999999998</v>
      </c>
      <c r="F6" s="79">
        <v>241</v>
      </c>
      <c r="G6" s="14">
        <f t="shared" si="2"/>
        <v>-0.28549999999998477</v>
      </c>
      <c r="H6" s="74"/>
    </row>
    <row r="7" spans="1:7" s="10" customFormat="1" ht="14.25">
      <c r="A7" s="15" t="s">
        <v>182</v>
      </c>
      <c r="B7" s="10">
        <v>25.58</v>
      </c>
      <c r="C7" s="64"/>
      <c r="D7" s="103">
        <f t="shared" si="0"/>
        <v>0</v>
      </c>
      <c r="E7" s="114">
        <f t="shared" si="1"/>
        <v>2023.6337999999998</v>
      </c>
      <c r="F7" s="122">
        <v>2100</v>
      </c>
      <c r="G7" s="77">
        <f t="shared" si="2"/>
        <v>76.36620000000016</v>
      </c>
    </row>
    <row r="8" spans="1:8" s="10" customFormat="1" ht="14.25">
      <c r="A8" s="11" t="s">
        <v>758</v>
      </c>
      <c r="B8" s="63">
        <v>21.16</v>
      </c>
      <c r="C8" s="64"/>
      <c r="D8" s="103">
        <f t="shared" si="0"/>
        <v>0</v>
      </c>
      <c r="E8" s="114">
        <f t="shared" si="1"/>
        <v>1673.9676</v>
      </c>
      <c r="F8" s="121">
        <v>3000</v>
      </c>
      <c r="G8" s="14">
        <f t="shared" si="2"/>
        <v>1326.0324</v>
      </c>
      <c r="H8" s="74"/>
    </row>
    <row r="9" spans="1:7" s="10" customFormat="1" ht="14.25">
      <c r="A9" s="15" t="s">
        <v>448</v>
      </c>
      <c r="B9" s="63">
        <v>9.77</v>
      </c>
      <c r="C9" s="64"/>
      <c r="D9" s="103">
        <f t="shared" si="0"/>
        <v>0</v>
      </c>
      <c r="E9" s="114">
        <f t="shared" si="1"/>
        <v>772.9046999999999</v>
      </c>
      <c r="F9" s="79">
        <v>773</v>
      </c>
      <c r="G9" s="77">
        <f t="shared" si="2"/>
        <v>0.09530000000006567</v>
      </c>
    </row>
    <row r="10" spans="1:7" s="25" customFormat="1" ht="14.2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416</v>
      </c>
      <c r="B14" s="27"/>
    </row>
    <row r="15" spans="1:2" ht="14.25">
      <c r="A15" s="71" t="s">
        <v>182</v>
      </c>
      <c r="B15" s="72" t="s">
        <v>784</v>
      </c>
    </row>
    <row r="16" spans="1:2" ht="14.25">
      <c r="A16" s="71" t="s">
        <v>777</v>
      </c>
      <c r="B16" s="72" t="s">
        <v>786</v>
      </c>
    </row>
    <row r="17" ht="14.25">
      <c r="A17" s="72"/>
    </row>
    <row r="102" spans="4:5" ht="14.25">
      <c r="D102" s="43">
        <f>'480'!G7+'489'!G4</f>
        <v>0.35979999999995016</v>
      </c>
      <c r="E102" t="s">
        <v>770</v>
      </c>
    </row>
  </sheetData>
  <sheetProtection/>
  <hyperlinks>
    <hyperlink ref="B15" r:id="rId1" display="http://ru.iherb.com/Aquaphor-Lip-Repair-Immediate-Relief-Fragrance-Free-35-fl-oz-10-ml/45772"/>
    <hyperlink ref="B16" r:id="rId2" display="http://www.iherb.com/Thorne-Research-Calcium-Citramate-90-Veggie-Caps/18502"/>
  </hyperlinks>
  <printOptions/>
  <pageMargins left="0.7" right="0.7" top="0.75" bottom="0.75" header="0.3" footer="0.3"/>
  <pageSetup orientation="portrait" paperSize="9"/>
</worksheet>
</file>

<file path=xl/worksheets/sheet19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42409</v>
      </c>
      <c r="C1" s="3" t="s">
        <v>1</v>
      </c>
      <c r="D1" s="4">
        <v>79.11</v>
      </c>
      <c r="E1" s="5" t="s">
        <v>2</v>
      </c>
    </row>
    <row r="2" s="5" customFormat="1" ht="14.25">
      <c r="A2" s="6" t="s">
        <v>783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660</v>
      </c>
      <c r="B4" s="63">
        <v>62.9</v>
      </c>
      <c r="C4" s="64"/>
      <c r="D4" s="103">
        <f>C4*1</f>
        <v>0</v>
      </c>
      <c r="E4" s="114">
        <f>(B4+D4)*$D$1</f>
        <v>4976.019</v>
      </c>
      <c r="F4" s="79">
        <v>4976</v>
      </c>
      <c r="G4" s="14">
        <f>-E4+F4</f>
        <v>-0.01900000000023283</v>
      </c>
      <c r="H4" s="74"/>
    </row>
    <row r="5" spans="1:7" s="10" customFormat="1" ht="14.25">
      <c r="A5" s="15" t="s">
        <v>408</v>
      </c>
      <c r="B5" s="63">
        <v>17.78</v>
      </c>
      <c r="C5" s="64"/>
      <c r="D5" s="103">
        <f>C5*1</f>
        <v>0</v>
      </c>
      <c r="E5" s="115">
        <f>(B5+D5)*$D$1</f>
        <v>1406.5758</v>
      </c>
      <c r="F5" s="79">
        <v>1406</v>
      </c>
      <c r="G5" s="77">
        <f>-E5+F5</f>
        <v>-0.575800000000072</v>
      </c>
    </row>
    <row r="6" spans="1:8" s="10" customFormat="1" ht="14.25">
      <c r="A6" s="11" t="s">
        <v>590</v>
      </c>
      <c r="B6" s="63">
        <v>14.64</v>
      </c>
      <c r="C6" s="64"/>
      <c r="D6" s="103">
        <f>C6*1</f>
        <v>0</v>
      </c>
      <c r="E6" s="114">
        <f>(B6+D6)*$D$1</f>
        <v>1158.1704</v>
      </c>
      <c r="F6" s="121">
        <v>1158</v>
      </c>
      <c r="G6" s="14">
        <f>-E6+F6</f>
        <v>-0.17039999999997235</v>
      </c>
      <c r="H6" s="74"/>
    </row>
    <row r="7" spans="1:7" s="10" customFormat="1" ht="14.25">
      <c r="A7" s="15" t="s">
        <v>169</v>
      </c>
      <c r="B7" s="63">
        <v>4.69</v>
      </c>
      <c r="C7" s="64"/>
      <c r="D7" s="103">
        <f>C7*1</f>
        <v>0</v>
      </c>
      <c r="E7" s="115">
        <f>(B7+D7)*$D$1</f>
        <v>371.02590000000004</v>
      </c>
      <c r="F7" s="79">
        <v>371</v>
      </c>
      <c r="G7" s="77">
        <f>-E7+F7</f>
        <v>-0.02590000000003556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416</v>
      </c>
      <c r="B12" s="27"/>
    </row>
    <row r="13" spans="1:2" ht="14.25">
      <c r="A13" s="71" t="s">
        <v>590</v>
      </c>
      <c r="B13" s="72" t="s">
        <v>785</v>
      </c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770</v>
      </c>
    </row>
  </sheetData>
  <sheetProtection/>
  <hyperlinks>
    <hyperlink ref="B13" r:id="rId1" display="http://ru.iherb.com/E-L-F-Cosmetics-Mineral-Eyeshadow-Primer-Sheer-15-oz-4-5-g/51584"/>
  </hyperlinks>
  <printOptions/>
  <pageMargins left="0.7" right="0.7" top="0.75" bottom="0.75" header="0.3" footer="0.3"/>
  <pageSetup orientation="portrait" paperSize="9"/>
</worksheet>
</file>

<file path=xl/worksheets/sheet19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42410</v>
      </c>
      <c r="C1" s="3" t="s">
        <v>1</v>
      </c>
      <c r="D1" s="4">
        <v>79.8</v>
      </c>
      <c r="E1" s="5" t="s">
        <v>2</v>
      </c>
    </row>
    <row r="2" s="5" customFormat="1" ht="14.25">
      <c r="A2" s="6" t="s">
        <v>789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</v>
      </c>
      <c r="B4" s="63">
        <v>14.38</v>
      </c>
      <c r="C4" s="64"/>
      <c r="D4" s="103">
        <f>C4*1</f>
        <v>0</v>
      </c>
      <c r="E4" s="114">
        <f>(B4+D4)*$D$1</f>
        <v>1147.5240000000001</v>
      </c>
      <c r="F4" s="79">
        <v>1148</v>
      </c>
      <c r="G4" s="14">
        <f>-E4+F4</f>
        <v>0.4759999999998854</v>
      </c>
      <c r="H4" s="74"/>
    </row>
    <row r="5" spans="1:7" s="10" customFormat="1" ht="14.25">
      <c r="A5" s="15" t="s">
        <v>777</v>
      </c>
      <c r="B5" s="63">
        <v>23.4</v>
      </c>
      <c r="C5" s="64"/>
      <c r="D5" s="103">
        <f>C5*1</f>
        <v>0</v>
      </c>
      <c r="E5" s="115">
        <f>(B5+D5)*$D$1</f>
        <v>1867.3199999999997</v>
      </c>
      <c r="F5" s="79">
        <v>1867</v>
      </c>
      <c r="G5" s="77">
        <f>-E5+F5</f>
        <v>-0.31999999999970896</v>
      </c>
    </row>
    <row r="6" spans="1:8" s="10" customFormat="1" ht="14.25">
      <c r="A6" s="11" t="s">
        <v>791</v>
      </c>
      <c r="B6" s="63">
        <v>11.52</v>
      </c>
      <c r="C6" s="64"/>
      <c r="D6" s="103">
        <f>C6*1</f>
        <v>0</v>
      </c>
      <c r="E6" s="114">
        <f>(B6+D6)*$D$1</f>
        <v>919.2959999999999</v>
      </c>
      <c r="F6" s="85">
        <v>919</v>
      </c>
      <c r="G6" s="14">
        <f>-E6+F6</f>
        <v>-0.2959999999999354</v>
      </c>
      <c r="H6" s="74"/>
    </row>
    <row r="7" spans="1:7" s="10" customFormat="1" ht="14.25">
      <c r="A7" s="15" t="s">
        <v>640</v>
      </c>
      <c r="B7" s="63">
        <v>4.79</v>
      </c>
      <c r="C7" s="64"/>
      <c r="D7" s="103">
        <f>C7*1</f>
        <v>0</v>
      </c>
      <c r="E7" s="115">
        <f>(B7+D7)*$D$1</f>
        <v>382.24199999999996</v>
      </c>
      <c r="F7" s="85">
        <v>382</v>
      </c>
      <c r="G7" s="77">
        <f>-E7+F7</f>
        <v>-0.2419999999999618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790</v>
      </c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770</v>
      </c>
    </row>
  </sheetData>
  <sheetProtection/>
  <printOptions/>
  <pageMargins left="0.7" right="0.7" top="0.75" bottom="0.75" header="0.3" footer="0.3"/>
  <pageSetup orientation="portrait" paperSize="9"/>
</worksheet>
</file>

<file path=xl/worksheets/sheet199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42410</v>
      </c>
      <c r="C1" s="3" t="s">
        <v>1</v>
      </c>
      <c r="D1" s="4">
        <v>79.8</v>
      </c>
      <c r="E1" s="5" t="s">
        <v>2</v>
      </c>
    </row>
    <row r="2" s="5" customFormat="1" ht="14.25">
      <c r="A2" s="6" t="s">
        <v>789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120</v>
      </c>
      <c r="B4" s="63">
        <v>35.92</v>
      </c>
      <c r="C4" s="64"/>
      <c r="D4" s="103">
        <f>C4*1</f>
        <v>0</v>
      </c>
      <c r="E4" s="114">
        <f>(B4+D4)*$D$1</f>
        <v>2866.416</v>
      </c>
      <c r="F4" s="79">
        <v>2866</v>
      </c>
      <c r="G4" s="14">
        <f>-E4+F4</f>
        <v>-0.41600000000016735</v>
      </c>
      <c r="H4" s="74"/>
    </row>
    <row r="5" spans="1:7" s="10" customFormat="1" ht="14.25">
      <c r="A5" s="15" t="s">
        <v>29</v>
      </c>
      <c r="B5" s="63">
        <v>9.95</v>
      </c>
      <c r="C5" s="64"/>
      <c r="D5" s="103">
        <f>C5*1</f>
        <v>0</v>
      </c>
      <c r="E5" s="115">
        <f>(B5+D5)*$D$1</f>
        <v>794.0099999999999</v>
      </c>
      <c r="F5" s="85">
        <v>794</v>
      </c>
      <c r="G5" s="77">
        <f>-E5+F5</f>
        <v>-0.009999999999877218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770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4.25">
      <c r="A2" s="6" t="s">
        <v>300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189</v>
      </c>
      <c r="B4" s="12">
        <v>10.44</v>
      </c>
      <c r="C4" s="12">
        <v>1.19</v>
      </c>
      <c r="D4" s="11">
        <f aca="true" t="shared" si="0" ref="D4:D11">C4/$C$12*$D$12</f>
        <v>2.394366197183099</v>
      </c>
      <c r="E4" s="11">
        <f aca="true" t="shared" si="1" ref="E4:E10">(B4+D4)*$D$1</f>
        <v>739.9012112676055</v>
      </c>
      <c r="F4" s="13">
        <v>740</v>
      </c>
      <c r="G4" s="14">
        <f aca="true" t="shared" si="2" ref="G4:G10">-E4+F4</f>
        <v>0.09878873239449604</v>
      </c>
    </row>
    <row r="5" spans="1:7" s="10" customFormat="1" ht="14.25">
      <c r="A5" s="15" t="s">
        <v>169</v>
      </c>
      <c r="B5" s="16">
        <v>18.24</v>
      </c>
      <c r="C5" s="17">
        <v>0.76</v>
      </c>
      <c r="D5" s="11">
        <f t="shared" si="0"/>
        <v>1.529175050301811</v>
      </c>
      <c r="E5" s="11">
        <f t="shared" si="1"/>
        <v>1139.6929416498992</v>
      </c>
      <c r="F5" s="13">
        <v>1123</v>
      </c>
      <c r="G5" s="14">
        <f t="shared" si="2"/>
        <v>-16.69294164989924</v>
      </c>
    </row>
    <row r="6" spans="1:7" s="10" customFormat="1" ht="14.25">
      <c r="A6" s="11" t="s">
        <v>224</v>
      </c>
      <c r="B6" s="16">
        <v>1.99</v>
      </c>
      <c r="C6" s="17">
        <v>0.03</v>
      </c>
      <c r="D6" s="11">
        <f t="shared" si="0"/>
        <v>0.06036217303822938</v>
      </c>
      <c r="E6" s="11">
        <f t="shared" si="1"/>
        <v>118.20337927565392</v>
      </c>
      <c r="F6" s="13">
        <v>118</v>
      </c>
      <c r="G6" s="14">
        <f t="shared" si="2"/>
        <v>-0.20337927565391567</v>
      </c>
    </row>
    <row r="7" spans="1:7" s="10" customFormat="1" ht="14.25">
      <c r="A7" s="11" t="s">
        <v>301</v>
      </c>
      <c r="B7" s="16">
        <v>12.4</v>
      </c>
      <c r="C7" s="17">
        <v>0.27</v>
      </c>
      <c r="D7" s="11">
        <f>C7/$C$12*$D$12</f>
        <v>0.5432595573440645</v>
      </c>
      <c r="E7" s="11">
        <f t="shared" si="1"/>
        <v>746.1789134808854</v>
      </c>
      <c r="F7" s="13">
        <v>746</v>
      </c>
      <c r="G7" s="14">
        <f t="shared" si="2"/>
        <v>-0.1789134808853987</v>
      </c>
    </row>
    <row r="8" spans="1:7" s="10" customFormat="1" ht="14.25">
      <c r="A8" s="11" t="s">
        <v>58</v>
      </c>
      <c r="B8" s="16">
        <v>5.66</v>
      </c>
      <c r="C8" s="17">
        <v>0.38</v>
      </c>
      <c r="D8" s="11">
        <f>C8/$C$12*$D$12</f>
        <v>0.7645875251509054</v>
      </c>
      <c r="E8" s="11">
        <f>(B8+D8)*$D$1</f>
        <v>370.3774708249497</v>
      </c>
      <c r="F8" s="13">
        <v>370</v>
      </c>
      <c r="G8" s="14">
        <f>-E8+F8</f>
        <v>-0.37747082494968254</v>
      </c>
    </row>
    <row r="9" spans="1:7" s="10" customFormat="1" ht="14.25">
      <c r="A9" s="11" t="s">
        <v>284</v>
      </c>
      <c r="B9" s="16">
        <v>10.91</v>
      </c>
      <c r="C9" s="17">
        <v>0.17</v>
      </c>
      <c r="D9" s="11">
        <f>C9/$C$12*$D$12</f>
        <v>0.3420523138832998</v>
      </c>
      <c r="E9" s="11">
        <f t="shared" si="1"/>
        <v>648.6808158953722</v>
      </c>
      <c r="F9" s="13">
        <v>649</v>
      </c>
      <c r="G9" s="14">
        <f t="shared" si="2"/>
        <v>0.3191841046277659</v>
      </c>
    </row>
    <row r="10" spans="1:7" s="10" customFormat="1" ht="14.25">
      <c r="A10" s="11" t="s">
        <v>100</v>
      </c>
      <c r="B10" s="18">
        <v>33.45</v>
      </c>
      <c r="C10" s="19">
        <v>1.17</v>
      </c>
      <c r="D10" s="11">
        <f>C10/$C$12*$D$12</f>
        <v>2.3541247484909453</v>
      </c>
      <c r="E10" s="11">
        <f t="shared" si="1"/>
        <v>2064.107791750503</v>
      </c>
      <c r="F10" s="13">
        <v>2064</v>
      </c>
      <c r="G10" s="14">
        <f t="shared" si="2"/>
        <v>-0.10779175050311096</v>
      </c>
    </row>
    <row r="11" spans="1:7" s="10" customFormat="1" ht="14.25">
      <c r="A11" s="15" t="s">
        <v>10</v>
      </c>
      <c r="B11" s="20"/>
      <c r="C11" s="20">
        <v>1</v>
      </c>
      <c r="D11" s="11">
        <f t="shared" si="0"/>
        <v>2.012072434607646</v>
      </c>
      <c r="E11" s="21"/>
      <c r="F11" s="22"/>
      <c r="G11" s="23"/>
    </row>
    <row r="12" spans="1:7" s="25" customFormat="1" ht="14.25">
      <c r="A12" s="24"/>
      <c r="B12" s="24"/>
      <c r="C12" s="24">
        <f>SUM(C4:C11)</f>
        <v>4.97</v>
      </c>
      <c r="D12" s="24">
        <v>10</v>
      </c>
      <c r="E12" s="24"/>
      <c r="F12" s="24"/>
      <c r="G12" s="24"/>
    </row>
    <row r="15" ht="30.75">
      <c r="A15" s="26"/>
    </row>
    <row r="16" ht="30.75">
      <c r="A16" s="26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4.25">
      <c r="A2" s="6" t="s">
        <v>350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69</v>
      </c>
      <c r="B4" s="63">
        <v>92.25</v>
      </c>
      <c r="C4" s="64">
        <v>2.28</v>
      </c>
      <c r="D4" s="11">
        <f>C4/$C$7*$D$7</f>
        <v>4.779874213836478</v>
      </c>
      <c r="E4" s="11">
        <f>(B4+D4)*$D$1</f>
        <v>6225.4367295597485</v>
      </c>
      <c r="F4" s="78">
        <f>6185+60</f>
        <v>6245</v>
      </c>
      <c r="G4" s="14">
        <f>-E4+F4</f>
        <v>19.563270440251472</v>
      </c>
      <c r="H4" s="74"/>
    </row>
    <row r="5" spans="1:7" s="10" customFormat="1" ht="14.25">
      <c r="A5" s="15" t="s">
        <v>169</v>
      </c>
      <c r="B5" s="63">
        <v>39.76</v>
      </c>
      <c r="C5" s="64">
        <v>0.87</v>
      </c>
      <c r="D5" s="11">
        <f>C5/$C$7*$D$7</f>
        <v>1.8238993710691824</v>
      </c>
      <c r="E5" s="76">
        <f>(B5+D5)*$D$1</f>
        <v>2668.0229836477984</v>
      </c>
      <c r="F5" s="79">
        <v>2694</v>
      </c>
      <c r="G5" s="77">
        <f>-E5+F5</f>
        <v>25.977016352201645</v>
      </c>
    </row>
    <row r="6" spans="1:7" s="10" customFormat="1" ht="14.25">
      <c r="A6" s="15" t="s">
        <v>10</v>
      </c>
      <c r="B6" s="24"/>
      <c r="C6" s="20">
        <v>1.62</v>
      </c>
      <c r="D6" s="11">
        <f>C6/$C$7*$D$7</f>
        <v>3.3962264150943398</v>
      </c>
      <c r="E6" s="21"/>
      <c r="F6" s="22"/>
      <c r="G6" s="23"/>
    </row>
    <row r="7" spans="1:7" s="25" customFormat="1" ht="14.25">
      <c r="A7" s="24"/>
      <c r="B7" s="24"/>
      <c r="C7" s="24">
        <f>SUM(C4:C6)</f>
        <v>4.77</v>
      </c>
      <c r="D7" s="24">
        <v>10</v>
      </c>
      <c r="E7" s="24"/>
      <c r="F7" s="24"/>
      <c r="G7" s="24"/>
    </row>
    <row r="10" ht="30.75">
      <c r="A10" s="26"/>
    </row>
    <row r="11" ht="30.75">
      <c r="A11" s="26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20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42418</v>
      </c>
      <c r="C1" s="3" t="s">
        <v>1</v>
      </c>
      <c r="D1" s="4">
        <v>78.51</v>
      </c>
      <c r="E1" s="5" t="s">
        <v>2</v>
      </c>
    </row>
    <row r="2" s="5" customFormat="1" ht="14.25">
      <c r="A2" s="6" t="s">
        <v>792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24</v>
      </c>
      <c r="B4" s="63">
        <v>7.88</v>
      </c>
      <c r="C4" s="64"/>
      <c r="D4" s="103">
        <f>C4*1</f>
        <v>0</v>
      </c>
      <c r="E4" s="114">
        <f>(B4+D4)*$D$1</f>
        <v>618.6588</v>
      </c>
      <c r="F4" s="85">
        <v>618</v>
      </c>
      <c r="G4" s="14">
        <f>-E4+F4</f>
        <v>-0.658800000000042</v>
      </c>
      <c r="H4" s="74"/>
    </row>
    <row r="5" spans="1:7" s="10" customFormat="1" ht="14.25">
      <c r="A5" s="15" t="s">
        <v>758</v>
      </c>
      <c r="B5" s="63">
        <v>105.98</v>
      </c>
      <c r="C5" s="64"/>
      <c r="D5" s="103">
        <f>C5*1</f>
        <v>0</v>
      </c>
      <c r="E5" s="115">
        <f>(B5+D5)*$D$1</f>
        <v>8320.489800000001</v>
      </c>
      <c r="F5" s="85">
        <v>6995</v>
      </c>
      <c r="G5" s="77">
        <f>-E5+F5</f>
        <v>-1325.4898000000012</v>
      </c>
    </row>
    <row r="6" spans="1:8" s="10" customFormat="1" ht="14.25">
      <c r="A6" s="11" t="s">
        <v>660</v>
      </c>
      <c r="B6" s="63">
        <v>19.2</v>
      </c>
      <c r="C6" s="64"/>
      <c r="D6" s="103">
        <f>C6*1</f>
        <v>0</v>
      </c>
      <c r="E6" s="114">
        <f>(B6+D6)*$D$1</f>
        <v>1507.392</v>
      </c>
      <c r="F6" s="85">
        <v>1507</v>
      </c>
      <c r="G6" s="14">
        <f>-E6+F6</f>
        <v>-0.39200000000005275</v>
      </c>
      <c r="H6" s="74"/>
    </row>
    <row r="7" spans="1:7" s="10" customFormat="1" ht="14.25">
      <c r="A7" s="15" t="s">
        <v>34</v>
      </c>
      <c r="B7" s="63">
        <v>7.14</v>
      </c>
      <c r="C7" s="64"/>
      <c r="D7" s="103">
        <f>C7*1</f>
        <v>0</v>
      </c>
      <c r="E7" s="115">
        <f>(B7+D7)*$D$1</f>
        <v>560.5614</v>
      </c>
      <c r="F7" s="79">
        <v>560</v>
      </c>
      <c r="G7" s="77">
        <f>-E7+F7</f>
        <v>-0.5614000000000487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770</v>
      </c>
    </row>
  </sheetData>
  <sheetProtection/>
  <printOptions/>
  <pageMargins left="0.7" right="0.7" top="0.75" bottom="0.75" header="0.3" footer="0.3"/>
  <pageSetup orientation="portrait" paperSize="9"/>
</worksheet>
</file>

<file path=xl/worksheets/sheet20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42418</v>
      </c>
      <c r="C1" s="3" t="s">
        <v>1</v>
      </c>
      <c r="D1" s="4">
        <v>78.51</v>
      </c>
      <c r="E1" s="5" t="s">
        <v>2</v>
      </c>
    </row>
    <row r="2" s="5" customFormat="1" ht="14.25">
      <c r="A2" s="6" t="s">
        <v>792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738</v>
      </c>
      <c r="B4" s="63">
        <v>20.47</v>
      </c>
      <c r="C4" s="64"/>
      <c r="D4" s="103">
        <f>C4*1</f>
        <v>0</v>
      </c>
      <c r="E4" s="114">
        <f>(B4+D4)*$D$1</f>
        <v>1607.0997</v>
      </c>
      <c r="F4" s="79">
        <v>1607</v>
      </c>
      <c r="G4" s="14">
        <f>-E4+F4</f>
        <v>-0.09969999999998436</v>
      </c>
      <c r="H4" s="74"/>
    </row>
    <row r="5" spans="1:7" s="10" customFormat="1" ht="14.25">
      <c r="A5" s="15" t="s">
        <v>793</v>
      </c>
      <c r="B5" s="63">
        <v>48.34</v>
      </c>
      <c r="C5" s="64"/>
      <c r="D5" s="103">
        <f>C5*1</f>
        <v>0</v>
      </c>
      <c r="E5" s="115">
        <f>(B5+D5)*$D$1</f>
        <v>3795.1734000000006</v>
      </c>
      <c r="F5" s="85">
        <v>3795</v>
      </c>
      <c r="G5" s="77">
        <f>-E5+F5</f>
        <v>-0.17340000000058353</v>
      </c>
    </row>
    <row r="6" spans="1:8" s="10" customFormat="1" ht="14.25">
      <c r="A6" s="11" t="s">
        <v>203</v>
      </c>
      <c r="B6" s="63">
        <v>45.37</v>
      </c>
      <c r="C6" s="64"/>
      <c r="D6" s="103">
        <f>C6*1</f>
        <v>0</v>
      </c>
      <c r="E6" s="114">
        <f>(B6+D6)*$D$1</f>
        <v>3561.9987</v>
      </c>
      <c r="F6" s="121">
        <v>3562</v>
      </c>
      <c r="G6" s="14">
        <f>-E6+F6</f>
        <v>0.001299999999901047</v>
      </c>
      <c r="H6" s="74"/>
    </row>
    <row r="7" spans="1:7" s="10" customFormat="1" ht="14.25">
      <c r="A7" s="15" t="s">
        <v>410</v>
      </c>
      <c r="B7" s="63">
        <v>23.19</v>
      </c>
      <c r="C7" s="64"/>
      <c r="D7" s="103">
        <f>C7*1</f>
        <v>0</v>
      </c>
      <c r="E7" s="115">
        <f>(B7+D7)*$D$1</f>
        <v>1820.6469000000002</v>
      </c>
      <c r="F7" s="85">
        <v>1821</v>
      </c>
      <c r="G7" s="77">
        <f>-E7+F7</f>
        <v>0.353099999999813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770</v>
      </c>
    </row>
  </sheetData>
  <sheetProtection/>
  <printOptions/>
  <pageMargins left="0.7" right="0.7" top="0.75" bottom="0.75" header="0.3" footer="0.3"/>
  <pageSetup orientation="portrait" paperSize="9"/>
</worksheet>
</file>

<file path=xl/worksheets/sheet20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4.25">
      <c r="A2" s="6" t="s">
        <v>794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758</v>
      </c>
      <c r="B4" s="63">
        <v>25.95</v>
      </c>
      <c r="C4" s="64"/>
      <c r="D4" s="103">
        <f>C4*1</f>
        <v>0</v>
      </c>
      <c r="E4" s="114">
        <f>(B4+D4)*$D$1</f>
        <v>2007.7515</v>
      </c>
      <c r="F4" s="79">
        <v>2007</v>
      </c>
      <c r="G4" s="14">
        <f>-E4+F4</f>
        <v>-0.7515000000000782</v>
      </c>
      <c r="H4" s="74"/>
    </row>
    <row r="5" spans="1:7" s="10" customFormat="1" ht="14.25">
      <c r="A5" s="15" t="s">
        <v>182</v>
      </c>
      <c r="B5" s="63">
        <v>4.76</v>
      </c>
      <c r="C5" s="64"/>
      <c r="D5" s="103">
        <f>C5*1</f>
        <v>0</v>
      </c>
      <c r="E5" s="115">
        <f>(B5+D5)*$D$1</f>
        <v>368.2812</v>
      </c>
      <c r="F5" s="79">
        <v>300</v>
      </c>
      <c r="G5" s="77">
        <f>-E5+F5</f>
        <v>-68.28120000000001</v>
      </c>
    </row>
    <row r="6" spans="1:8" s="10" customFormat="1" ht="14.25">
      <c r="A6" s="11" t="s">
        <v>49</v>
      </c>
      <c r="B6" s="63">
        <v>38.57</v>
      </c>
      <c r="C6" s="64"/>
      <c r="D6" s="103">
        <f>C6*1</f>
        <v>0</v>
      </c>
      <c r="E6" s="114">
        <f>(B6+D6)*$D$1</f>
        <v>2984.1609000000003</v>
      </c>
      <c r="F6" s="85">
        <v>2985</v>
      </c>
      <c r="G6" s="14">
        <f>-E6+F6</f>
        <v>0.8390999999996893</v>
      </c>
      <c r="H6" s="74"/>
    </row>
    <row r="7" spans="1:7" s="10" customFormat="1" ht="14.25">
      <c r="A7" s="15" t="s">
        <v>408</v>
      </c>
      <c r="B7" s="63">
        <v>13.04</v>
      </c>
      <c r="C7" s="64"/>
      <c r="D7" s="103">
        <f>C7*1</f>
        <v>0</v>
      </c>
      <c r="E7" s="115">
        <f>(B7+D7)*$D$1</f>
        <v>1008.9048</v>
      </c>
      <c r="F7" s="79">
        <v>1009</v>
      </c>
      <c r="G7" s="77">
        <f>-E7+F7</f>
        <v>0.09519999999997708</v>
      </c>
    </row>
    <row r="8" spans="1:8" s="10" customFormat="1" ht="14.25">
      <c r="A8" s="11" t="s">
        <v>660</v>
      </c>
      <c r="B8" s="63">
        <v>27.2</v>
      </c>
      <c r="C8" s="64"/>
      <c r="D8" s="103">
        <f>C8*1</f>
        <v>0</v>
      </c>
      <c r="E8" s="114">
        <f>(B8+D8)*$D$1</f>
        <v>2104.464</v>
      </c>
      <c r="F8" s="79">
        <v>2105</v>
      </c>
      <c r="G8" s="14">
        <f>-E8+F8</f>
        <v>0.5360000000000582</v>
      </c>
      <c r="H8" s="74"/>
    </row>
    <row r="9" spans="1:7" s="25" customFormat="1" ht="14.2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770</v>
      </c>
    </row>
  </sheetData>
  <sheetProtection/>
  <printOptions/>
  <pageMargins left="0.7" right="0.7" top="0.75" bottom="0.75" header="0.3" footer="0.3"/>
  <pageSetup orientation="portrait" paperSize="9"/>
</worksheet>
</file>

<file path=xl/worksheets/sheet20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4.25">
      <c r="A2" s="6" t="s">
        <v>794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</v>
      </c>
      <c r="B4" s="63">
        <v>20.88</v>
      </c>
      <c r="C4" s="64"/>
      <c r="D4" s="103">
        <f>C4*1</f>
        <v>0</v>
      </c>
      <c r="E4" s="114">
        <f>(B4+D4)*$D$1</f>
        <v>1615.4856</v>
      </c>
      <c r="F4" s="79">
        <v>1615</v>
      </c>
      <c r="G4" s="14">
        <f>-E4+F4</f>
        <v>-0.4855999999999767</v>
      </c>
      <c r="H4" s="74"/>
    </row>
    <row r="5" spans="1:7" s="10" customFormat="1" ht="14.25">
      <c r="A5" s="15" t="s">
        <v>702</v>
      </c>
      <c r="B5" s="63">
        <v>38.24</v>
      </c>
      <c r="C5" s="64"/>
      <c r="D5" s="103">
        <f>C5*1</f>
        <v>0</v>
      </c>
      <c r="E5" s="115">
        <f>(B5+D5)*$D$1</f>
        <v>2958.6288000000004</v>
      </c>
      <c r="F5" s="79">
        <v>2959</v>
      </c>
      <c r="G5" s="77">
        <f>-E5+F5</f>
        <v>0.37119999999958964</v>
      </c>
    </row>
    <row r="6" spans="1:8" s="10" customFormat="1" ht="14.25">
      <c r="A6" s="11" t="s">
        <v>214</v>
      </c>
      <c r="B6" s="63">
        <v>19.18</v>
      </c>
      <c r="C6" s="64"/>
      <c r="D6" s="103">
        <f>C6*1</f>
        <v>0</v>
      </c>
      <c r="E6" s="114">
        <f>(B6+D6)*$D$1</f>
        <v>1483.9566</v>
      </c>
      <c r="F6" s="79">
        <v>1477</v>
      </c>
      <c r="G6" s="14">
        <f>-E6+F6</f>
        <v>-6.95659999999998</v>
      </c>
      <c r="H6" s="74"/>
    </row>
    <row r="7" spans="1:7" s="10" customFormat="1" ht="14.25">
      <c r="A7" s="15" t="s">
        <v>130</v>
      </c>
      <c r="B7" s="63">
        <v>11.54</v>
      </c>
      <c r="C7" s="64"/>
      <c r="D7" s="103">
        <f>C7*1</f>
        <v>0</v>
      </c>
      <c r="E7" s="115">
        <f>(B7+D7)*$D$1</f>
        <v>892.8498</v>
      </c>
      <c r="F7" s="79">
        <v>892</v>
      </c>
      <c r="G7" s="77">
        <f>-E7+F7</f>
        <v>-0.8497999999999593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770</v>
      </c>
    </row>
  </sheetData>
  <sheetProtection/>
  <printOptions/>
  <pageMargins left="0.7" right="0.7" top="0.75" bottom="0.75" header="0.3" footer="0.3"/>
  <pageSetup orientation="portrait" paperSize="9"/>
</worksheet>
</file>

<file path=xl/worksheets/sheet20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4.25">
      <c r="A2" s="6" t="s">
        <v>794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721</v>
      </c>
      <c r="B4" s="63">
        <v>11</v>
      </c>
      <c r="C4" s="64"/>
      <c r="D4" s="103">
        <f>C4*1</f>
        <v>0</v>
      </c>
      <c r="E4" s="114">
        <f>(B4+D4)*$D$1</f>
        <v>851.07</v>
      </c>
      <c r="F4" s="79">
        <v>851</v>
      </c>
      <c r="G4" s="14">
        <f>-E4+F4</f>
        <v>-0.07000000000005002</v>
      </c>
      <c r="H4" s="74"/>
    </row>
    <row r="5" spans="1:7" s="10" customFormat="1" ht="14.25">
      <c r="A5" s="15" t="s">
        <v>795</v>
      </c>
      <c r="B5" s="63">
        <v>7.69</v>
      </c>
      <c r="C5" s="64"/>
      <c r="D5" s="103">
        <f>C5*1</f>
        <v>0</v>
      </c>
      <c r="E5" s="115">
        <f>(B5+D5)*$D$1</f>
        <v>594.9753000000001</v>
      </c>
      <c r="F5" s="79">
        <v>591</v>
      </c>
      <c r="G5" s="77">
        <f>-E5+F5</f>
        <v>-3.975300000000061</v>
      </c>
    </row>
    <row r="6" spans="1:8" s="10" customFormat="1" ht="14.25">
      <c r="A6" s="11" t="s">
        <v>229</v>
      </c>
      <c r="B6" s="63">
        <v>13.08</v>
      </c>
      <c r="C6" s="64"/>
      <c r="D6" s="103">
        <f>C6*1</f>
        <v>0</v>
      </c>
      <c r="E6" s="114">
        <f>(B6+D6)*$D$1</f>
        <v>1011.9996000000001</v>
      </c>
      <c r="F6" s="79">
        <v>1271</v>
      </c>
      <c r="G6" s="14">
        <f>-E6+F6</f>
        <v>259.0003999999999</v>
      </c>
      <c r="H6" s="74"/>
    </row>
    <row r="7" spans="1:7" s="10" customFormat="1" ht="14.25">
      <c r="A7" s="15" t="s">
        <v>506</v>
      </c>
      <c r="B7" s="63">
        <v>104.74</v>
      </c>
      <c r="C7" s="64"/>
      <c r="D7" s="103">
        <f>C7*1</f>
        <v>0</v>
      </c>
      <c r="E7" s="115">
        <f>(B7+D7)*$D$1</f>
        <v>8103.7338</v>
      </c>
      <c r="F7" s="106">
        <v>8104</v>
      </c>
      <c r="G7" s="77">
        <f>-E7+F7</f>
        <v>0.2662000000000262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770</v>
      </c>
    </row>
  </sheetData>
  <sheetProtection/>
  <printOptions/>
  <pageMargins left="0.7" right="0.7" top="0.75" bottom="0.75" header="0.3" footer="0.3"/>
  <pageSetup orientation="portrait" paperSize="9"/>
</worksheet>
</file>

<file path=xl/worksheets/sheet20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42426</v>
      </c>
      <c r="C1" s="3" t="s">
        <v>1</v>
      </c>
      <c r="D1" s="4">
        <v>77.81</v>
      </c>
      <c r="E1" s="5" t="s">
        <v>2</v>
      </c>
    </row>
    <row r="2" s="5" customFormat="1" ht="14.25">
      <c r="A2" s="6" t="s">
        <v>802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795</v>
      </c>
      <c r="B4" s="63">
        <v>18</v>
      </c>
      <c r="C4" s="64"/>
      <c r="D4" s="103">
        <f>C4*1</f>
        <v>0</v>
      </c>
      <c r="E4" s="114">
        <f>(B4+D4)*$D$1</f>
        <v>1400.58</v>
      </c>
      <c r="F4" s="79">
        <v>1407</v>
      </c>
      <c r="G4" s="14">
        <f>-E4+F4</f>
        <v>6.420000000000073</v>
      </c>
      <c r="H4" s="74"/>
    </row>
    <row r="5" spans="1:7" s="10" customFormat="1" ht="14.25">
      <c r="A5" s="15" t="s">
        <v>660</v>
      </c>
      <c r="B5" s="63">
        <v>16.37</v>
      </c>
      <c r="C5" s="64"/>
      <c r="D5" s="103">
        <f>C5*1</f>
        <v>0</v>
      </c>
      <c r="E5" s="115">
        <f>(B5+D5)*$D$1</f>
        <v>1273.7497</v>
      </c>
      <c r="F5" s="79">
        <v>1274</v>
      </c>
      <c r="G5" s="77">
        <f>-E5+F5</f>
        <v>0.2502999999999247</v>
      </c>
    </row>
    <row r="6" spans="1:8" s="10" customFormat="1" ht="14.25">
      <c r="A6" s="11" t="s">
        <v>284</v>
      </c>
      <c r="B6" s="63">
        <v>20.35</v>
      </c>
      <c r="C6" s="64"/>
      <c r="D6" s="103">
        <f>C6*1</f>
        <v>0</v>
      </c>
      <c r="E6" s="114">
        <f>(B6+D6)*$D$1</f>
        <v>1583.4335</v>
      </c>
      <c r="F6" s="79">
        <v>1583</v>
      </c>
      <c r="G6" s="14">
        <f>-E6+F6</f>
        <v>-0.4335000000000946</v>
      </c>
      <c r="H6" s="74"/>
    </row>
    <row r="7" spans="1:7" s="10" customFormat="1" ht="14.25">
      <c r="A7" s="15" t="s">
        <v>803</v>
      </c>
      <c r="B7" s="63">
        <v>12.8</v>
      </c>
      <c r="C7" s="64"/>
      <c r="D7" s="103">
        <f>C7*1</f>
        <v>0</v>
      </c>
      <c r="E7" s="115">
        <f>(B7+D7)*$D$1</f>
        <v>995.9680000000001</v>
      </c>
      <c r="F7" s="85">
        <v>996</v>
      </c>
      <c r="G7" s="77">
        <f>-E7+F7</f>
        <v>0.03199999999992542</v>
      </c>
    </row>
    <row r="8" spans="1:8" s="10" customFormat="1" ht="14.25">
      <c r="A8" s="11" t="s">
        <v>640</v>
      </c>
      <c r="B8" s="63">
        <v>23.49</v>
      </c>
      <c r="C8" s="64"/>
      <c r="D8" s="103">
        <f>C8*1</f>
        <v>0</v>
      </c>
      <c r="E8" s="114">
        <f>(B8+D8)*$D$1</f>
        <v>1827.7568999999999</v>
      </c>
      <c r="F8" s="79">
        <v>1830</v>
      </c>
      <c r="G8" s="14">
        <f>-E8+F8</f>
        <v>2.2431000000001404</v>
      </c>
      <c r="H8" s="74"/>
    </row>
    <row r="9" spans="1:7" s="25" customFormat="1" ht="14.2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770</v>
      </c>
    </row>
  </sheetData>
  <sheetProtection/>
  <printOptions/>
  <pageMargins left="0.7" right="0.7" top="0.75" bottom="0.75" header="0.3" footer="0.3"/>
  <pageSetup orientation="portrait" paperSize="9"/>
</worksheet>
</file>

<file path=xl/worksheets/sheet206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42426</v>
      </c>
      <c r="C1" s="3" t="s">
        <v>1</v>
      </c>
      <c r="D1" s="4">
        <v>77.81</v>
      </c>
      <c r="E1" s="5" t="s">
        <v>2</v>
      </c>
    </row>
    <row r="2" s="5" customFormat="1" ht="14.25">
      <c r="A2" s="6" t="s">
        <v>802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410</v>
      </c>
      <c r="B4" s="63">
        <v>8.79</v>
      </c>
      <c r="C4" s="64"/>
      <c r="D4" s="103">
        <f>C4*1</f>
        <v>0</v>
      </c>
      <c r="E4" s="114">
        <f>(B4+D4)*$D$1</f>
        <v>683.9499</v>
      </c>
      <c r="F4" s="79">
        <v>684</v>
      </c>
      <c r="G4" s="14">
        <f>-E4+F4</f>
        <v>0.05010000000004311</v>
      </c>
      <c r="H4" s="74"/>
    </row>
    <row r="5" spans="1:7" s="10" customFormat="1" ht="14.25">
      <c r="A5" s="15" t="s">
        <v>758</v>
      </c>
      <c r="B5" s="63">
        <v>118.03</v>
      </c>
      <c r="C5" s="64"/>
      <c r="D5" s="103">
        <f>C5*1</f>
        <v>0</v>
      </c>
      <c r="E5" s="115">
        <f>(B5+D5)*$D$1</f>
        <v>9183.9143</v>
      </c>
      <c r="F5" s="79">
        <v>9184</v>
      </c>
      <c r="G5" s="77">
        <f>-E5+F5</f>
        <v>0.08569999999963329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770</v>
      </c>
    </row>
  </sheetData>
  <sheetProtection/>
  <printOptions/>
  <pageMargins left="0.7" right="0.7" top="0.75" bottom="0.75" header="0.3" footer="0.3"/>
  <pageSetup orientation="portrait" paperSize="9"/>
</worksheet>
</file>

<file path=xl/worksheets/sheet207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42429</v>
      </c>
      <c r="C1" s="3" t="s">
        <v>1</v>
      </c>
      <c r="D1" s="4">
        <v>76.53</v>
      </c>
      <c r="E1" s="5" t="s">
        <v>2</v>
      </c>
    </row>
    <row r="2" s="5" customFormat="1" ht="14.25">
      <c r="A2" s="6" t="s">
        <v>804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805</v>
      </c>
      <c r="B4" s="63">
        <v>26.33</v>
      </c>
      <c r="C4" s="64"/>
      <c r="D4" s="103">
        <f>C4*1</f>
        <v>0</v>
      </c>
      <c r="E4" s="114">
        <f>(B4+D4)*$D$1</f>
        <v>2015.0348999999999</v>
      </c>
      <c r="F4" s="79">
        <v>2015</v>
      </c>
      <c r="G4" s="14">
        <f>-E4+F4</f>
        <v>-0.03489999999987958</v>
      </c>
      <c r="H4" s="74"/>
    </row>
    <row r="5" spans="1:7" s="10" customFormat="1" ht="14.25">
      <c r="A5" s="15" t="s">
        <v>660</v>
      </c>
      <c r="B5" s="63">
        <v>18.64</v>
      </c>
      <c r="C5" s="64"/>
      <c r="D5" s="103">
        <f>C5*1</f>
        <v>0</v>
      </c>
      <c r="E5" s="115">
        <f>(B5+D5)*$D$1</f>
        <v>1426.5192</v>
      </c>
      <c r="F5" s="79">
        <v>1426</v>
      </c>
      <c r="G5" s="77">
        <f>-E5+F5</f>
        <v>-0.5191999999999553</v>
      </c>
    </row>
    <row r="6" spans="1:8" s="10" customFormat="1" ht="14.25">
      <c r="A6" s="11" t="s">
        <v>806</v>
      </c>
      <c r="B6" s="63">
        <v>5.95</v>
      </c>
      <c r="C6" s="64"/>
      <c r="D6" s="103">
        <f>C6*1</f>
        <v>0</v>
      </c>
      <c r="E6" s="114">
        <f>(B6+D6)*$D$1</f>
        <v>455.3535</v>
      </c>
      <c r="F6" s="121"/>
      <c r="G6" s="14">
        <f>-E6+F6</f>
        <v>-455.3535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770</v>
      </c>
    </row>
  </sheetData>
  <sheetProtection/>
  <printOptions/>
  <pageMargins left="0.7" right="0.7" top="0.75" bottom="0.75" header="0.3" footer="0.3"/>
  <pageSetup orientation="portrait" paperSize="9"/>
</worksheet>
</file>

<file path=xl/worksheets/sheet20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4.25">
      <c r="A2" s="6" t="s">
        <v>808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660</v>
      </c>
      <c r="B4" s="63">
        <v>44</v>
      </c>
      <c r="C4" s="64"/>
      <c r="D4" s="103">
        <f>C4*1</f>
        <v>0</v>
      </c>
      <c r="E4" s="114">
        <f>(B4+D4)*$D$1</f>
        <v>3178.1200000000003</v>
      </c>
      <c r="F4" s="79">
        <v>3179</v>
      </c>
      <c r="G4" s="14">
        <f>-E4+F4</f>
        <v>0.8799999999996544</v>
      </c>
      <c r="H4" s="74"/>
    </row>
    <row r="5" spans="1:7" s="10" customFormat="1" ht="14.25">
      <c r="A5" s="15" t="s">
        <v>43</v>
      </c>
      <c r="B5" s="63">
        <v>33.96</v>
      </c>
      <c r="C5" s="64"/>
      <c r="D5" s="103">
        <f>C5*1</f>
        <v>0</v>
      </c>
      <c r="E5" s="115">
        <f>(B5+D5)*$D$1</f>
        <v>2452.9308</v>
      </c>
      <c r="F5" s="79">
        <f>110+2493</f>
        <v>2603</v>
      </c>
      <c r="G5" s="77">
        <f>-E5+F5</f>
        <v>150.0691999999999</v>
      </c>
    </row>
    <row r="6" spans="1:8" s="10" customFormat="1" ht="14.25">
      <c r="A6" s="11" t="s">
        <v>708</v>
      </c>
      <c r="B6" s="63">
        <v>9.99</v>
      </c>
      <c r="C6" s="64"/>
      <c r="D6" s="103">
        <f>C6*1</f>
        <v>0</v>
      </c>
      <c r="E6" s="114">
        <f>(B6+D6)*$D$1</f>
        <v>721.5777</v>
      </c>
      <c r="F6" s="79">
        <v>722</v>
      </c>
      <c r="G6" s="14">
        <f>-E6+F6</f>
        <v>0.42229999999995016</v>
      </c>
      <c r="H6" s="74"/>
    </row>
    <row r="7" spans="1:7" s="10" customFormat="1" ht="14.25">
      <c r="A7" s="15" t="s">
        <v>337</v>
      </c>
      <c r="B7" s="63">
        <v>14.03</v>
      </c>
      <c r="C7" s="64"/>
      <c r="D7" s="103">
        <f>C7*1</f>
        <v>0</v>
      </c>
      <c r="E7" s="115">
        <f>(B7+D7)*$D$1</f>
        <v>1013.3869</v>
      </c>
      <c r="F7" s="85">
        <v>1000</v>
      </c>
      <c r="G7" s="77">
        <f>-E7+F7</f>
        <v>-13.386899999999969</v>
      </c>
    </row>
    <row r="8" spans="1:8" s="10" customFormat="1" ht="14.25">
      <c r="A8" s="11" t="s">
        <v>578</v>
      </c>
      <c r="B8" s="63">
        <v>15</v>
      </c>
      <c r="C8" s="64"/>
      <c r="D8" s="103">
        <f>C8*1</f>
        <v>0</v>
      </c>
      <c r="E8" s="114">
        <f>(B8+D8)*$D$1</f>
        <v>1083.45</v>
      </c>
      <c r="F8" s="79">
        <v>1105</v>
      </c>
      <c r="G8" s="14">
        <f>-E8+F8</f>
        <v>21.549999999999955</v>
      </c>
      <c r="H8" s="74"/>
    </row>
    <row r="9" spans="1:7" s="25" customFormat="1" ht="14.2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770</v>
      </c>
    </row>
  </sheetData>
  <sheetProtection/>
  <printOptions/>
  <pageMargins left="0.7" right="0.7" top="0.75" bottom="0.75" header="0.3" footer="0.3"/>
  <pageSetup orientation="portrait" paperSize="9"/>
</worksheet>
</file>

<file path=xl/worksheets/sheet20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4.25">
      <c r="A2" s="6" t="s">
        <v>808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129" t="s">
        <v>8</v>
      </c>
      <c r="G3" s="9" t="s">
        <v>9</v>
      </c>
    </row>
    <row r="4" spans="1:8" s="10" customFormat="1" ht="14.25">
      <c r="A4" s="11" t="s">
        <v>758</v>
      </c>
      <c r="B4" s="63">
        <v>129.19</v>
      </c>
      <c r="C4" s="64"/>
      <c r="D4" s="103">
        <f>C4*1</f>
        <v>0</v>
      </c>
      <c r="E4" s="114">
        <f>(B4+D4)*$D$1</f>
        <v>9331.3937</v>
      </c>
      <c r="F4" s="79">
        <v>9332</v>
      </c>
      <c r="G4" s="14">
        <f>-E4+F4</f>
        <v>0.6062999999994645</v>
      </c>
      <c r="H4" s="74"/>
    </row>
    <row r="5" spans="1:7" s="10" customFormat="1" ht="14.25">
      <c r="A5" s="15" t="s">
        <v>415</v>
      </c>
      <c r="B5" s="63">
        <v>4.05</v>
      </c>
      <c r="C5" s="64"/>
      <c r="D5" s="103">
        <f>C5*1</f>
        <v>0</v>
      </c>
      <c r="E5" s="115">
        <f>(B5+D5)*$D$1</f>
        <v>292.5315</v>
      </c>
      <c r="F5" s="85">
        <v>292</v>
      </c>
      <c r="G5" s="77">
        <f>-E5+F5</f>
        <v>-0.5314999999999941</v>
      </c>
    </row>
    <row r="6" spans="1:8" s="10" customFormat="1" ht="14.25">
      <c r="A6" s="11" t="s">
        <v>506</v>
      </c>
      <c r="B6" s="63">
        <v>10.83</v>
      </c>
      <c r="C6" s="64"/>
      <c r="D6" s="103">
        <f>C6*1</f>
        <v>0</v>
      </c>
      <c r="E6" s="114">
        <f>(B6+D6)*$D$1</f>
        <v>782.2509</v>
      </c>
      <c r="F6" s="79">
        <v>782</v>
      </c>
      <c r="G6" s="14">
        <f>-E6+F6</f>
        <v>-0.25090000000000146</v>
      </c>
      <c r="H6" s="74"/>
    </row>
    <row r="7" spans="1:7" s="10" customFormat="1" ht="14.25">
      <c r="A7" s="15" t="s">
        <v>809</v>
      </c>
      <c r="B7" s="63">
        <v>4.78</v>
      </c>
      <c r="C7" s="64"/>
      <c r="D7" s="103">
        <f>C7*1</f>
        <v>0</v>
      </c>
      <c r="E7" s="115">
        <f>(B7+D7)*$D$1</f>
        <v>345.2594</v>
      </c>
      <c r="F7" s="79">
        <v>345</v>
      </c>
      <c r="G7" s="77">
        <f>-E7+F7</f>
        <v>-0.25940000000002783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B33" sqref="B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4.25">
      <c r="A2" s="6" t="s">
        <v>350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11.79</v>
      </c>
      <c r="C4" s="64">
        <v>0.76</v>
      </c>
      <c r="D4" s="11">
        <f>C4/$C$9*$D$9</f>
        <v>1.688888888888889</v>
      </c>
      <c r="E4" s="11">
        <f>(B4+D4)*$D$1</f>
        <v>864.8055111111111</v>
      </c>
      <c r="F4" s="78">
        <v>880</v>
      </c>
      <c r="G4" s="14">
        <f>-E4+F4</f>
        <v>15.194488888888941</v>
      </c>
      <c r="H4" s="74"/>
    </row>
    <row r="5" spans="1:7" s="10" customFormat="1" ht="14.25">
      <c r="A5" s="15" t="s">
        <v>254</v>
      </c>
      <c r="B5" s="63">
        <v>14.98</v>
      </c>
      <c r="C5" s="64">
        <v>0.23</v>
      </c>
      <c r="D5" s="11">
        <f>C5/$C$9*$D$9</f>
        <v>0.5111111111111112</v>
      </c>
      <c r="E5" s="76">
        <f>(B5+D5)*$D$1</f>
        <v>993.9096888888888</v>
      </c>
      <c r="F5" s="79">
        <v>1004</v>
      </c>
      <c r="G5" s="77">
        <f>-E5+F5</f>
        <v>10.090311111111191</v>
      </c>
    </row>
    <row r="6" spans="1:7" s="10" customFormat="1" ht="14.25">
      <c r="A6" s="15" t="s">
        <v>333</v>
      </c>
      <c r="B6" s="12">
        <v>89.43</v>
      </c>
      <c r="C6" s="12">
        <v>2.9</v>
      </c>
      <c r="D6" s="11">
        <f>C6/$C$9*$D$9</f>
        <v>6.444444444444446</v>
      </c>
      <c r="E6" s="11">
        <f>(B6+D6)*$D$1</f>
        <v>6151.304355555556</v>
      </c>
      <c r="F6" s="69">
        <v>6000</v>
      </c>
      <c r="G6" s="14">
        <f>-E6+F6</f>
        <v>-151.30435555555596</v>
      </c>
    </row>
    <row r="7" spans="1:7" s="10" customFormat="1" ht="14.25">
      <c r="A7" s="15" t="s">
        <v>185</v>
      </c>
      <c r="B7" s="63">
        <v>3.99</v>
      </c>
      <c r="C7" s="64">
        <v>0.03</v>
      </c>
      <c r="D7" s="11">
        <f>C7/$C$9*$D$9</f>
        <v>0.06666666666666668</v>
      </c>
      <c r="E7" s="76">
        <f>(B7+D7)*$D$1</f>
        <v>260.27573333333333</v>
      </c>
      <c r="F7" s="79">
        <v>262</v>
      </c>
      <c r="G7" s="77">
        <f>-E7+F7</f>
        <v>1.724266666666665</v>
      </c>
    </row>
    <row r="8" spans="1:7" s="10" customFormat="1" ht="14.25">
      <c r="A8" s="15" t="s">
        <v>351</v>
      </c>
      <c r="B8" s="12">
        <v>38.46</v>
      </c>
      <c r="C8" s="12">
        <v>0.58</v>
      </c>
      <c r="D8" s="11">
        <f>C8/$C$9*$D$9</f>
        <v>1.2888888888888892</v>
      </c>
      <c r="E8" s="11">
        <f>(B8+D8)*$D$1</f>
        <v>2550.2887111111113</v>
      </c>
      <c r="F8" s="69">
        <v>2575</v>
      </c>
      <c r="G8" s="14">
        <f>-E8+F8</f>
        <v>24.711288888888703</v>
      </c>
    </row>
    <row r="9" spans="1:7" s="25" customFormat="1" ht="14.25">
      <c r="A9" s="24"/>
      <c r="B9" s="24"/>
      <c r="C9" s="24">
        <f>SUM(C4:C8)</f>
        <v>4.499999999999999</v>
      </c>
      <c r="D9" s="24">
        <v>10</v>
      </c>
      <c r="E9" s="24"/>
      <c r="F9" s="24"/>
      <c r="G9" s="24"/>
    </row>
    <row r="12" ht="36.75" customHeight="1">
      <c r="A12" s="26" t="s">
        <v>353</v>
      </c>
    </row>
    <row r="13" ht="14.25">
      <c r="A13" s="71" t="s">
        <v>331</v>
      </c>
    </row>
    <row r="14" ht="14.25">
      <c r="A14" s="27" t="s">
        <v>352</v>
      </c>
    </row>
  </sheetData>
  <sheetProtection/>
  <hyperlinks>
    <hyperlink ref="A14" r:id="rId1" display="http://www.iherb.com/Now-Foods-Kid-Vits-Berry-Blast-120-Chewables/5140?at=0&amp;rcode=VUT178"/>
  </hyperlinks>
  <printOptions/>
  <pageMargins left="0.7" right="0.7" top="0.75" bottom="0.75" header="0.3" footer="0.3"/>
  <pageSetup orientation="portrait" paperSize="9"/>
</worksheet>
</file>

<file path=xl/worksheets/sheet2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4.25">
      <c r="A2" s="6" t="s">
        <v>808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63">
        <v>23.53</v>
      </c>
      <c r="C4" s="64"/>
      <c r="D4" s="103">
        <f>C4*1</f>
        <v>0</v>
      </c>
      <c r="E4" s="114">
        <f>(B4+D4)*$D$1</f>
        <v>1699.5719000000001</v>
      </c>
      <c r="F4" s="79">
        <v>1700</v>
      </c>
      <c r="G4" s="14">
        <f>-E4+F4</f>
        <v>0.4280999999998585</v>
      </c>
      <c r="H4" s="74"/>
    </row>
    <row r="5" spans="1:7" s="10" customFormat="1" ht="14.25">
      <c r="A5" s="15" t="s">
        <v>410</v>
      </c>
      <c r="B5" s="63">
        <v>36.26</v>
      </c>
      <c r="C5" s="64"/>
      <c r="D5" s="103">
        <f>C5*1</f>
        <v>0</v>
      </c>
      <c r="E5" s="115">
        <f>(B5+D5)*$D$1</f>
        <v>2619.0598</v>
      </c>
      <c r="F5" s="106">
        <v>2619</v>
      </c>
      <c r="G5" s="77">
        <f>-E5+F5</f>
        <v>-0.059799999999995634</v>
      </c>
    </row>
    <row r="6" spans="1:8" s="10" customFormat="1" ht="14.25">
      <c r="A6" s="11" t="s">
        <v>738</v>
      </c>
      <c r="B6" s="63">
        <v>14.02</v>
      </c>
      <c r="C6" s="64"/>
      <c r="D6" s="103">
        <f>C6*1</f>
        <v>0</v>
      </c>
      <c r="E6" s="114">
        <f>(B6+D6)*$D$1</f>
        <v>1012.6646000000001</v>
      </c>
      <c r="F6" s="79">
        <v>1013</v>
      </c>
      <c r="G6" s="14">
        <f>-E6+F6</f>
        <v>0.33539999999993597</v>
      </c>
      <c r="H6" s="74"/>
    </row>
    <row r="7" spans="1:7" s="10" customFormat="1" ht="14.25">
      <c r="A7" s="15" t="s">
        <v>24</v>
      </c>
      <c r="B7" s="63">
        <v>16.62</v>
      </c>
      <c r="C7" s="64"/>
      <c r="D7" s="103">
        <f>C7*1</f>
        <v>0</v>
      </c>
      <c r="E7" s="115">
        <f>(B7+D7)*$D$1</f>
        <v>1200.4626</v>
      </c>
      <c r="F7" s="79">
        <v>1201</v>
      </c>
      <c r="G7" s="77">
        <f>-E7+F7</f>
        <v>0.5373999999999342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770</v>
      </c>
    </row>
  </sheetData>
  <sheetProtection/>
  <printOptions/>
  <pageMargins left="0.7" right="0.7" top="0.75" bottom="0.75" header="0.3" footer="0.3"/>
  <pageSetup orientation="portrait" paperSize="9"/>
</worksheet>
</file>

<file path=xl/worksheets/sheet2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71.45</v>
      </c>
      <c r="E1" s="5" t="s">
        <v>2</v>
      </c>
    </row>
    <row r="2" s="5" customFormat="1" ht="14.25">
      <c r="A2" s="6" t="s">
        <v>820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625</v>
      </c>
      <c r="B4" s="63">
        <v>34.48</v>
      </c>
      <c r="C4" s="64"/>
      <c r="D4" s="103">
        <f>C4*1</f>
        <v>0</v>
      </c>
      <c r="E4" s="114">
        <f>(B4+D4)*$D$1</f>
        <v>2463.596</v>
      </c>
      <c r="F4" s="79">
        <v>2463</v>
      </c>
      <c r="G4" s="14">
        <f>-E4+F4</f>
        <v>-0.5960000000000036</v>
      </c>
      <c r="H4" s="74"/>
    </row>
    <row r="5" spans="1:7" s="10" customFormat="1" ht="14.25">
      <c r="A5" s="15" t="s">
        <v>203</v>
      </c>
      <c r="B5" s="63">
        <v>37.31</v>
      </c>
      <c r="C5" s="64"/>
      <c r="D5" s="103">
        <f>C5*1</f>
        <v>0</v>
      </c>
      <c r="E5" s="115">
        <f>(B5+D5)*$D$1</f>
        <v>2665.7995</v>
      </c>
      <c r="F5" s="79">
        <v>2666</v>
      </c>
      <c r="G5" s="77">
        <f>-E5+F5</f>
        <v>0.20049999999991996</v>
      </c>
    </row>
    <row r="6" spans="1:7" s="10" customFormat="1" ht="14.25">
      <c r="A6" s="15" t="s">
        <v>223</v>
      </c>
      <c r="B6" s="63">
        <v>7.13</v>
      </c>
      <c r="C6" s="64"/>
      <c r="D6" s="103">
        <f>C6*1</f>
        <v>0</v>
      </c>
      <c r="E6" s="115">
        <f>(B6+D6)*$D$1</f>
        <v>509.43850000000003</v>
      </c>
      <c r="F6" s="106">
        <v>509</v>
      </c>
      <c r="G6" s="77">
        <f>-E6+F6</f>
        <v>-0.4385000000000332</v>
      </c>
    </row>
    <row r="7" spans="1:8" s="10" customFormat="1" ht="14.25">
      <c r="A7" s="11" t="s">
        <v>234</v>
      </c>
      <c r="B7" s="63">
        <v>9.24</v>
      </c>
      <c r="C7" s="64"/>
      <c r="D7" s="103">
        <f>C7*1</f>
        <v>0</v>
      </c>
      <c r="E7" s="114">
        <f>(B7+D7)*$D$1</f>
        <v>660.1980000000001</v>
      </c>
      <c r="F7" s="79">
        <v>660</v>
      </c>
      <c r="G7" s="14">
        <f>-E7+F7</f>
        <v>-0.19800000000009277</v>
      </c>
      <c r="H7" s="74"/>
    </row>
    <row r="8" spans="1:7" s="10" customFormat="1" ht="14.25">
      <c r="A8" s="15" t="s">
        <v>410</v>
      </c>
      <c r="B8" s="63">
        <v>48.05</v>
      </c>
      <c r="C8" s="64"/>
      <c r="D8" s="103">
        <f>C8*1</f>
        <v>0</v>
      </c>
      <c r="E8" s="115">
        <f>(B8+D8)*$D$1</f>
        <v>3433.1725</v>
      </c>
      <c r="F8" s="79">
        <v>3433</v>
      </c>
      <c r="G8" s="77">
        <f>-E8+F8</f>
        <v>-0.17250000000012733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770</v>
      </c>
    </row>
  </sheetData>
  <sheetProtection/>
  <printOptions/>
  <pageMargins left="0.7" right="0.7" top="0.75" bottom="0.75" header="0.3" footer="0.3"/>
  <pageSetup orientation="portrait" paperSize="9"/>
</worksheet>
</file>

<file path=xl/worksheets/sheet2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71.45</v>
      </c>
      <c r="E1" s="5" t="s">
        <v>2</v>
      </c>
    </row>
    <row r="2" s="5" customFormat="1" ht="14.25">
      <c r="A2" s="6" t="s">
        <v>820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659</v>
      </c>
      <c r="B4" s="63">
        <v>36.39</v>
      </c>
      <c r="C4" s="64"/>
      <c r="D4" s="103">
        <f>C4*1</f>
        <v>0</v>
      </c>
      <c r="E4" s="114">
        <f>(B4+D4)*$D$1</f>
        <v>2600.0655</v>
      </c>
      <c r="F4" s="79">
        <v>2600</v>
      </c>
      <c r="G4" s="14">
        <f>-E4+F4</f>
        <v>-0.06550000000015643</v>
      </c>
      <c r="H4" s="74"/>
    </row>
    <row r="5" spans="1:7" s="10" customFormat="1" ht="15" thickBot="1">
      <c r="A5" s="15" t="s">
        <v>780</v>
      </c>
      <c r="B5" s="63">
        <v>3.69</v>
      </c>
      <c r="C5" s="64"/>
      <c r="D5" s="103">
        <f>C5*1</f>
        <v>0</v>
      </c>
      <c r="E5" s="115">
        <f>(B5+D5)*$D$1</f>
        <v>263.6505</v>
      </c>
      <c r="F5" s="108">
        <v>263</v>
      </c>
      <c r="G5" s="77">
        <f>-E5+F5</f>
        <v>-0.6505000000000223</v>
      </c>
    </row>
    <row r="6" spans="1:7" s="10" customFormat="1" ht="14.25">
      <c r="A6" s="15" t="s">
        <v>400</v>
      </c>
      <c r="B6" s="63">
        <v>1.79</v>
      </c>
      <c r="C6" s="64"/>
      <c r="D6" s="103">
        <f>C6*1</f>
        <v>0</v>
      </c>
      <c r="E6" s="115">
        <f>(B6+D6)*$D$1</f>
        <v>127.89550000000001</v>
      </c>
      <c r="F6" s="79">
        <v>128</v>
      </c>
      <c r="G6" s="77">
        <f>-E6+F6</f>
        <v>0.10449999999998738</v>
      </c>
    </row>
    <row r="7" spans="1:8" s="10" customFormat="1" ht="14.25">
      <c r="A7" s="11" t="s">
        <v>758</v>
      </c>
      <c r="B7" s="63">
        <v>90.48</v>
      </c>
      <c r="C7" s="64"/>
      <c r="D7" s="103">
        <f>C7*1</f>
        <v>0</v>
      </c>
      <c r="E7" s="114">
        <f>(B7+D7)*$D$1</f>
        <v>6464.796</v>
      </c>
      <c r="F7" s="79">
        <v>6464</v>
      </c>
      <c r="G7" s="14">
        <f>-E7+F7</f>
        <v>-0.7960000000002765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 t="s">
        <v>416</v>
      </c>
      <c r="B12" s="27"/>
    </row>
    <row r="13" spans="1:2" ht="14.25">
      <c r="A13" s="71" t="s">
        <v>780</v>
      </c>
      <c r="B13" s="72" t="s">
        <v>821</v>
      </c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770</v>
      </c>
    </row>
  </sheetData>
  <sheetProtection/>
  <hyperlinks>
    <hyperlink ref="B13" r:id="rId1" display="http://ru.iherb.com/Shea-Moisture-Baby-Calm-Comfort-Kit-W-Frankincense-Myrrh-4-Piece-Kit/63806"/>
  </hyperlinks>
  <printOptions/>
  <pageMargins left="0.7" right="0.7" top="0.75" bottom="0.75" header="0.3" footer="0.3"/>
  <pageSetup orientation="portrait" paperSize="9"/>
</worksheet>
</file>

<file path=xl/worksheets/sheet2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71.76</v>
      </c>
      <c r="E1" s="5" t="s">
        <v>2</v>
      </c>
    </row>
    <row r="2" s="5" customFormat="1" ht="14.25">
      <c r="A2" s="6" t="s">
        <v>823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592</v>
      </c>
      <c r="B4" s="63">
        <v>37.11</v>
      </c>
      <c r="C4" s="64"/>
      <c r="D4" s="103">
        <f>C4*1</f>
        <v>0</v>
      </c>
      <c r="E4" s="114">
        <f>(B4+D4)*$D$1</f>
        <v>2663.0136</v>
      </c>
      <c r="F4" s="79">
        <v>2663</v>
      </c>
      <c r="G4" s="14">
        <f>-E4+F4</f>
        <v>-0.0136000000002241</v>
      </c>
      <c r="H4" s="74"/>
    </row>
    <row r="5" spans="1:7" s="10" customFormat="1" ht="14.25">
      <c r="A5" s="15" t="s">
        <v>205</v>
      </c>
      <c r="B5" s="63">
        <v>88.52</v>
      </c>
      <c r="C5" s="64"/>
      <c r="D5" s="103">
        <f>C5*1</f>
        <v>0</v>
      </c>
      <c r="E5" s="115">
        <f>(B5+D5)*$D$1</f>
        <v>6352.1952</v>
      </c>
      <c r="F5" s="85">
        <v>6352</v>
      </c>
      <c r="G5" s="77">
        <f>-E5+F5</f>
        <v>-0.1952000000001135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770</v>
      </c>
    </row>
  </sheetData>
  <sheetProtection/>
  <printOptions/>
  <pageMargins left="0.7" right="0.7" top="0.75" bottom="0.75" header="0.3" footer="0.3"/>
  <pageSetup orientation="portrait" paperSize="9"/>
</worksheet>
</file>

<file path=xl/worksheets/sheet2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71.76</v>
      </c>
      <c r="E1" s="5" t="s">
        <v>2</v>
      </c>
    </row>
    <row r="2" s="5" customFormat="1" ht="14.25">
      <c r="A2" s="6" t="s">
        <v>823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590</v>
      </c>
      <c r="B4" s="63">
        <v>26.63</v>
      </c>
      <c r="C4" s="64"/>
      <c r="D4" s="103">
        <f>C4*1</f>
        <v>0</v>
      </c>
      <c r="E4" s="114">
        <f>(B4+D4)*$D$1</f>
        <v>1910.9688</v>
      </c>
      <c r="F4" s="79">
        <v>1911</v>
      </c>
      <c r="G4" s="14">
        <f>-E4+F4</f>
        <v>0.031199999999898864</v>
      </c>
      <c r="H4" s="74"/>
    </row>
    <row r="5" spans="1:7" s="10" customFormat="1" ht="14.25">
      <c r="A5" s="15" t="s">
        <v>437</v>
      </c>
      <c r="B5" s="63">
        <v>37.56</v>
      </c>
      <c r="C5" s="64"/>
      <c r="D5" s="103">
        <f>C5*1</f>
        <v>0</v>
      </c>
      <c r="E5" s="115">
        <f>(B5+D5)*$D$1</f>
        <v>2695.3056</v>
      </c>
      <c r="F5" s="79">
        <v>2695</v>
      </c>
      <c r="G5" s="77">
        <f>-E5+F5</f>
        <v>-0.3056000000001404</v>
      </c>
    </row>
    <row r="6" spans="1:7" s="10" customFormat="1" ht="14.25">
      <c r="A6" s="15" t="s">
        <v>824</v>
      </c>
      <c r="B6" s="63">
        <v>31.96</v>
      </c>
      <c r="C6" s="64"/>
      <c r="D6" s="103">
        <f>C6*1</f>
        <v>0</v>
      </c>
      <c r="E6" s="115">
        <f>(B6+D6)*$D$1</f>
        <v>2293.4496000000004</v>
      </c>
      <c r="F6" s="79">
        <v>2293</v>
      </c>
      <c r="G6" s="77">
        <f>-E6+F6</f>
        <v>-0.44960000000037326</v>
      </c>
    </row>
    <row r="7" spans="1:8" s="10" customFormat="1" ht="14.25">
      <c r="A7" s="11" t="s">
        <v>825</v>
      </c>
      <c r="B7" s="63">
        <v>17.9</v>
      </c>
      <c r="C7" s="64"/>
      <c r="D7" s="103">
        <f>C7*1</f>
        <v>0</v>
      </c>
      <c r="E7" s="114">
        <f>(B7+D7)*$D$1</f>
        <v>1284.504</v>
      </c>
      <c r="F7" s="85">
        <v>1285</v>
      </c>
      <c r="G7" s="14">
        <f>-E7+F7</f>
        <v>0.4960000000000946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770</v>
      </c>
    </row>
  </sheetData>
  <sheetProtection/>
  <printOptions/>
  <pageMargins left="0.7" right="0.7" top="0.75" bottom="0.75" header="0.3" footer="0.3"/>
  <pageSetup orientation="portrait" paperSize="9"/>
</worksheet>
</file>

<file path=xl/worksheets/sheet2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5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757</v>
      </c>
      <c r="B4" s="63">
        <v>26.87</v>
      </c>
      <c r="C4" s="64"/>
      <c r="D4" s="103">
        <f aca="true" t="shared" si="0" ref="D4:D12">C4*1</f>
        <v>0</v>
      </c>
      <c r="E4" s="114">
        <f aca="true" t="shared" si="1" ref="E4:E12">(B4+D4)*$D$1</f>
        <v>1913.9501000000002</v>
      </c>
      <c r="F4" s="79">
        <v>1238</v>
      </c>
      <c r="G4" s="14">
        <f aca="true" t="shared" si="2" ref="G4:G12">-E4+F4</f>
        <v>-675.9501000000002</v>
      </c>
      <c r="H4" s="74"/>
    </row>
    <row r="5" spans="1:7" s="10" customFormat="1" ht="14.25">
      <c r="A5" s="15" t="s">
        <v>830</v>
      </c>
      <c r="B5" s="63">
        <v>12.83</v>
      </c>
      <c r="C5" s="64"/>
      <c r="D5" s="103">
        <f t="shared" si="0"/>
        <v>0</v>
      </c>
      <c r="E5" s="115">
        <f t="shared" si="1"/>
        <v>913.8809000000001</v>
      </c>
      <c r="F5" s="79">
        <v>914</v>
      </c>
      <c r="G5" s="77">
        <f t="shared" si="2"/>
        <v>0.1190999999998894</v>
      </c>
    </row>
    <row r="6" spans="1:7" s="10" customFormat="1" ht="14.25">
      <c r="A6" s="15" t="s">
        <v>52</v>
      </c>
      <c r="B6" s="63">
        <v>3.81</v>
      </c>
      <c r="C6" s="64"/>
      <c r="D6" s="103">
        <f t="shared" si="0"/>
        <v>0</v>
      </c>
      <c r="E6" s="115">
        <f t="shared" si="1"/>
        <v>271.3863</v>
      </c>
      <c r="F6" s="79">
        <v>261</v>
      </c>
      <c r="G6" s="77">
        <f t="shared" si="2"/>
        <v>-10.386300000000006</v>
      </c>
    </row>
    <row r="7" spans="1:8" s="10" customFormat="1" ht="14.25">
      <c r="A7" s="11" t="s">
        <v>335</v>
      </c>
      <c r="B7" s="63">
        <v>9.36</v>
      </c>
      <c r="C7" s="64"/>
      <c r="D7" s="103">
        <f t="shared" si="0"/>
        <v>0</v>
      </c>
      <c r="E7" s="114">
        <f t="shared" si="1"/>
        <v>666.7128</v>
      </c>
      <c r="F7" s="85">
        <f>520+147</f>
        <v>667</v>
      </c>
      <c r="G7" s="14">
        <f t="shared" si="2"/>
        <v>0.28719999999998436</v>
      </c>
      <c r="H7" s="74"/>
    </row>
    <row r="8" spans="1:8" s="10" customFormat="1" ht="14.25">
      <c r="A8" s="11" t="s">
        <v>415</v>
      </c>
      <c r="B8" s="63">
        <v>12.49</v>
      </c>
      <c r="C8" s="64"/>
      <c r="D8" s="103">
        <f t="shared" si="0"/>
        <v>0</v>
      </c>
      <c r="E8" s="114">
        <f t="shared" si="1"/>
        <v>889.6627000000001</v>
      </c>
      <c r="F8" s="79">
        <v>890</v>
      </c>
      <c r="G8" s="14">
        <f t="shared" si="2"/>
        <v>0.3372999999999138</v>
      </c>
      <c r="H8" s="74"/>
    </row>
    <row r="9" spans="1:7" s="10" customFormat="1" ht="14.25">
      <c r="A9" s="15" t="s">
        <v>825</v>
      </c>
      <c r="B9" s="63">
        <v>16.97</v>
      </c>
      <c r="C9" s="64"/>
      <c r="D9" s="103">
        <f t="shared" si="0"/>
        <v>0</v>
      </c>
      <c r="E9" s="115">
        <f t="shared" si="1"/>
        <v>1208.7730999999999</v>
      </c>
      <c r="F9" s="79"/>
      <c r="G9" s="77">
        <f t="shared" si="2"/>
        <v>-1208.7730999999999</v>
      </c>
    </row>
    <row r="10" spans="1:7" s="10" customFormat="1" ht="14.25">
      <c r="A10" s="15" t="s">
        <v>831</v>
      </c>
      <c r="B10" s="63">
        <v>9.05</v>
      </c>
      <c r="C10" s="64"/>
      <c r="D10" s="103">
        <f t="shared" si="0"/>
        <v>0</v>
      </c>
      <c r="E10" s="115">
        <f t="shared" si="1"/>
        <v>644.6315000000001</v>
      </c>
      <c r="F10" s="79">
        <v>657</v>
      </c>
      <c r="G10" s="77">
        <f t="shared" si="2"/>
        <v>12.368499999999926</v>
      </c>
    </row>
    <row r="11" spans="1:8" s="10" customFormat="1" ht="14.25">
      <c r="A11" s="11" t="s">
        <v>203</v>
      </c>
      <c r="B11" s="63">
        <v>22.99</v>
      </c>
      <c r="C11" s="64"/>
      <c r="D11" s="103">
        <f t="shared" si="0"/>
        <v>0</v>
      </c>
      <c r="E11" s="114">
        <f t="shared" si="1"/>
        <v>1637.5777</v>
      </c>
      <c r="F11" s="79">
        <v>1638</v>
      </c>
      <c r="G11" s="14">
        <f t="shared" si="2"/>
        <v>0.42229999999995016</v>
      </c>
      <c r="H11" s="74"/>
    </row>
    <row r="12" spans="1:8" s="10" customFormat="1" ht="14.25">
      <c r="A12" s="11" t="s">
        <v>183</v>
      </c>
      <c r="B12" s="130">
        <v>10.5</v>
      </c>
      <c r="C12" s="131"/>
      <c r="D12" s="103">
        <f t="shared" si="0"/>
        <v>0</v>
      </c>
      <c r="E12" s="114">
        <f t="shared" si="1"/>
        <v>747.9150000000001</v>
      </c>
      <c r="F12" s="79">
        <v>748</v>
      </c>
      <c r="G12" s="14">
        <f t="shared" si="2"/>
        <v>0.08499999999992269</v>
      </c>
      <c r="H12" s="74"/>
    </row>
    <row r="13" spans="1:7" s="25" customFormat="1" ht="14.25">
      <c r="A13" s="24"/>
      <c r="B13" s="24"/>
      <c r="C13" s="24">
        <f>SUM(C4:C7)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4.25">
      <c r="A17" s="72"/>
      <c r="B17" s="27"/>
    </row>
    <row r="18" spans="1:2" ht="14.25">
      <c r="A18" s="72"/>
      <c r="B18" s="72"/>
    </row>
    <row r="19" ht="14.25">
      <c r="A19" s="72"/>
    </row>
    <row r="20" ht="14.25">
      <c r="A20" s="72"/>
    </row>
    <row r="105" spans="4:5" ht="14.25">
      <c r="D105" s="43">
        <f>'480'!G7+'489'!G4</f>
        <v>0.35979999999995016</v>
      </c>
      <c r="E105" t="s">
        <v>770</v>
      </c>
    </row>
  </sheetData>
  <sheetProtection/>
  <printOptions/>
  <pageMargins left="0.7" right="0.7" top="0.75" bottom="0.75" header="0.3" footer="0.3"/>
  <pageSetup orientation="portrait" paperSize="9"/>
</worksheet>
</file>

<file path=xl/worksheets/sheet2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158</v>
      </c>
      <c r="B4" s="63">
        <v>29.79</v>
      </c>
      <c r="C4" s="64"/>
      <c r="D4" s="103">
        <f>C4*1</f>
        <v>0</v>
      </c>
      <c r="E4" s="114">
        <f>(B4+D4)*$D$1</f>
        <v>2121.9417</v>
      </c>
      <c r="F4" s="79">
        <v>2120</v>
      </c>
      <c r="G4" s="14">
        <f>-E4+F4</f>
        <v>-1.9416999999998552</v>
      </c>
      <c r="H4" s="74"/>
    </row>
    <row r="5" spans="1:7" s="10" customFormat="1" ht="14.25">
      <c r="A5" s="15" t="s">
        <v>660</v>
      </c>
      <c r="B5" s="63">
        <v>19.19</v>
      </c>
      <c r="C5" s="64"/>
      <c r="D5" s="103">
        <f>C5*1</f>
        <v>0</v>
      </c>
      <c r="E5" s="115">
        <f>(B5+D5)*$D$1</f>
        <v>1366.9037</v>
      </c>
      <c r="F5" s="79">
        <v>1367</v>
      </c>
      <c r="G5" s="77">
        <f>-E5+F5</f>
        <v>0.09629999999992833</v>
      </c>
    </row>
    <row r="6" spans="1:7" s="10" customFormat="1" ht="14.25">
      <c r="A6" s="15" t="s">
        <v>182</v>
      </c>
      <c r="B6" s="63">
        <v>51.58</v>
      </c>
      <c r="C6" s="64"/>
      <c r="D6" s="103">
        <f>C6*1</f>
        <v>0</v>
      </c>
      <c r="E6" s="115">
        <f>(B6+D6)*$D$1</f>
        <v>3674.0434</v>
      </c>
      <c r="F6" s="79">
        <v>3730</v>
      </c>
      <c r="G6" s="77">
        <f>-E6+F6</f>
        <v>55.95659999999998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 t="s">
        <v>829</v>
      </c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770</v>
      </c>
    </row>
  </sheetData>
  <sheetProtection/>
  <printOptions/>
  <pageMargins left="0.7" right="0.7" top="0.75" bottom="0.75" header="0.3" footer="0.3"/>
  <pageSetup orientation="portrait" paperSize="9"/>
</worksheet>
</file>

<file path=xl/worksheets/sheet2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619</v>
      </c>
      <c r="B4" s="63">
        <v>20.13</v>
      </c>
      <c r="C4" s="64"/>
      <c r="D4" s="103">
        <f>C4*1</f>
        <v>0</v>
      </c>
      <c r="E4" s="114">
        <f>(B4+D4)*$D$1</f>
        <v>1433.8599</v>
      </c>
      <c r="F4" s="79">
        <v>1434</v>
      </c>
      <c r="G4" s="14">
        <f>-E4+F4</f>
        <v>0.14010000000007494</v>
      </c>
      <c r="H4" s="74"/>
    </row>
    <row r="5" spans="1:7" s="10" customFormat="1" ht="14.25">
      <c r="A5" s="15" t="s">
        <v>650</v>
      </c>
      <c r="B5" s="63">
        <v>6.78</v>
      </c>
      <c r="C5" s="64"/>
      <c r="D5" s="103">
        <f>C5*1</f>
        <v>0</v>
      </c>
      <c r="E5" s="115">
        <f>(B5+D5)*$D$1</f>
        <v>482.93940000000003</v>
      </c>
      <c r="F5" s="79"/>
      <c r="G5" s="77">
        <f>-E5+F5</f>
        <v>-482.93940000000003</v>
      </c>
    </row>
    <row r="6" spans="1:7" s="10" customFormat="1" ht="14.25">
      <c r="A6" s="15" t="s">
        <v>651</v>
      </c>
      <c r="B6" s="63">
        <v>13.32</v>
      </c>
      <c r="C6" s="64"/>
      <c r="D6" s="103">
        <f>C6*1</f>
        <v>0</v>
      </c>
      <c r="E6" s="115">
        <f>(B6+D6)*$D$1</f>
        <v>948.7836000000001</v>
      </c>
      <c r="F6" s="85">
        <v>1452</v>
      </c>
      <c r="G6" s="77">
        <f>-E6+F6</f>
        <v>503.2163999999999</v>
      </c>
    </row>
    <row r="7" spans="1:8" s="10" customFormat="1" ht="14.25">
      <c r="A7" s="15" t="s">
        <v>832</v>
      </c>
      <c r="B7" s="63">
        <v>96.93</v>
      </c>
      <c r="C7" s="64"/>
      <c r="D7" s="103">
        <f>C7*1</f>
        <v>0</v>
      </c>
      <c r="E7" s="114">
        <f>(B7+D7)*$D$1</f>
        <v>6904.323900000001</v>
      </c>
      <c r="F7" s="79">
        <v>6904</v>
      </c>
      <c r="G7" s="14">
        <f>-E7+F7</f>
        <v>-0.3239000000012311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770</v>
      </c>
    </row>
  </sheetData>
  <sheetProtection/>
  <printOptions/>
  <pageMargins left="0.7" right="0.7" top="0.75" bottom="0.75" header="0.3" footer="0.3"/>
  <pageSetup orientation="portrait" paperSize="9"/>
</worksheet>
</file>

<file path=xl/worksheets/sheet2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227</v>
      </c>
      <c r="B4" s="63">
        <v>7.19</v>
      </c>
      <c r="C4" s="64"/>
      <c r="D4" s="103">
        <f>C4*1</f>
        <v>0</v>
      </c>
      <c r="E4" s="114">
        <f>(B4+D4)*$D$1</f>
        <v>512.1437000000001</v>
      </c>
      <c r="F4" s="79">
        <f>512+30</f>
        <v>542</v>
      </c>
      <c r="G4" s="14">
        <f>-E4+F4</f>
        <v>29.85629999999992</v>
      </c>
      <c r="H4" s="74" t="s">
        <v>841</v>
      </c>
    </row>
    <row r="5" spans="1:7" s="10" customFormat="1" ht="14.25">
      <c r="A5" s="15" t="s">
        <v>471</v>
      </c>
      <c r="B5" s="63">
        <v>8.99</v>
      </c>
      <c r="C5" s="64"/>
      <c r="D5" s="103">
        <f>C5*1</f>
        <v>0</v>
      </c>
      <c r="E5" s="115">
        <f>(B5+D5)*$D$1</f>
        <v>640.3577</v>
      </c>
      <c r="F5" s="79">
        <v>640</v>
      </c>
      <c r="G5" s="77">
        <f>-E5+F5</f>
        <v>-0.35770000000002256</v>
      </c>
    </row>
    <row r="6" spans="1:7" s="10" customFormat="1" ht="14.25">
      <c r="A6" s="15" t="s">
        <v>833</v>
      </c>
      <c r="B6" s="63">
        <v>24.62</v>
      </c>
      <c r="C6" s="64"/>
      <c r="D6" s="103">
        <f>C6*1</f>
        <v>0</v>
      </c>
      <c r="E6" s="115">
        <f>(B6+D6)*$D$1</f>
        <v>1753.6826</v>
      </c>
      <c r="F6" s="79">
        <v>1754</v>
      </c>
      <c r="G6" s="77">
        <f>-E6+F6</f>
        <v>0.31739999999990687</v>
      </c>
    </row>
    <row r="7" spans="1:8" s="10" customFormat="1" ht="14.25">
      <c r="A7" s="11" t="s">
        <v>825</v>
      </c>
      <c r="B7" s="63">
        <v>23.16</v>
      </c>
      <c r="C7" s="64"/>
      <c r="D7" s="103">
        <f>C7*1</f>
        <v>0</v>
      </c>
      <c r="E7" s="114">
        <f>(B7+D7)*$D$1</f>
        <v>1649.6868000000002</v>
      </c>
      <c r="F7" s="79">
        <v>2859</v>
      </c>
      <c r="G7" s="14">
        <f>-E7+F7</f>
        <v>1209.3131999999998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770</v>
      </c>
    </row>
  </sheetData>
  <sheetProtection/>
  <printOptions/>
  <pageMargins left="0.7" right="0.7" top="0.75" bottom="0.75" header="0.3" footer="0.3"/>
  <pageSetup orientation="portrait" paperSize="9"/>
</worksheet>
</file>

<file path=xl/worksheets/sheet2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42447</v>
      </c>
      <c r="C1" s="3" t="s">
        <v>1</v>
      </c>
      <c r="D1" s="4">
        <v>68.75</v>
      </c>
      <c r="E1" s="5" t="s">
        <v>2</v>
      </c>
    </row>
    <row r="2" s="5" customFormat="1" ht="14.25">
      <c r="A2" s="6" t="s">
        <v>838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758</v>
      </c>
      <c r="B4" s="63">
        <v>42.05</v>
      </c>
      <c r="C4" s="64"/>
      <c r="D4" s="103">
        <f>C4*1</f>
        <v>0</v>
      </c>
      <c r="E4" s="114">
        <f>(B4+D4)*$D$1</f>
        <v>2890.9375</v>
      </c>
      <c r="F4" s="79">
        <v>2891</v>
      </c>
      <c r="G4" s="14">
        <f>-E4+F4</f>
        <v>0.0625</v>
      </c>
      <c r="H4" s="74"/>
    </row>
    <row r="5" spans="1:7" s="10" customFormat="1" ht="14.25">
      <c r="A5" s="15" t="s">
        <v>29</v>
      </c>
      <c r="B5" s="63">
        <v>7.98</v>
      </c>
      <c r="C5" s="64"/>
      <c r="D5" s="103">
        <f>C5*1</f>
        <v>0</v>
      </c>
      <c r="E5" s="115">
        <f>(B5+D5)*$D$1</f>
        <v>548.625</v>
      </c>
      <c r="F5" s="79">
        <v>549</v>
      </c>
      <c r="G5" s="77">
        <f>-E5+F5</f>
        <v>0.375</v>
      </c>
    </row>
    <row r="6" spans="1:7" s="10" customFormat="1" ht="14.25">
      <c r="A6" s="15" t="s">
        <v>649</v>
      </c>
      <c r="B6" s="63">
        <v>13.6</v>
      </c>
      <c r="C6" s="64"/>
      <c r="D6" s="103">
        <f>C6*1</f>
        <v>0</v>
      </c>
      <c r="E6" s="115">
        <f>(B6+D6)*$D$1</f>
        <v>935</v>
      </c>
      <c r="F6" s="85">
        <v>935</v>
      </c>
      <c r="G6" s="77">
        <f>-E6+F6</f>
        <v>0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770</v>
      </c>
    </row>
    <row r="262" spans="4:5" ht="14.25">
      <c r="D262" s="43">
        <f>'435'!G4+'521'!G6</f>
        <v>0.19920000000001892</v>
      </c>
      <c r="E262" t="s">
        <v>839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840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62.19</v>
      </c>
      <c r="E1" s="5" t="s">
        <v>2</v>
      </c>
    </row>
    <row r="2" s="5" customFormat="1" ht="14.25">
      <c r="A2" s="6" t="s">
        <v>354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355</v>
      </c>
      <c r="B4" s="64">
        <v>18.99</v>
      </c>
      <c r="C4" s="64">
        <v>0.05</v>
      </c>
      <c r="D4" s="11">
        <f aca="true" t="shared" si="0" ref="D4:D9">C4/$C$10*$D$10</f>
        <v>0.10162601626016261</v>
      </c>
      <c r="E4" s="11">
        <f>(B4+D4)*$D$1</f>
        <v>1187.3082219512194</v>
      </c>
      <c r="F4" s="78">
        <f>1000+168</f>
        <v>1168</v>
      </c>
      <c r="G4" s="14">
        <f>-E4+F4</f>
        <v>-19.308221951219366</v>
      </c>
      <c r="H4" s="74"/>
    </row>
    <row r="5" spans="1:7" s="10" customFormat="1" ht="14.25">
      <c r="A5" s="15" t="s">
        <v>76</v>
      </c>
      <c r="B5" s="63">
        <v>46.68</v>
      </c>
      <c r="C5" s="64">
        <v>0.92</v>
      </c>
      <c r="D5" s="11">
        <f t="shared" si="0"/>
        <v>1.869918699186992</v>
      </c>
      <c r="E5" s="76">
        <f>(B5+D5)*$D$1</f>
        <v>3019.3194439024387</v>
      </c>
      <c r="F5" s="67">
        <v>2971</v>
      </c>
      <c r="G5" s="77">
        <f>-E5+F5</f>
        <v>-48.31944390243871</v>
      </c>
    </row>
    <row r="6" spans="1:7" s="10" customFormat="1" ht="14.25">
      <c r="A6" s="15" t="s">
        <v>356</v>
      </c>
      <c r="B6" s="12">
        <v>26.37</v>
      </c>
      <c r="C6" s="12">
        <v>0.23</v>
      </c>
      <c r="D6" s="11">
        <f t="shared" si="0"/>
        <v>0.467479674796748</v>
      </c>
      <c r="E6" s="11">
        <f>(B6+D6)*$D$1</f>
        <v>1669.0228609756098</v>
      </c>
      <c r="F6" s="67">
        <f>1642+27</f>
        <v>1669</v>
      </c>
      <c r="G6" s="14">
        <f>-E6+F6</f>
        <v>-0.02286097560977396</v>
      </c>
    </row>
    <row r="7" spans="1:8" s="10" customFormat="1" ht="14.25">
      <c r="A7" s="11" t="s">
        <v>357</v>
      </c>
      <c r="B7" s="63">
        <v>15.51</v>
      </c>
      <c r="C7" s="64">
        <v>0.64</v>
      </c>
      <c r="D7" s="11">
        <f t="shared" si="0"/>
        <v>1.3008130081300815</v>
      </c>
      <c r="E7" s="11">
        <f>(B7+D7)*$D$1</f>
        <v>1045.4644609756099</v>
      </c>
      <c r="F7" s="78">
        <f>1029+2+14</f>
        <v>1045</v>
      </c>
      <c r="G7" s="14">
        <f>-E7+F7</f>
        <v>-0.46446097560988164</v>
      </c>
      <c r="H7" s="74" t="s">
        <v>548</v>
      </c>
    </row>
    <row r="8" spans="1:7" s="10" customFormat="1" ht="14.25">
      <c r="A8" s="15" t="s">
        <v>154</v>
      </c>
      <c r="B8" s="63">
        <v>22.47</v>
      </c>
      <c r="C8" s="64">
        <v>1.13</v>
      </c>
      <c r="D8" s="11">
        <f t="shared" si="0"/>
        <v>2.2967479674796745</v>
      </c>
      <c r="E8" s="76">
        <f>(B8+D8)*$D$1</f>
        <v>1540.2440560975608</v>
      </c>
      <c r="F8" s="79">
        <f>1516+24</f>
        <v>1540</v>
      </c>
      <c r="G8" s="77">
        <f>-E8+F8</f>
        <v>-0.24405609756081503</v>
      </c>
    </row>
    <row r="9" spans="1:7" s="10" customFormat="1" ht="14.25">
      <c r="A9" s="15" t="s">
        <v>10</v>
      </c>
      <c r="B9" s="24"/>
      <c r="C9" s="12">
        <v>1.95</v>
      </c>
      <c r="D9" s="11">
        <f t="shared" si="0"/>
        <v>3.963414634146342</v>
      </c>
      <c r="E9" s="24"/>
      <c r="F9" s="24"/>
      <c r="G9" s="24"/>
    </row>
    <row r="10" spans="1:7" s="25" customFormat="1" ht="14.25">
      <c r="A10" s="24"/>
      <c r="B10" s="24"/>
      <c r="C10" s="24">
        <f>SUM(C4:C9)</f>
        <v>4.92</v>
      </c>
      <c r="D10" s="24">
        <v>10</v>
      </c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7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2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42452</v>
      </c>
      <c r="C1" s="3" t="s">
        <v>1</v>
      </c>
      <c r="D1" s="4">
        <v>68.21</v>
      </c>
      <c r="E1" s="5" t="s">
        <v>2</v>
      </c>
    </row>
    <row r="2" s="5" customFormat="1" ht="14.25">
      <c r="A2" s="6" t="s">
        <v>842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76.09</v>
      </c>
      <c r="C4" s="64"/>
      <c r="D4" s="103">
        <f>C4*1</f>
        <v>0</v>
      </c>
      <c r="E4" s="114">
        <f>(B4+D4)*$D$1</f>
        <v>5190.0989</v>
      </c>
      <c r="F4" s="79">
        <v>5189</v>
      </c>
      <c r="G4" s="14">
        <f>-E4+F4</f>
        <v>-1.0988999999999578</v>
      </c>
      <c r="H4" s="74"/>
    </row>
    <row r="5" spans="1:7" s="10" customFormat="1" ht="14.25">
      <c r="A5" s="15" t="s">
        <v>331</v>
      </c>
      <c r="B5" s="63">
        <v>6.47</v>
      </c>
      <c r="C5" s="64"/>
      <c r="D5" s="103">
        <f>C5*1</f>
        <v>0</v>
      </c>
      <c r="E5" s="115">
        <f>(B5+D5)*$D$1</f>
        <v>441.3186999999999</v>
      </c>
      <c r="F5" s="79">
        <v>442</v>
      </c>
      <c r="G5" s="77">
        <f>-E5+F5</f>
        <v>0.6813000000000784</v>
      </c>
    </row>
    <row r="6" spans="1:8" s="10" customFormat="1" ht="14.25">
      <c r="A6" s="11" t="s">
        <v>400</v>
      </c>
      <c r="B6" s="63">
        <v>6</v>
      </c>
      <c r="C6" s="64"/>
      <c r="D6" s="103">
        <f>C6*1</f>
        <v>0</v>
      </c>
      <c r="E6" s="114">
        <f>(B6+D6)*$D$1</f>
        <v>409.26</v>
      </c>
      <c r="F6" s="85">
        <v>409</v>
      </c>
      <c r="G6" s="14">
        <f>-E6+F6</f>
        <v>-0.2599999999999909</v>
      </c>
      <c r="H6" s="74"/>
    </row>
    <row r="7" spans="1:7" s="10" customFormat="1" ht="14.25">
      <c r="A7" s="15" t="s">
        <v>844</v>
      </c>
      <c r="B7" s="63">
        <v>5.95</v>
      </c>
      <c r="C7" s="64"/>
      <c r="D7" s="103">
        <f>C7*1</f>
        <v>0</v>
      </c>
      <c r="E7" s="115">
        <f>(B7+D7)*$D$1</f>
        <v>405.8495</v>
      </c>
      <c r="F7" s="79">
        <v>406</v>
      </c>
      <c r="G7" s="77">
        <f>-E7+F7</f>
        <v>0.15050000000002228</v>
      </c>
    </row>
    <row r="8" spans="1:7" s="10" customFormat="1" ht="14.25">
      <c r="A8" s="15" t="s">
        <v>758</v>
      </c>
      <c r="B8" s="63">
        <v>4.46</v>
      </c>
      <c r="C8" s="64"/>
      <c r="D8" s="103">
        <f>C8*1</f>
        <v>0</v>
      </c>
      <c r="E8" s="115">
        <f>(B8+D8)*$D$1</f>
        <v>304.21659999999997</v>
      </c>
      <c r="F8" s="79">
        <v>305</v>
      </c>
      <c r="G8" s="77">
        <f>-E8+F8</f>
        <v>0.7834000000000287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 t="s">
        <v>538</v>
      </c>
      <c r="B13" s="27"/>
    </row>
    <row r="14" spans="1:2" ht="14.25">
      <c r="A14" s="71" t="s">
        <v>331</v>
      </c>
      <c r="B14" s="72" t="s">
        <v>843</v>
      </c>
    </row>
    <row r="15" ht="14.25">
      <c r="A15" s="72"/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770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846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845</v>
      </c>
    </row>
    <row r="171" spans="1:5" ht="14.25">
      <c r="A171" t="s">
        <v>844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839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847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848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840</v>
      </c>
    </row>
  </sheetData>
  <sheetProtection/>
  <hyperlinks>
    <hyperlink ref="B14" r:id="rId1" display="http://www.iherb.com/Dymatize-Nutrition-BCAA-Complex-2200-Branched-Chain-Amino-Acids-200-Caplets/25699"/>
  </hyperlinks>
  <printOptions/>
  <pageMargins left="0.7" right="0.7" top="0.75" bottom="0.75" header="0.3" footer="0.3"/>
  <pageSetup orientation="portrait" paperSize="9"/>
</worksheet>
</file>

<file path=xl/worksheets/sheet2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42458</v>
      </c>
      <c r="C1" s="3" t="s">
        <v>1</v>
      </c>
      <c r="D1" s="4">
        <v>68.82</v>
      </c>
      <c r="E1" s="5" t="s">
        <v>2</v>
      </c>
    </row>
    <row r="2" s="5" customFormat="1" ht="14.25">
      <c r="A2" s="6" t="s">
        <v>849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31.87</v>
      </c>
      <c r="C4" s="64"/>
      <c r="D4" s="103">
        <f>C4*1</f>
        <v>0</v>
      </c>
      <c r="E4" s="114">
        <f>(B4+D4)*$D$1</f>
        <v>2193.2934</v>
      </c>
      <c r="F4" s="79">
        <v>1783</v>
      </c>
      <c r="G4" s="14">
        <f>-E4+F4</f>
        <v>-410.2934</v>
      </c>
      <c r="H4" s="74"/>
    </row>
    <row r="5" spans="1:7" s="10" customFormat="1" ht="14.25">
      <c r="A5" s="15" t="s">
        <v>850</v>
      </c>
      <c r="B5" s="63">
        <v>11.19</v>
      </c>
      <c r="C5" s="64"/>
      <c r="D5" s="103">
        <f>C5*1</f>
        <v>0</v>
      </c>
      <c r="E5" s="115">
        <f>(B5+D5)*$D$1</f>
        <v>770.0957999999999</v>
      </c>
      <c r="F5" s="79">
        <v>770</v>
      </c>
      <c r="G5" s="77">
        <f>-E5+F5</f>
        <v>-0.09579999999994016</v>
      </c>
    </row>
    <row r="6" spans="1:8" s="10" customFormat="1" ht="14.25">
      <c r="A6" s="11" t="s">
        <v>182</v>
      </c>
      <c r="B6" s="63">
        <v>42.44</v>
      </c>
      <c r="C6" s="64"/>
      <c r="D6" s="103">
        <f>C6*1</f>
        <v>0</v>
      </c>
      <c r="E6" s="114">
        <f>(B6+D6)*$D$1</f>
        <v>2920.7207999999996</v>
      </c>
      <c r="F6" s="85">
        <v>3000</v>
      </c>
      <c r="G6" s="14">
        <f>-E6+F6</f>
        <v>79.2792000000004</v>
      </c>
      <c r="H6" s="74"/>
    </row>
    <row r="7" spans="1:7" s="10" customFormat="1" ht="14.25">
      <c r="A7" s="15" t="s">
        <v>410</v>
      </c>
      <c r="B7" s="63">
        <v>35.62</v>
      </c>
      <c r="C7" s="64"/>
      <c r="D7" s="103">
        <f>C7*1</f>
        <v>0</v>
      </c>
      <c r="E7" s="115">
        <f>(B7+D7)*$D$1</f>
        <v>2451.3683999999994</v>
      </c>
      <c r="F7" s="79">
        <v>2451</v>
      </c>
      <c r="G7" s="77">
        <f>-E7+F7</f>
        <v>-0.368399999999383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ht="14.25">
      <c r="B13" s="72"/>
    </row>
    <row r="14" ht="14.25">
      <c r="A14" s="72"/>
    </row>
    <row r="15" ht="14.25">
      <c r="A15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770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846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845</v>
      </c>
    </row>
    <row r="170" spans="1:5" ht="14.25">
      <c r="A170" t="s">
        <v>844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839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847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848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840</v>
      </c>
    </row>
  </sheetData>
  <sheetProtection/>
  <printOptions/>
  <pageMargins left="0.7" right="0.7" top="0.75" bottom="0.75" header="0.3" footer="0.3"/>
  <pageSetup orientation="portrait" paperSize="9"/>
</worksheet>
</file>

<file path=xl/worksheets/sheet2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9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33.140625" style="0" customWidth="1"/>
  </cols>
  <sheetData>
    <row r="1" spans="1:5" s="5" customFormat="1" ht="21">
      <c r="A1" s="1" t="s">
        <v>0</v>
      </c>
      <c r="B1" s="2">
        <v>42458</v>
      </c>
      <c r="C1" s="3" t="s">
        <v>1</v>
      </c>
      <c r="D1" s="4">
        <v>68.82</v>
      </c>
      <c r="E1" s="5" t="s">
        <v>2</v>
      </c>
    </row>
    <row r="2" s="5" customFormat="1" ht="14.25">
      <c r="A2" s="6" t="s">
        <v>849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851</v>
      </c>
      <c r="B4" s="63">
        <v>6.36</v>
      </c>
      <c r="C4" s="64"/>
      <c r="D4" s="103">
        <f aca="true" t="shared" si="0" ref="D4:D12">C4*1</f>
        <v>0</v>
      </c>
      <c r="E4" s="114">
        <f aca="true" t="shared" si="1" ref="E4:E12">(B4+D4)*$D$1</f>
        <v>437.6952</v>
      </c>
      <c r="F4" s="79">
        <v>438</v>
      </c>
      <c r="G4" s="14">
        <f aca="true" t="shared" si="2" ref="G4:G12">-E4+F4</f>
        <v>0.3048000000000002</v>
      </c>
      <c r="H4" s="74"/>
    </row>
    <row r="5" spans="1:7" s="10" customFormat="1" ht="14.25">
      <c r="A5" s="15" t="s">
        <v>758</v>
      </c>
      <c r="B5" s="63">
        <v>5.016</v>
      </c>
      <c r="C5" s="64"/>
      <c r="D5" s="103">
        <f t="shared" si="0"/>
        <v>0</v>
      </c>
      <c r="E5" s="115">
        <f t="shared" si="1"/>
        <v>345.20111999999995</v>
      </c>
      <c r="F5" s="79">
        <v>345</v>
      </c>
      <c r="G5" s="77">
        <f t="shared" si="2"/>
        <v>-0.20111999999994623</v>
      </c>
    </row>
    <row r="6" spans="1:8" s="10" customFormat="1" ht="14.25">
      <c r="A6" s="11" t="s">
        <v>449</v>
      </c>
      <c r="B6" s="63">
        <v>17.85</v>
      </c>
      <c r="C6" s="64"/>
      <c r="D6" s="103">
        <f t="shared" si="0"/>
        <v>0</v>
      </c>
      <c r="E6" s="114">
        <f t="shared" si="1"/>
        <v>1228.437</v>
      </c>
      <c r="F6" s="79">
        <v>1750</v>
      </c>
      <c r="G6" s="77">
        <f t="shared" si="2"/>
        <v>521.5630000000001</v>
      </c>
      <c r="H6" s="74"/>
    </row>
    <row r="7" spans="1:7" s="10" customFormat="1" ht="14.25">
      <c r="A7" s="15" t="s">
        <v>619</v>
      </c>
      <c r="B7" s="63">
        <v>4.49</v>
      </c>
      <c r="C7" s="64"/>
      <c r="D7" s="103">
        <f t="shared" si="0"/>
        <v>0</v>
      </c>
      <c r="E7" s="115">
        <f t="shared" si="1"/>
        <v>309.0018</v>
      </c>
      <c r="F7" s="79">
        <v>309</v>
      </c>
      <c r="G7" s="77">
        <f t="shared" si="2"/>
        <v>-0.0018000000000029104</v>
      </c>
    </row>
    <row r="8" spans="1:7" s="10" customFormat="1" ht="14.25">
      <c r="A8" s="15" t="s">
        <v>200</v>
      </c>
      <c r="B8" s="63">
        <v>6.79</v>
      </c>
      <c r="C8" s="64"/>
      <c r="D8" s="103">
        <f t="shared" si="0"/>
        <v>0</v>
      </c>
      <c r="E8" s="115">
        <f t="shared" si="1"/>
        <v>467.28779999999995</v>
      </c>
      <c r="F8" s="79">
        <v>468</v>
      </c>
      <c r="G8" s="77">
        <f t="shared" si="2"/>
        <v>0.7122000000000526</v>
      </c>
    </row>
    <row r="9" spans="1:8" s="10" customFormat="1" ht="14.25">
      <c r="A9" s="11" t="s">
        <v>852</v>
      </c>
      <c r="B9" s="63">
        <v>10.51</v>
      </c>
      <c r="C9" s="64"/>
      <c r="D9" s="103">
        <f t="shared" si="0"/>
        <v>0</v>
      </c>
      <c r="E9" s="114">
        <f t="shared" si="1"/>
        <v>723.2982</v>
      </c>
      <c r="F9" s="79">
        <v>723</v>
      </c>
      <c r="G9" s="14">
        <f t="shared" si="2"/>
        <v>-0.2981999999999516</v>
      </c>
      <c r="H9" s="74"/>
    </row>
    <row r="10" spans="1:7" s="10" customFormat="1" ht="14.25">
      <c r="A10" s="15" t="s">
        <v>795</v>
      </c>
      <c r="B10" s="63">
        <v>61.31</v>
      </c>
      <c r="C10" s="64"/>
      <c r="D10" s="103">
        <f t="shared" si="0"/>
        <v>0</v>
      </c>
      <c r="E10" s="115">
        <f t="shared" si="1"/>
        <v>4219.3542</v>
      </c>
      <c r="F10" s="79">
        <v>4217</v>
      </c>
      <c r="G10" s="77">
        <f t="shared" si="2"/>
        <v>-2.3541999999997643</v>
      </c>
    </row>
    <row r="11" spans="1:8" s="10" customFormat="1" ht="14.25">
      <c r="A11" s="11" t="s">
        <v>412</v>
      </c>
      <c r="B11" s="63">
        <v>5.9</v>
      </c>
      <c r="C11" s="64"/>
      <c r="D11" s="103">
        <f t="shared" si="0"/>
        <v>0</v>
      </c>
      <c r="E11" s="114">
        <f t="shared" si="1"/>
        <v>406.038</v>
      </c>
      <c r="F11" s="85">
        <v>406</v>
      </c>
      <c r="G11" s="14">
        <f t="shared" si="2"/>
        <v>-0.038000000000010914</v>
      </c>
      <c r="H11" s="74"/>
    </row>
    <row r="12" spans="1:8" s="10" customFormat="1" ht="14.25">
      <c r="A12" s="15" t="s">
        <v>660</v>
      </c>
      <c r="B12" s="63">
        <v>28.38</v>
      </c>
      <c r="C12" s="64"/>
      <c r="D12" s="103">
        <f t="shared" si="0"/>
        <v>0</v>
      </c>
      <c r="E12" s="115">
        <f t="shared" si="1"/>
        <v>1953.1115999999997</v>
      </c>
      <c r="F12" s="79">
        <f>1953+24</f>
        <v>1977</v>
      </c>
      <c r="G12" s="77">
        <f t="shared" si="2"/>
        <v>23.888400000000274</v>
      </c>
      <c r="H12" s="10" t="s">
        <v>872</v>
      </c>
    </row>
    <row r="13" spans="1:7" s="25" customFormat="1" ht="14.25">
      <c r="A13" s="24"/>
      <c r="B13" s="24"/>
      <c r="C13" s="24">
        <f>SUM(C4:C8)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4.25">
      <c r="A17" s="27"/>
      <c r="B17" s="27"/>
    </row>
    <row r="18" spans="1:2" ht="14.25">
      <c r="A18" s="72"/>
      <c r="B18" s="72"/>
    </row>
    <row r="19" ht="14.25">
      <c r="A19" s="72"/>
    </row>
    <row r="20" ht="14.25">
      <c r="A20" s="72"/>
    </row>
    <row r="26" spans="4:5" ht="14.25">
      <c r="D26" s="43"/>
      <c r="E26" s="132"/>
    </row>
    <row r="105" spans="4:5" ht="14.25">
      <c r="D105" s="43">
        <f>'480'!G7+'489'!G4</f>
        <v>0.35979999999995016</v>
      </c>
      <c r="E105" t="s">
        <v>770</v>
      </c>
    </row>
    <row r="133" spans="4:5" ht="14.25">
      <c r="D133" s="43">
        <f>B133+C133+'309'!G4+'316'!G4+'319'!G4+'339'!G9+'340'!G4+'372'!G7+'381'!G4+'391'!G7+'404'!G6+'411'!G4+'412'!G8+'416'!G4+'429'!G4+'485'!G4+'522'!G5</f>
        <v>4.579371965812413</v>
      </c>
      <c r="E133" s="132" t="s">
        <v>846</v>
      </c>
    </row>
    <row r="138" spans="4:5" ht="14.25">
      <c r="D138" s="43">
        <f>B138+C138+'325'!G9+'328'!G5+'344'!G9+'378'!G7+'384'!G6+'387'!G4+'391'!G9+'399'!G4+'441'!G4+'522'!G4</f>
        <v>-1.887614562767908</v>
      </c>
      <c r="E138" s="132" t="s">
        <v>845</v>
      </c>
    </row>
    <row r="175" spans="1:5" ht="14.25">
      <c r="A175" t="s">
        <v>844</v>
      </c>
      <c r="B175">
        <v>0</v>
      </c>
      <c r="D175" s="43">
        <f>'522'!G7</f>
        <v>0.15050000000002228</v>
      </c>
      <c r="E175">
        <v>522</v>
      </c>
    </row>
    <row r="269" spans="4:5" ht="14.25">
      <c r="D269" s="43">
        <f>'435'!G4+'521'!G6</f>
        <v>0.19920000000001892</v>
      </c>
      <c r="E269" t="s">
        <v>839</v>
      </c>
    </row>
    <row r="327" spans="4:5" ht="14.25">
      <c r="D327" s="43">
        <f>B327+C327+'339'!G6+'359'!G7+'362'!G8+'422'!G4+'425'!G7+'470'!G6+'479'!G7+'514'!G6+'522'!G6</f>
        <v>-0.18308000000028812</v>
      </c>
      <c r="E327" t="s">
        <v>847</v>
      </c>
    </row>
    <row r="357" spans="2:5" ht="14.25">
      <c r="B357">
        <v>0</v>
      </c>
      <c r="D357" s="43">
        <f>'485'!G8+'488'!G6+'489'!G6+'491'!G4+'494'!G6+'495'!G4+'498'!G8+'502'!G5+'504'!G4+'508'!G5+'511'!G4+'514'!G7+'521'!G4+'522'!G8</f>
        <v>0.3647999999984677</v>
      </c>
      <c r="E357" t="s">
        <v>848</v>
      </c>
    </row>
    <row r="359" spans="4:5" ht="14.25">
      <c r="D359" s="43">
        <f>'485'!G8+'488'!G6+'489'!G6+'491'!G4+'494'!G6+'495'!G4+'498'!G8+'502'!G5+'504'!G4+'508'!G5+'511'!G4+'514'!G7+'521'!G4</f>
        <v>-0.41860000000156106</v>
      </c>
      <c r="E359" t="s">
        <v>840</v>
      </c>
    </row>
  </sheetData>
  <sheetProtection/>
  <printOptions/>
  <pageMargins left="0.7" right="0.7" top="0.75" bottom="0.75" header="0.3" footer="0.3"/>
  <pageSetup orientation="portrait" paperSize="9"/>
</worksheet>
</file>

<file path=xl/worksheets/sheet2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7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42460</v>
      </c>
      <c r="C1" s="3" t="s">
        <v>1</v>
      </c>
      <c r="D1" s="4">
        <v>68.73</v>
      </c>
      <c r="E1" s="5" t="s">
        <v>2</v>
      </c>
    </row>
    <row r="2" s="5" customFormat="1" ht="14.25">
      <c r="A2" s="6" t="s">
        <v>856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757</v>
      </c>
      <c r="B4" s="63">
        <v>38.82</v>
      </c>
      <c r="C4" s="64"/>
      <c r="D4" s="103">
        <f aca="true" t="shared" si="0" ref="D4:D10">C4*1</f>
        <v>0</v>
      </c>
      <c r="E4" s="114">
        <f aca="true" t="shared" si="1" ref="E4:E10">(B4+D4)*$D$1</f>
        <v>2668.0986000000003</v>
      </c>
      <c r="F4" s="79">
        <v>2668</v>
      </c>
      <c r="G4" s="14">
        <f aca="true" t="shared" si="2" ref="G4:G10">-E4+F4</f>
        <v>-0.09860000000026048</v>
      </c>
      <c r="H4" s="74"/>
    </row>
    <row r="5" spans="1:7" s="10" customFormat="1" ht="14.25">
      <c r="A5" s="15" t="s">
        <v>120</v>
      </c>
      <c r="B5" s="63">
        <v>16.86</v>
      </c>
      <c r="C5" s="64"/>
      <c r="D5" s="103">
        <f t="shared" si="0"/>
        <v>0</v>
      </c>
      <c r="E5" s="115">
        <f t="shared" si="1"/>
        <v>1158.7878</v>
      </c>
      <c r="F5" s="79">
        <v>1159</v>
      </c>
      <c r="G5" s="77">
        <f t="shared" si="2"/>
        <v>0.21219999999993888</v>
      </c>
    </row>
    <row r="6" spans="1:8" s="10" customFormat="1" ht="14.25">
      <c r="A6" s="11" t="s">
        <v>24</v>
      </c>
      <c r="B6" s="63">
        <v>7.98</v>
      </c>
      <c r="C6" s="64"/>
      <c r="D6" s="103">
        <f t="shared" si="0"/>
        <v>0</v>
      </c>
      <c r="E6" s="114">
        <f t="shared" si="1"/>
        <v>548.4654</v>
      </c>
      <c r="F6" s="79">
        <v>548</v>
      </c>
      <c r="G6" s="14">
        <f t="shared" si="2"/>
        <v>-0.4654000000000451</v>
      </c>
      <c r="H6" s="74"/>
    </row>
    <row r="7" spans="1:7" s="10" customFormat="1" ht="14.25">
      <c r="A7" s="15" t="s">
        <v>449</v>
      </c>
      <c r="B7" s="63">
        <v>6.87</v>
      </c>
      <c r="C7" s="64"/>
      <c r="D7" s="103">
        <f t="shared" si="0"/>
        <v>0</v>
      </c>
      <c r="E7" s="115">
        <f t="shared" si="1"/>
        <v>472.17510000000004</v>
      </c>
      <c r="G7" s="14">
        <f t="shared" si="2"/>
        <v>-472.17510000000004</v>
      </c>
    </row>
    <row r="8" spans="1:7" s="10" customFormat="1" ht="14.25">
      <c r="A8" s="15" t="s">
        <v>857</v>
      </c>
      <c r="B8" s="63">
        <v>25.29</v>
      </c>
      <c r="C8" s="64"/>
      <c r="D8" s="103">
        <f t="shared" si="0"/>
        <v>0</v>
      </c>
      <c r="E8" s="115">
        <f t="shared" si="1"/>
        <v>1738.1817</v>
      </c>
      <c r="F8" s="79">
        <v>1738</v>
      </c>
      <c r="G8" s="14">
        <f t="shared" si="2"/>
        <v>-0.18170000000009168</v>
      </c>
    </row>
    <row r="9" spans="1:8" s="10" customFormat="1" ht="14.25">
      <c r="A9" s="11" t="s">
        <v>271</v>
      </c>
      <c r="B9" s="63">
        <v>25.29</v>
      </c>
      <c r="C9" s="64"/>
      <c r="D9" s="103">
        <f t="shared" si="0"/>
        <v>0</v>
      </c>
      <c r="E9" s="114">
        <f t="shared" si="1"/>
        <v>1738.1817</v>
      </c>
      <c r="F9" s="79">
        <v>1738</v>
      </c>
      <c r="G9" s="14">
        <f t="shared" si="2"/>
        <v>-0.18170000000009168</v>
      </c>
      <c r="H9" s="74"/>
    </row>
    <row r="10" spans="1:7" s="10" customFormat="1" ht="14.25">
      <c r="A10" s="15" t="s">
        <v>758</v>
      </c>
      <c r="B10" s="63">
        <v>20.13</v>
      </c>
      <c r="C10" s="64"/>
      <c r="D10" s="103">
        <f t="shared" si="0"/>
        <v>0</v>
      </c>
      <c r="E10" s="115">
        <f t="shared" si="1"/>
        <v>1383.5349</v>
      </c>
      <c r="F10" s="79">
        <v>1383</v>
      </c>
      <c r="G10" s="77">
        <f t="shared" si="2"/>
        <v>-0.534900000000107</v>
      </c>
    </row>
    <row r="11" spans="1:7" s="25" customFormat="1" ht="14.25">
      <c r="A11" s="24"/>
      <c r="B11" s="24"/>
      <c r="C11" s="24">
        <f>SUM(C4:C8)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27"/>
      <c r="B15" s="27"/>
    </row>
    <row r="16" spans="1:2" ht="14.25">
      <c r="A16" s="72"/>
      <c r="B16" s="72"/>
    </row>
    <row r="17" ht="14.25">
      <c r="A17" s="72"/>
    </row>
    <row r="18" ht="14.25">
      <c r="A18" s="72"/>
    </row>
    <row r="24" spans="4:5" ht="14.25">
      <c r="D24" s="43"/>
      <c r="E24" s="132"/>
    </row>
    <row r="103" spans="4:5" ht="14.25">
      <c r="D103" s="43">
        <f>'480'!G7+'489'!G4</f>
        <v>0.35979999999995016</v>
      </c>
      <c r="E103" t="s">
        <v>770</v>
      </c>
    </row>
    <row r="131" spans="4:5" ht="14.25">
      <c r="D131" s="43">
        <f>B131+C131+'309'!G4+'316'!G4+'319'!G4+'339'!G9+'340'!G4+'372'!G7+'381'!G4+'391'!G7+'404'!G6+'411'!G4+'412'!G8+'416'!G4+'429'!G4+'485'!G4+'522'!G5</f>
        <v>4.579371965812413</v>
      </c>
      <c r="E131" s="132" t="s">
        <v>846</v>
      </c>
    </row>
    <row r="136" spans="4:5" ht="14.25">
      <c r="D136" s="43">
        <f>B136+C136+'325'!G9+'328'!G5+'344'!G9+'378'!G7+'384'!G6+'387'!G4+'391'!G9+'399'!G4+'441'!G4+'522'!G4</f>
        <v>-1.887614562767908</v>
      </c>
      <c r="E136" s="132" t="s">
        <v>845</v>
      </c>
    </row>
    <row r="173" spans="1:5" ht="14.25">
      <c r="A173" t="s">
        <v>844</v>
      </c>
      <c r="B173">
        <v>0</v>
      </c>
      <c r="D173" s="43">
        <f>'522'!G7</f>
        <v>0.15050000000002228</v>
      </c>
      <c r="E173">
        <v>522</v>
      </c>
    </row>
    <row r="267" spans="4:5" ht="14.25">
      <c r="D267" s="43">
        <f>'435'!G4+'521'!G6</f>
        <v>0.19920000000001892</v>
      </c>
      <c r="E267" t="s">
        <v>839</v>
      </c>
    </row>
    <row r="325" spans="4:5" ht="14.25">
      <c r="D325" s="43">
        <f>B325+C325+'339'!G6+'359'!G7+'362'!G8+'422'!G4+'425'!G7+'470'!G6+'479'!G7+'514'!G6+'522'!G6</f>
        <v>-0.18308000000028812</v>
      </c>
      <c r="E325" t="s">
        <v>847</v>
      </c>
    </row>
    <row r="355" spans="2:5" ht="14.25">
      <c r="B355">
        <v>0</v>
      </c>
      <c r="D355" s="43">
        <f>'485'!G8+'488'!G6+'489'!G6+'491'!G4+'494'!G6+'495'!G4+'498'!G8+'502'!G5+'504'!G4+'508'!G5+'511'!G4+'514'!G7+'521'!G4+'522'!G8</f>
        <v>0.3647999999984677</v>
      </c>
      <c r="E355" t="s">
        <v>848</v>
      </c>
    </row>
    <row r="357" spans="4:5" ht="14.25">
      <c r="D357" s="43">
        <f>'485'!G8+'488'!G6+'489'!G6+'491'!G4+'494'!G6+'495'!G4+'498'!G8+'502'!G5+'504'!G4+'508'!G5+'511'!G4+'514'!G7+'521'!G4</f>
        <v>-0.41860000000156106</v>
      </c>
      <c r="E357" t="s">
        <v>840</v>
      </c>
    </row>
  </sheetData>
  <sheetProtection/>
  <printOptions/>
  <pageMargins left="0.7" right="0.7" top="0.75" bottom="0.75" header="0.3" footer="0.3"/>
  <pageSetup orientation="portrait" paperSize="9"/>
</worksheet>
</file>

<file path=xl/worksheets/sheet2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4.25">
      <c r="A2" s="6" t="s">
        <v>859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63">
        <v>6.66</v>
      </c>
      <c r="C4" s="64"/>
      <c r="D4" s="103">
        <f aca="true" t="shared" si="0" ref="D4:D9">C4*1</f>
        <v>0</v>
      </c>
      <c r="E4" s="114">
        <f aca="true" t="shared" si="1" ref="E4:E9">(B4+D4)*$D$1</f>
        <v>457.4754</v>
      </c>
      <c r="F4" s="79">
        <v>437</v>
      </c>
      <c r="G4" s="14">
        <f aca="true" t="shared" si="2" ref="G4:G9">-E4+F4</f>
        <v>-20.47539999999998</v>
      </c>
      <c r="H4" s="74"/>
    </row>
    <row r="5" spans="1:7" s="10" customFormat="1" ht="14.25">
      <c r="A5" s="15" t="s">
        <v>860</v>
      </c>
      <c r="B5" s="63">
        <v>12.99</v>
      </c>
      <c r="C5" s="64"/>
      <c r="D5" s="103">
        <f t="shared" si="0"/>
        <v>0</v>
      </c>
      <c r="E5" s="115">
        <f t="shared" si="1"/>
        <v>892.2831</v>
      </c>
      <c r="F5" s="79">
        <v>892</v>
      </c>
      <c r="G5" s="77">
        <f t="shared" si="2"/>
        <v>-0.28309999999999036</v>
      </c>
    </row>
    <row r="6" spans="1:8" s="10" customFormat="1" ht="14.25">
      <c r="A6" s="11" t="s">
        <v>861</v>
      </c>
      <c r="B6" s="63">
        <v>10.64</v>
      </c>
      <c r="C6" s="64"/>
      <c r="D6" s="103">
        <f t="shared" si="0"/>
        <v>0</v>
      </c>
      <c r="E6" s="114">
        <f t="shared" si="1"/>
        <v>730.8616000000001</v>
      </c>
      <c r="F6" s="79">
        <v>731</v>
      </c>
      <c r="G6" s="14">
        <f t="shared" si="2"/>
        <v>0.13839999999993324</v>
      </c>
      <c r="H6" s="74"/>
    </row>
    <row r="7" spans="1:7" s="10" customFormat="1" ht="14.25">
      <c r="A7" s="15" t="s">
        <v>120</v>
      </c>
      <c r="B7" s="63">
        <v>4.304</v>
      </c>
      <c r="C7" s="64"/>
      <c r="D7" s="103">
        <f t="shared" si="0"/>
        <v>0</v>
      </c>
      <c r="E7" s="115">
        <f t="shared" si="1"/>
        <v>295.64176000000003</v>
      </c>
      <c r="F7" s="85">
        <v>296</v>
      </c>
      <c r="G7" s="14">
        <f t="shared" si="2"/>
        <v>0.3582399999999666</v>
      </c>
    </row>
    <row r="8" spans="1:7" s="10" customFormat="1" ht="14.25">
      <c r="A8" s="15" t="s">
        <v>29</v>
      </c>
      <c r="B8" s="63">
        <v>3.66</v>
      </c>
      <c r="C8" s="64"/>
      <c r="D8" s="103">
        <f t="shared" si="0"/>
        <v>0</v>
      </c>
      <c r="E8" s="115">
        <f t="shared" si="1"/>
        <v>251.40540000000001</v>
      </c>
      <c r="F8" s="79">
        <v>251</v>
      </c>
      <c r="G8" s="14">
        <f t="shared" si="2"/>
        <v>-0.4054000000000144</v>
      </c>
    </row>
    <row r="9" spans="1:8" s="10" customFormat="1" ht="14.25">
      <c r="A9" s="11" t="s">
        <v>116</v>
      </c>
      <c r="B9" s="63">
        <v>1.8399999999999999</v>
      </c>
      <c r="C9" s="64"/>
      <c r="D9" s="103">
        <f t="shared" si="0"/>
        <v>0</v>
      </c>
      <c r="E9" s="114">
        <f t="shared" si="1"/>
        <v>126.38959999999999</v>
      </c>
      <c r="F9" s="79">
        <v>125</v>
      </c>
      <c r="G9" s="14">
        <f t="shared" si="2"/>
        <v>-1.3895999999999873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27"/>
      <c r="B14" s="27"/>
    </row>
    <row r="15" spans="1:2" ht="14.25">
      <c r="A15" s="72"/>
      <c r="B15" s="72"/>
    </row>
    <row r="16" ht="14.25">
      <c r="A16" s="72"/>
    </row>
    <row r="17" ht="14.25">
      <c r="A17" s="72"/>
    </row>
    <row r="23" spans="4:5" ht="14.25">
      <c r="D23" s="43"/>
      <c r="E23" s="132"/>
    </row>
    <row r="102" spans="4:5" ht="14.25">
      <c r="D102" s="43">
        <f>'480'!G7+'489'!G4</f>
        <v>0.35979999999995016</v>
      </c>
      <c r="E102" t="s">
        <v>770</v>
      </c>
    </row>
    <row r="130" spans="4:5" ht="14.25">
      <c r="D130" s="43">
        <f>B130+C130+'309'!G4+'316'!G4+'319'!G4+'339'!G9+'340'!G4+'372'!G7+'381'!G4+'391'!G7+'404'!G6+'411'!G4+'412'!G8+'416'!G4+'429'!G4+'485'!G4+'522'!G5</f>
        <v>4.579371965812413</v>
      </c>
      <c r="E130" s="132" t="s">
        <v>846</v>
      </c>
    </row>
    <row r="135" spans="4:5" ht="14.25">
      <c r="D135" s="43">
        <f>B135+C135+'325'!G9+'328'!G5+'344'!G9+'378'!G7+'384'!G6+'387'!G4+'391'!G9+'399'!G4+'441'!G4+'522'!G4</f>
        <v>-1.887614562767908</v>
      </c>
      <c r="E135" s="132" t="s">
        <v>845</v>
      </c>
    </row>
    <row r="172" spans="1:5" ht="14.25">
      <c r="A172" t="s">
        <v>844</v>
      </c>
      <c r="B172">
        <v>0</v>
      </c>
      <c r="D172" s="43">
        <f>'522'!G7</f>
        <v>0.15050000000002228</v>
      </c>
      <c r="E172">
        <v>522</v>
      </c>
    </row>
    <row r="266" spans="4:5" ht="14.25">
      <c r="D266" s="43">
        <f>'435'!G4+'521'!G6</f>
        <v>0.19920000000001892</v>
      </c>
      <c r="E266" t="s">
        <v>839</v>
      </c>
    </row>
    <row r="324" spans="4:5" ht="14.25">
      <c r="D324" s="43">
        <f>B324+C324+'339'!G6+'359'!G7+'362'!G8+'422'!G4+'425'!G7+'470'!G6+'479'!G7+'514'!G6+'522'!G6</f>
        <v>-0.18308000000028812</v>
      </c>
      <c r="E324" t="s">
        <v>847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848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840</v>
      </c>
    </row>
  </sheetData>
  <sheetProtection/>
  <printOptions/>
  <pageMargins left="0.7" right="0.7" top="0.75" bottom="0.75" header="0.3" footer="0.3"/>
  <pageSetup orientation="portrait" paperSize="9"/>
</worksheet>
</file>

<file path=xl/worksheets/sheet2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4.25">
      <c r="A2" s="6" t="s">
        <v>859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852</v>
      </c>
      <c r="B4" s="63">
        <v>50.58</v>
      </c>
      <c r="C4" s="64"/>
      <c r="D4" s="103">
        <f>C4*1</f>
        <v>0</v>
      </c>
      <c r="E4" s="114">
        <f>(B4+D4)*$D$1</f>
        <v>3474.3401999999996</v>
      </c>
      <c r="F4" s="79">
        <v>3475</v>
      </c>
      <c r="G4" s="14">
        <f>-E4+F4</f>
        <v>0.6598000000003594</v>
      </c>
      <c r="H4" s="74"/>
    </row>
    <row r="5" spans="1:7" s="10" customFormat="1" ht="14.25">
      <c r="A5" s="15" t="s">
        <v>862</v>
      </c>
      <c r="B5" s="63">
        <v>12.73</v>
      </c>
      <c r="C5" s="64"/>
      <c r="D5" s="103">
        <f>C5*1</f>
        <v>0</v>
      </c>
      <c r="E5" s="115">
        <f>(B5+D5)*$D$1</f>
        <v>874.4237</v>
      </c>
      <c r="F5" s="79">
        <v>874</v>
      </c>
      <c r="G5" s="77">
        <f>-E5+F5</f>
        <v>-0.4237000000000535</v>
      </c>
    </row>
    <row r="6" spans="1:8" s="10" customFormat="1" ht="14.25">
      <c r="A6" s="11" t="s">
        <v>410</v>
      </c>
      <c r="B6" s="63">
        <v>32.51</v>
      </c>
      <c r="C6" s="64"/>
      <c r="D6" s="103">
        <f>C6*1</f>
        <v>0</v>
      </c>
      <c r="E6" s="114">
        <f>(B6+D6)*$D$1</f>
        <v>2233.1119</v>
      </c>
      <c r="F6" s="79">
        <v>2233</v>
      </c>
      <c r="G6" s="14">
        <f>-E6+F6</f>
        <v>-0.11189999999987776</v>
      </c>
      <c r="H6" s="74"/>
    </row>
    <row r="7" spans="1:7" s="10" customFormat="1" ht="14.25">
      <c r="A7" s="15" t="s">
        <v>499</v>
      </c>
      <c r="B7" s="63">
        <v>49.57</v>
      </c>
      <c r="C7" s="64"/>
      <c r="D7" s="103">
        <f>C7*1</f>
        <v>0</v>
      </c>
      <c r="E7" s="115">
        <f>(B7+D7)*$D$1</f>
        <v>3404.9633</v>
      </c>
      <c r="F7" s="79">
        <v>3405</v>
      </c>
      <c r="G7" s="14">
        <f>-E7+F7</f>
        <v>0.03670000000010987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27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770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846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845</v>
      </c>
    </row>
    <row r="170" spans="1:5" ht="14.25">
      <c r="A170" t="s">
        <v>844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839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847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848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840</v>
      </c>
    </row>
  </sheetData>
  <sheetProtection/>
  <printOptions/>
  <pageMargins left="0.7" right="0.7" top="0.75" bottom="0.75" header="0.3" footer="0.3"/>
  <pageSetup orientation="portrait" paperSize="9"/>
</worksheet>
</file>

<file path=xl/worksheets/sheet2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4.25">
      <c r="A2" s="6" t="s">
        <v>859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506</v>
      </c>
      <c r="B4" s="63">
        <v>141.64</v>
      </c>
      <c r="C4" s="64"/>
      <c r="D4" s="103">
        <f>C4*1</f>
        <v>0</v>
      </c>
      <c r="E4" s="114">
        <f>(B4+D4)*$D$1</f>
        <v>9729.2516</v>
      </c>
      <c r="F4" s="79">
        <v>9729</v>
      </c>
      <c r="G4" s="14">
        <f>-E4+F4</f>
        <v>-0.25159999999959837</v>
      </c>
      <c r="H4" s="74"/>
    </row>
    <row r="5" spans="1:7" s="10" customFormat="1" ht="14.25">
      <c r="A5" s="15" t="s">
        <v>777</v>
      </c>
      <c r="B5" s="63">
        <v>21.38</v>
      </c>
      <c r="C5" s="64"/>
      <c r="D5" s="103">
        <f>C5*1</f>
        <v>0</v>
      </c>
      <c r="E5" s="115">
        <f>(B5+D5)*$D$1</f>
        <v>1468.5921999999998</v>
      </c>
      <c r="F5" s="79">
        <v>1469</v>
      </c>
      <c r="G5" s="77">
        <f>-E5+F5</f>
        <v>0.40780000000017935</v>
      </c>
    </row>
    <row r="6" spans="1:8" s="10" customFormat="1" ht="14.25">
      <c r="A6" s="11" t="s">
        <v>625</v>
      </c>
      <c r="B6" s="63">
        <v>39.26</v>
      </c>
      <c r="C6" s="64"/>
      <c r="D6" s="103">
        <f>C6*1</f>
        <v>0</v>
      </c>
      <c r="E6" s="114">
        <f>(B6+D6)*$D$1</f>
        <v>2696.7693999999997</v>
      </c>
      <c r="F6" s="79">
        <v>2697</v>
      </c>
      <c r="G6" s="14">
        <f>-E6+F6</f>
        <v>0.23060000000032232</v>
      </c>
      <c r="H6" s="74"/>
    </row>
    <row r="7" spans="1:7" s="10" customFormat="1" ht="14.25">
      <c r="A7" s="15" t="s">
        <v>142</v>
      </c>
      <c r="B7" s="63">
        <v>51.04</v>
      </c>
      <c r="C7" s="64"/>
      <c r="D7" s="103">
        <f>C7*1</f>
        <v>0</v>
      </c>
      <c r="E7" s="115">
        <f>(B7+D7)*$D$1</f>
        <v>3505.9375999999997</v>
      </c>
      <c r="F7" s="79">
        <v>3506</v>
      </c>
      <c r="G7" s="14">
        <f>-E7+F7</f>
        <v>0.062400000000252476</v>
      </c>
    </row>
    <row r="8" spans="1:7" s="10" customFormat="1" ht="14.25">
      <c r="A8" s="15" t="s">
        <v>864</v>
      </c>
      <c r="B8" s="63">
        <v>6.59</v>
      </c>
      <c r="C8" s="64"/>
      <c r="D8" s="103">
        <f>C8*1</f>
        <v>0</v>
      </c>
      <c r="E8" s="115">
        <f>(B8+D8)*$D$1</f>
        <v>452.66709999999995</v>
      </c>
      <c r="F8" s="79">
        <v>464</v>
      </c>
      <c r="G8" s="14">
        <f>-E8+F8</f>
        <v>11.332900000000052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416</v>
      </c>
      <c r="B13" s="27"/>
    </row>
    <row r="14" spans="1:2" ht="14.25">
      <c r="A14" s="71" t="s">
        <v>506</v>
      </c>
      <c r="B14" s="72" t="s">
        <v>863</v>
      </c>
    </row>
    <row r="15" spans="1:2" ht="14.25">
      <c r="A15" s="71" t="s">
        <v>777</v>
      </c>
      <c r="B15" s="72" t="s">
        <v>865</v>
      </c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770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846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845</v>
      </c>
    </row>
    <row r="171" spans="1:5" ht="14.25">
      <c r="A171" t="s">
        <v>844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839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847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848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840</v>
      </c>
    </row>
  </sheetData>
  <sheetProtection/>
  <hyperlinks>
    <hyperlink ref="B14" r:id="rId1" display="http://ru.iherb.com/Now-Foods-Sunflower-Lecithin-1200-mg-200-Softgels/23216"/>
    <hyperlink ref="B15" r:id="rId2" display="http://www.iherb.com/Now-Foods-Gotu-Kola-450-mg-100-Capsules/630"/>
  </hyperlinks>
  <printOptions/>
  <pageMargins left="0.7" right="0.7" top="0.75" bottom="0.75" header="0.3" footer="0.3"/>
  <pageSetup orientation="portrait" paperSize="9"/>
</worksheet>
</file>

<file path=xl/worksheets/sheet2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42466</v>
      </c>
      <c r="C1" s="3" t="s">
        <v>1</v>
      </c>
      <c r="D1" s="4">
        <v>69.73</v>
      </c>
      <c r="E1" s="5" t="s">
        <v>2</v>
      </c>
    </row>
    <row r="2" s="5" customFormat="1" ht="14.25">
      <c r="A2" s="6" t="s">
        <v>869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758</v>
      </c>
      <c r="B4" s="63">
        <v>69.24</v>
      </c>
      <c r="C4" s="64"/>
      <c r="D4" s="103">
        <f>C4*1</f>
        <v>0</v>
      </c>
      <c r="E4" s="114">
        <f>(B4+D4)*$D$1</f>
        <v>4828.1052</v>
      </c>
      <c r="F4" s="85">
        <v>4828</v>
      </c>
      <c r="G4" s="14">
        <f>-E4+F4</f>
        <v>-0.10519999999996799</v>
      </c>
      <c r="H4" s="74"/>
    </row>
    <row r="5" spans="1:7" s="10" customFormat="1" ht="14.25">
      <c r="A5" s="15" t="s">
        <v>408</v>
      </c>
      <c r="B5" s="63">
        <v>6.66</v>
      </c>
      <c r="C5" s="64"/>
      <c r="D5" s="103">
        <f>C5*1</f>
        <v>0</v>
      </c>
      <c r="E5" s="115">
        <f>(B5+D5)*$D$1</f>
        <v>464.40180000000004</v>
      </c>
      <c r="F5" s="79">
        <v>464</v>
      </c>
      <c r="G5" s="77">
        <f>-E5+F5</f>
        <v>-0.401800000000037</v>
      </c>
    </row>
    <row r="6" spans="1:7" s="10" customFormat="1" ht="14.25">
      <c r="A6" s="15" t="s">
        <v>284</v>
      </c>
      <c r="B6" s="63">
        <v>14.4</v>
      </c>
      <c r="C6" s="64"/>
      <c r="D6" s="103">
        <f>C6*1</f>
        <v>0</v>
      </c>
      <c r="E6" s="115">
        <f>(B6+D6)*$D$1</f>
        <v>1004.1120000000001</v>
      </c>
      <c r="F6" s="79">
        <v>1004</v>
      </c>
      <c r="G6" s="14">
        <f>-E6+F6</f>
        <v>-0.11200000000008004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770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846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845</v>
      </c>
    </row>
    <row r="166" spans="1:5" ht="14.25">
      <c r="A166" t="s">
        <v>844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839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847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848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840</v>
      </c>
    </row>
  </sheetData>
  <sheetProtection/>
  <printOptions/>
  <pageMargins left="0.7" right="0.7" top="0.75" bottom="0.75" header="0.3" footer="0.3"/>
  <pageSetup orientation="portrait" paperSize="9"/>
</worksheet>
</file>

<file path=xl/worksheets/sheet2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42468</v>
      </c>
      <c r="C1" s="3" t="s">
        <v>1</v>
      </c>
      <c r="D1" s="4">
        <v>68.67</v>
      </c>
      <c r="E1" s="5" t="s">
        <v>2</v>
      </c>
    </row>
    <row r="2" s="5" customFormat="1" ht="14.25">
      <c r="A2" s="6" t="s">
        <v>870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758</v>
      </c>
      <c r="B4" s="63">
        <v>17.26</v>
      </c>
      <c r="C4" s="64"/>
      <c r="D4" s="103">
        <f>C4*1</f>
        <v>0</v>
      </c>
      <c r="E4" s="114">
        <f>(B4+D4)*$D$1</f>
        <v>1185.2442</v>
      </c>
      <c r="F4" s="79">
        <v>1185</v>
      </c>
      <c r="G4" s="14">
        <f>-E4+F4</f>
        <v>-0.24420000000009168</v>
      </c>
      <c r="H4" s="74"/>
    </row>
    <row r="5" spans="1:7" s="10" customFormat="1" ht="14.25">
      <c r="A5" s="15" t="s">
        <v>871</v>
      </c>
      <c r="B5" s="63">
        <v>68.94</v>
      </c>
      <c r="C5" s="64"/>
      <c r="D5" s="103">
        <f>C5*1</f>
        <v>0</v>
      </c>
      <c r="E5" s="115">
        <f>(B5+D5)*$D$1</f>
        <v>4734.1098</v>
      </c>
      <c r="F5" s="79">
        <v>4734</v>
      </c>
      <c r="G5" s="77">
        <f>-E5+F5</f>
        <v>-0.10980000000017753</v>
      </c>
    </row>
    <row r="6" spans="1:8" s="10" customFormat="1" ht="14.25">
      <c r="A6" s="11" t="s">
        <v>757</v>
      </c>
      <c r="B6" s="63">
        <v>36.16</v>
      </c>
      <c r="C6" s="64"/>
      <c r="D6" s="103">
        <f>C6*1</f>
        <v>0</v>
      </c>
      <c r="E6" s="114">
        <f>(B6+D6)*$D$1</f>
        <v>2483.1072</v>
      </c>
      <c r="F6" s="79">
        <v>2483</v>
      </c>
      <c r="G6" s="14">
        <f>-E6+F6</f>
        <v>-0.10719999999992069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770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846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845</v>
      </c>
    </row>
    <row r="166" spans="1:5" ht="14.25">
      <c r="A166" t="s">
        <v>844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839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847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848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840</v>
      </c>
    </row>
  </sheetData>
  <sheetProtection/>
  <printOptions/>
  <pageMargins left="0.7" right="0.7" top="0.75" bottom="0.75" header="0.3" footer="0.3"/>
  <pageSetup orientation="portrait" paperSize="9"/>
</worksheet>
</file>

<file path=xl/worksheets/sheet2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7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42474</v>
      </c>
      <c r="C1" s="3" t="s">
        <v>1</v>
      </c>
      <c r="D1" s="4">
        <v>66.2</v>
      </c>
      <c r="E1" s="5" t="s">
        <v>2</v>
      </c>
    </row>
    <row r="2" s="5" customFormat="1" ht="14.25">
      <c r="A2" s="6" t="s">
        <v>873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24</v>
      </c>
      <c r="B4" s="63">
        <v>17.58</v>
      </c>
      <c r="C4" s="64"/>
      <c r="D4" s="103">
        <f aca="true" t="shared" si="0" ref="D4:D13">C4*1</f>
        <v>0</v>
      </c>
      <c r="E4" s="114">
        <f aca="true" t="shared" si="1" ref="E4:E13">(B4+D4)*$D$1</f>
        <v>1163.796</v>
      </c>
      <c r="F4" s="79">
        <v>1164</v>
      </c>
      <c r="G4" s="14">
        <f aca="true" t="shared" si="2" ref="G4:G13">-E4+F4</f>
        <v>0.2039999999999509</v>
      </c>
      <c r="H4" s="74"/>
    </row>
    <row r="5" spans="1:7" s="10" customFormat="1" ht="14.25">
      <c r="A5" s="15" t="s">
        <v>625</v>
      </c>
      <c r="B5" s="63">
        <v>8.59</v>
      </c>
      <c r="C5" s="64"/>
      <c r="D5" s="103">
        <f t="shared" si="0"/>
        <v>0</v>
      </c>
      <c r="E5" s="115">
        <f t="shared" si="1"/>
        <v>568.658</v>
      </c>
      <c r="F5" s="79">
        <v>568</v>
      </c>
      <c r="G5" s="77">
        <f t="shared" si="2"/>
        <v>-0.6580000000000155</v>
      </c>
    </row>
    <row r="6" spans="1:8" s="10" customFormat="1" ht="14.25">
      <c r="A6" s="11" t="s">
        <v>506</v>
      </c>
      <c r="B6" s="63">
        <v>24.2</v>
      </c>
      <c r="C6" s="64"/>
      <c r="D6" s="103">
        <f t="shared" si="0"/>
        <v>0</v>
      </c>
      <c r="E6" s="114">
        <f t="shared" si="1"/>
        <v>1602.04</v>
      </c>
      <c r="F6" s="79">
        <v>1602</v>
      </c>
      <c r="G6" s="14">
        <f t="shared" si="2"/>
        <v>-0.03999999999996362</v>
      </c>
      <c r="H6" s="74"/>
    </row>
    <row r="7" spans="1:7" s="10" customFormat="1" ht="14.25">
      <c r="A7" s="15" t="s">
        <v>758</v>
      </c>
      <c r="B7" s="63">
        <v>10.83</v>
      </c>
      <c r="C7" s="64"/>
      <c r="D7" s="103">
        <f t="shared" si="0"/>
        <v>0</v>
      </c>
      <c r="E7" s="115">
        <f t="shared" si="1"/>
        <v>716.946</v>
      </c>
      <c r="F7" s="79">
        <v>718</v>
      </c>
      <c r="G7" s="14">
        <f t="shared" si="2"/>
        <v>1.0539999999999736</v>
      </c>
    </row>
    <row r="8" spans="1:7" s="10" customFormat="1" ht="14.25">
      <c r="A8" s="15" t="s">
        <v>29</v>
      </c>
      <c r="B8" s="63">
        <v>9.95</v>
      </c>
      <c r="C8" s="64"/>
      <c r="D8" s="103">
        <f t="shared" si="0"/>
        <v>0</v>
      </c>
      <c r="E8" s="115">
        <f t="shared" si="1"/>
        <v>658.6899999999999</v>
      </c>
      <c r="F8" s="79">
        <v>943</v>
      </c>
      <c r="G8" s="14">
        <f t="shared" si="2"/>
        <v>284.31000000000006</v>
      </c>
    </row>
    <row r="9" spans="1:8" s="10" customFormat="1" ht="14.25">
      <c r="A9" s="11" t="s">
        <v>120</v>
      </c>
      <c r="B9" s="63">
        <v>10.2</v>
      </c>
      <c r="C9" s="64"/>
      <c r="D9" s="103">
        <f t="shared" si="0"/>
        <v>0</v>
      </c>
      <c r="E9" s="114">
        <f t="shared" si="1"/>
        <v>675.24</v>
      </c>
      <c r="F9" s="79">
        <v>675</v>
      </c>
      <c r="G9" s="14">
        <f t="shared" si="2"/>
        <v>-0.2400000000000091</v>
      </c>
      <c r="H9" s="74"/>
    </row>
    <row r="10" spans="1:7" s="10" customFormat="1" ht="14.25">
      <c r="A10" s="15" t="s">
        <v>507</v>
      </c>
      <c r="B10" s="63">
        <v>15.45</v>
      </c>
      <c r="C10" s="64"/>
      <c r="D10" s="103">
        <f t="shared" si="0"/>
        <v>0</v>
      </c>
      <c r="E10" s="115">
        <f t="shared" si="1"/>
        <v>1022.79</v>
      </c>
      <c r="F10" s="79">
        <f>100+923</f>
        <v>1023</v>
      </c>
      <c r="G10" s="77">
        <f t="shared" si="2"/>
        <v>0.21000000000003638</v>
      </c>
    </row>
    <row r="11" spans="1:8" s="10" customFormat="1" ht="14.25">
      <c r="A11" s="11" t="s">
        <v>408</v>
      </c>
      <c r="B11" s="63">
        <v>7.58</v>
      </c>
      <c r="C11" s="64"/>
      <c r="D11" s="103">
        <f t="shared" si="0"/>
        <v>0</v>
      </c>
      <c r="E11" s="114">
        <f t="shared" si="1"/>
        <v>501.79600000000005</v>
      </c>
      <c r="F11" s="85">
        <v>502</v>
      </c>
      <c r="G11" s="14">
        <f t="shared" si="2"/>
        <v>0.2039999999999509</v>
      </c>
      <c r="H11" s="74"/>
    </row>
    <row r="12" spans="1:7" s="10" customFormat="1" ht="14.25">
      <c r="A12" s="15" t="s">
        <v>874</v>
      </c>
      <c r="B12" s="63">
        <v>29.29</v>
      </c>
      <c r="C12" s="64"/>
      <c r="D12" s="103">
        <f t="shared" si="0"/>
        <v>0</v>
      </c>
      <c r="E12" s="115">
        <f t="shared" si="1"/>
        <v>1938.998</v>
      </c>
      <c r="F12" s="10">
        <v>1939</v>
      </c>
      <c r="G12" s="14">
        <f t="shared" si="2"/>
        <v>0.0019999999999527063</v>
      </c>
    </row>
    <row r="13" spans="1:7" s="10" customFormat="1" ht="14.25">
      <c r="A13" s="15" t="s">
        <v>35</v>
      </c>
      <c r="B13" s="63">
        <v>10.81</v>
      </c>
      <c r="C13" s="64"/>
      <c r="D13" s="103">
        <f t="shared" si="0"/>
        <v>0</v>
      </c>
      <c r="E13" s="115">
        <f t="shared" si="1"/>
        <v>715.6220000000001</v>
      </c>
      <c r="F13" s="79">
        <v>716</v>
      </c>
      <c r="G13" s="14">
        <f t="shared" si="2"/>
        <v>0.37799999999992906</v>
      </c>
    </row>
    <row r="14" spans="1:7" s="25" customFormat="1" ht="14.25">
      <c r="A14" s="24"/>
      <c r="B14" s="24"/>
      <c r="C14" s="24">
        <f>SUM(C4:C8)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ht="14.25">
      <c r="A18" s="72"/>
    </row>
    <row r="24" spans="4:5" ht="14.25">
      <c r="D24" s="43"/>
      <c r="E24" s="132"/>
    </row>
    <row r="103" spans="4:5" ht="14.25">
      <c r="D103" s="43">
        <f>'480'!G7+'489'!G4</f>
        <v>0.35979999999995016</v>
      </c>
      <c r="E103" t="s">
        <v>770</v>
      </c>
    </row>
    <row r="131" spans="4:5" ht="14.25">
      <c r="D131" s="43">
        <f>B131+C131+'309'!G4+'316'!G4+'319'!G4+'339'!G9+'340'!G4+'372'!G7+'381'!G4+'391'!G7+'404'!G6+'411'!G4+'412'!G8+'416'!G4+'429'!G4+'485'!G4+'522'!G5</f>
        <v>4.579371965812413</v>
      </c>
      <c r="E131" s="132" t="s">
        <v>846</v>
      </c>
    </row>
    <row r="136" spans="4:5" ht="14.25">
      <c r="D136" s="43">
        <f>B136+C136+'325'!G9+'328'!G5+'344'!G9+'378'!G7+'384'!G6+'387'!G4+'391'!G9+'399'!G4+'441'!G4+'522'!G4</f>
        <v>-1.887614562767908</v>
      </c>
      <c r="E136" s="132" t="s">
        <v>845</v>
      </c>
    </row>
    <row r="173" spans="1:5" ht="14.25">
      <c r="A173" t="s">
        <v>844</v>
      </c>
      <c r="B173">
        <v>0</v>
      </c>
      <c r="D173" s="43">
        <f>'522'!G7</f>
        <v>0.15050000000002228</v>
      </c>
      <c r="E173">
        <v>522</v>
      </c>
    </row>
    <row r="267" spans="4:5" ht="14.25">
      <c r="D267" s="43">
        <f>'435'!G4+'521'!G6</f>
        <v>0.19920000000001892</v>
      </c>
      <c r="E267" t="s">
        <v>839</v>
      </c>
    </row>
    <row r="325" spans="4:5" ht="14.25">
      <c r="D325" s="43">
        <f>B325+C325+'339'!G6+'359'!G7+'362'!G8+'422'!G4+'425'!G7+'470'!G6+'479'!G7+'514'!G6+'522'!G6</f>
        <v>-0.18308000000028812</v>
      </c>
      <c r="E325" t="s">
        <v>847</v>
      </c>
    </row>
    <row r="355" spans="2:5" ht="14.25">
      <c r="B355">
        <v>0</v>
      </c>
      <c r="D355" s="43">
        <f>'485'!G8+'488'!G6+'489'!G6+'491'!G4+'494'!G6+'495'!G4+'498'!G8+'502'!G5+'504'!G4+'508'!G5+'511'!G4+'514'!G7+'521'!G4+'522'!G8</f>
        <v>0.3647999999984677</v>
      </c>
      <c r="E355" t="s">
        <v>848</v>
      </c>
    </row>
    <row r="357" spans="4:5" ht="14.25">
      <c r="D357" s="43">
        <f>'485'!G8+'488'!G6+'489'!G6+'491'!G4+'494'!G6+'495'!G4+'498'!G8+'502'!G5+'504'!G4+'508'!G5+'511'!G4+'514'!G7+'521'!G4</f>
        <v>-0.41860000000156106</v>
      </c>
      <c r="E357" t="s">
        <v>840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D317" sqref="D31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64.25</v>
      </c>
      <c r="E1" s="5" t="s">
        <v>2</v>
      </c>
    </row>
    <row r="2" s="5" customFormat="1" ht="14.25">
      <c r="A2" s="6" t="s">
        <v>354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358</v>
      </c>
      <c r="B4" s="64">
        <v>5.5</v>
      </c>
      <c r="C4" s="64">
        <v>0.11</v>
      </c>
      <c r="D4" s="11">
        <f aca="true" t="shared" si="0" ref="D4:D11">C4/$C$12*$D$12</f>
        <v>0.22222222222222227</v>
      </c>
      <c r="E4" s="11">
        <f aca="true" t="shared" si="1" ref="E4:E10">(B4+D4)*$D$1</f>
        <v>367.65277777777777</v>
      </c>
      <c r="F4" s="78">
        <f>350+18</f>
        <v>368</v>
      </c>
      <c r="G4" s="14">
        <f aca="true" t="shared" si="2" ref="G4:G10">-E4+F4</f>
        <v>0.34722222222222854</v>
      </c>
      <c r="H4" s="74"/>
    </row>
    <row r="5" spans="1:7" s="10" customFormat="1" ht="14.25">
      <c r="A5" s="15" t="s">
        <v>43</v>
      </c>
      <c r="B5" s="63">
        <v>40.7</v>
      </c>
      <c r="C5" s="64">
        <v>0.94</v>
      </c>
      <c r="D5" s="11">
        <f t="shared" si="0"/>
        <v>1.8989898989898992</v>
      </c>
      <c r="E5" s="76">
        <f t="shared" si="1"/>
        <v>2736.985101010101</v>
      </c>
      <c r="F5" s="79">
        <v>2590</v>
      </c>
      <c r="G5" s="77">
        <f t="shared" si="2"/>
        <v>-146.98510101010106</v>
      </c>
    </row>
    <row r="6" spans="1:7" s="10" customFormat="1" ht="14.25">
      <c r="A6" s="15" t="s">
        <v>182</v>
      </c>
      <c r="B6" s="12">
        <v>7.63</v>
      </c>
      <c r="C6" s="12">
        <v>0.16</v>
      </c>
      <c r="D6" s="11">
        <f t="shared" si="0"/>
        <v>0.3232323232323233</v>
      </c>
      <c r="E6" s="11">
        <f t="shared" si="1"/>
        <v>510.99517676767675</v>
      </c>
      <c r="F6" s="69"/>
      <c r="G6" s="14">
        <f t="shared" si="2"/>
        <v>-510.99517676767675</v>
      </c>
    </row>
    <row r="7" spans="1:8" s="10" customFormat="1" ht="14.25">
      <c r="A7" s="11" t="s">
        <v>215</v>
      </c>
      <c r="B7" s="63">
        <v>4.49</v>
      </c>
      <c r="C7" s="64">
        <v>0.84</v>
      </c>
      <c r="D7" s="11">
        <f t="shared" si="0"/>
        <v>1.696969696969697</v>
      </c>
      <c r="E7" s="11">
        <f t="shared" si="1"/>
        <v>397.5128030303031</v>
      </c>
      <c r="F7" s="78">
        <v>381</v>
      </c>
      <c r="G7" s="14">
        <f t="shared" si="2"/>
        <v>-16.512803030303076</v>
      </c>
      <c r="H7" s="74"/>
    </row>
    <row r="8" spans="1:7" s="10" customFormat="1" ht="14.25">
      <c r="A8" s="15" t="s">
        <v>223</v>
      </c>
      <c r="B8" s="63">
        <v>48.92</v>
      </c>
      <c r="C8" s="64">
        <v>0.76</v>
      </c>
      <c r="D8" s="11">
        <f t="shared" si="0"/>
        <v>1.5353535353535355</v>
      </c>
      <c r="E8" s="76">
        <f t="shared" si="1"/>
        <v>3241.756464646465</v>
      </c>
      <c r="F8" s="79">
        <v>3090</v>
      </c>
      <c r="G8" s="77">
        <f t="shared" si="2"/>
        <v>-151.7564646464648</v>
      </c>
    </row>
    <row r="9" spans="1:7" s="10" customFormat="1" ht="14.25">
      <c r="A9" s="15" t="s">
        <v>359</v>
      </c>
      <c r="B9" s="12">
        <v>7.63</v>
      </c>
      <c r="C9" s="12">
        <v>0.16</v>
      </c>
      <c r="D9" s="11">
        <f t="shared" si="0"/>
        <v>0.3232323232323233</v>
      </c>
      <c r="E9" s="11">
        <f t="shared" si="1"/>
        <v>510.99517676767675</v>
      </c>
      <c r="F9" s="69">
        <f>487+24</f>
        <v>511</v>
      </c>
      <c r="G9" s="14">
        <f t="shared" si="2"/>
        <v>0.004823232323246884</v>
      </c>
    </row>
    <row r="10" spans="1:7" s="10" customFormat="1" ht="14.25">
      <c r="A10" s="15" t="s">
        <v>360</v>
      </c>
      <c r="B10" s="63">
        <v>19.55</v>
      </c>
      <c r="C10" s="64">
        <v>0.97</v>
      </c>
      <c r="D10" s="11">
        <f t="shared" si="0"/>
        <v>1.9595959595959598</v>
      </c>
      <c r="E10" s="76">
        <f t="shared" si="1"/>
        <v>1381.9915404040403</v>
      </c>
      <c r="F10" s="79">
        <f>1340+42</f>
        <v>1382</v>
      </c>
      <c r="G10" s="77">
        <f t="shared" si="2"/>
        <v>0.0084595959597209</v>
      </c>
    </row>
    <row r="11" spans="1:7" s="10" customFormat="1" ht="14.25">
      <c r="A11" s="15" t="s">
        <v>10</v>
      </c>
      <c r="B11" s="24"/>
      <c r="C11" s="12">
        <v>1.01</v>
      </c>
      <c r="D11" s="11">
        <f t="shared" si="0"/>
        <v>2.0404040404040407</v>
      </c>
      <c r="E11" s="24"/>
      <c r="F11" s="24"/>
      <c r="G11" s="24"/>
    </row>
    <row r="12" spans="1:7" s="25" customFormat="1" ht="14.25">
      <c r="A12" s="24"/>
      <c r="B12" s="24"/>
      <c r="C12" s="24">
        <f>SUM(C4:C11)</f>
        <v>4.949999999999999</v>
      </c>
      <c r="D12" s="24">
        <v>10</v>
      </c>
      <c r="E12" s="24"/>
      <c r="F12" s="24"/>
      <c r="G12" s="24"/>
    </row>
    <row r="15" spans="1:5" ht="30.75">
      <c r="A15" s="26"/>
      <c r="D15" s="43">
        <f>B15+C15+'469'!G8+'477'!G4+'502'!G4+'512'!G7</f>
        <v>-0.049500000000080036</v>
      </c>
      <c r="E15" t="s">
        <v>816</v>
      </c>
    </row>
    <row r="16" ht="30.75">
      <c r="A16" s="26"/>
    </row>
    <row r="17" ht="36.75" customHeight="1"/>
    <row r="77" spans="4:5" ht="14.25">
      <c r="D77" s="43">
        <f>'476'!G6+'503'!G4+'512'!G6</f>
        <v>0.6597000000000435</v>
      </c>
      <c r="E77" t="s">
        <v>817</v>
      </c>
    </row>
    <row r="82" spans="4:5" ht="14.25">
      <c r="D82" s="43">
        <f>'407'!G13+'510'!G8</f>
        <v>61.52999999999997</v>
      </c>
      <c r="E82" t="s">
        <v>811</v>
      </c>
    </row>
    <row r="120" spans="1:5" ht="14.25">
      <c r="A120" t="s">
        <v>809</v>
      </c>
      <c r="B120">
        <v>0</v>
      </c>
      <c r="D120" s="43">
        <f>'511'!G7</f>
        <v>-0.25940000000002783</v>
      </c>
      <c r="E120">
        <v>511</v>
      </c>
    </row>
    <row r="248" spans="4:5" ht="14.25">
      <c r="D248" s="43">
        <f>'341'!G7+'364'!G9+'386'!G7+'393'!G4+'396'!G4+'409'!G8+'416'!G6+'418'!G6+'421'!G6+'424'!G6+'431'!G6+'435'!G11+'444'!G4+'452'!G5+'478'!G5+'479'!G8+'481'!G7+'486'!G5+'496'!G4+'503'!G7+'508'!G4+'512'!G5</f>
        <v>0.2866476987455826</v>
      </c>
      <c r="E248" t="s">
        <v>818</v>
      </c>
    </row>
    <row r="262" spans="4:5" ht="14.25">
      <c r="D262" s="43">
        <f>B262+C262+'344'!G7+'442'!G5+'475'!G12+'511'!G5</f>
        <v>0.15429999999969368</v>
      </c>
      <c r="E262" t="s">
        <v>815</v>
      </c>
    </row>
    <row r="316" spans="4:5" ht="14.25">
      <c r="D316" s="43">
        <f>B316+C316+'340'!G9+'358'!G7+'414'!G7+'433'!G9+'435'!G8+'435'!G9+'450'!G4+'453'!G5+'460'!G4+'462'!G6+'464'!G7+'471'!G5+'475'!G5+'477'!G5+'477'!G6+'480'!G8+'486'!G4+'489'!G5+'491'!G6+'499'!G5+'504'!G7+'512'!G4</f>
        <v>0.03474999999986039</v>
      </c>
      <c r="E316" t="s">
        <v>819</v>
      </c>
    </row>
    <row r="331" spans="4:5" ht="14.25">
      <c r="D331" s="43">
        <f>'464'!G4+'470'!G4+'510'!G6</f>
        <v>0.42429999999990287</v>
      </c>
      <c r="E331" t="s">
        <v>812</v>
      </c>
    </row>
    <row r="336" spans="4:5" ht="14.25">
      <c r="D336" s="43">
        <f>'381'!G5+'411'!G5+'419'!G6+'468'!G4+'506'!G7+'511'!G6</f>
        <v>-0.17300000000000182</v>
      </c>
      <c r="E336" t="s">
        <v>814</v>
      </c>
    </row>
    <row r="350" spans="4:5" ht="14.25">
      <c r="D350" s="43">
        <f>'485'!G8+'488'!G6+'489'!G6+'491'!G4+'494'!G6+'495'!G4+'498'!G8+'502'!G5+'504'!G4+'508'!G5+'511'!G4</f>
        <v>0.31489999999871543</v>
      </c>
      <c r="E350" t="s">
        <v>813</v>
      </c>
    </row>
  </sheetData>
  <sheetProtection/>
  <printOptions/>
  <pageMargins left="0.7" right="0.7" top="0.75" bottom="0.75" header="0.3" footer="0.3"/>
  <pageSetup orientation="portrait" paperSize="9"/>
</worksheet>
</file>

<file path=xl/worksheets/sheet2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42477</v>
      </c>
      <c r="C1" s="3" t="s">
        <v>1</v>
      </c>
      <c r="D1" s="4">
        <v>66.68</v>
      </c>
      <c r="E1" s="5" t="s">
        <v>2</v>
      </c>
    </row>
    <row r="2" s="5" customFormat="1" ht="14.25">
      <c r="A2" s="6" t="s">
        <v>877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4.26</v>
      </c>
      <c r="C4" s="64"/>
      <c r="D4" s="103">
        <f aca="true" t="shared" si="0" ref="D4:D12">C4*1</f>
        <v>0</v>
      </c>
      <c r="E4" s="114">
        <f aca="true" t="shared" si="1" ref="E4:E12">(B4+D4)*$D$1</f>
        <v>284.0568</v>
      </c>
      <c r="F4" s="79"/>
      <c r="G4" s="14">
        <f aca="true" t="shared" si="2" ref="G4:G12">-E4+F4</f>
        <v>-284.0568</v>
      </c>
      <c r="H4" s="74"/>
    </row>
    <row r="5" spans="1:7" s="10" customFormat="1" ht="14.25">
      <c r="A5" s="15" t="s">
        <v>758</v>
      </c>
      <c r="B5" s="63">
        <v>16.880000000000003</v>
      </c>
      <c r="C5" s="64"/>
      <c r="D5" s="103">
        <f t="shared" si="0"/>
        <v>0</v>
      </c>
      <c r="E5" s="115">
        <f t="shared" si="1"/>
        <v>1125.5584000000003</v>
      </c>
      <c r="F5" s="79">
        <v>1125</v>
      </c>
      <c r="G5" s="77">
        <f t="shared" si="2"/>
        <v>-0.5584000000003471</v>
      </c>
    </row>
    <row r="6" spans="1:8" s="10" customFormat="1" ht="14.25">
      <c r="A6" s="11" t="s">
        <v>878</v>
      </c>
      <c r="B6" s="63">
        <v>20.35</v>
      </c>
      <c r="C6" s="64"/>
      <c r="D6" s="103">
        <f t="shared" si="0"/>
        <v>0</v>
      </c>
      <c r="E6" s="114">
        <f t="shared" si="1"/>
        <v>1356.9380000000003</v>
      </c>
      <c r="F6" s="79">
        <v>1357</v>
      </c>
      <c r="G6" s="14">
        <f t="shared" si="2"/>
        <v>0.06199999999967076</v>
      </c>
      <c r="H6" s="74"/>
    </row>
    <row r="7" spans="1:7" s="10" customFormat="1" ht="14.25">
      <c r="A7" s="15" t="s">
        <v>284</v>
      </c>
      <c r="B7" s="63">
        <v>21.79</v>
      </c>
      <c r="C7" s="64"/>
      <c r="D7" s="103">
        <f t="shared" si="0"/>
        <v>0</v>
      </c>
      <c r="E7" s="115">
        <f t="shared" si="1"/>
        <v>1452.9572</v>
      </c>
      <c r="F7" s="79">
        <v>2388</v>
      </c>
      <c r="G7" s="14">
        <f t="shared" si="2"/>
        <v>935.0427999999999</v>
      </c>
    </row>
    <row r="8" spans="1:7" s="10" customFormat="1" ht="14.25">
      <c r="A8" s="15" t="s">
        <v>850</v>
      </c>
      <c r="B8" s="63">
        <v>5.63</v>
      </c>
      <c r="C8" s="64"/>
      <c r="D8" s="103">
        <f t="shared" si="0"/>
        <v>0</v>
      </c>
      <c r="E8" s="115">
        <f t="shared" si="1"/>
        <v>375.40840000000003</v>
      </c>
      <c r="F8" s="85">
        <v>376</v>
      </c>
      <c r="G8" s="14">
        <f t="shared" si="2"/>
        <v>0.5915999999999713</v>
      </c>
    </row>
    <row r="9" spans="1:8" s="10" customFormat="1" ht="14.25">
      <c r="A9" s="11" t="s">
        <v>116</v>
      </c>
      <c r="B9" s="63">
        <v>4.83</v>
      </c>
      <c r="C9" s="64"/>
      <c r="D9" s="103">
        <f t="shared" si="0"/>
        <v>0</v>
      </c>
      <c r="E9" s="114">
        <f t="shared" si="1"/>
        <v>322.06440000000003</v>
      </c>
      <c r="F9" s="79">
        <v>324</v>
      </c>
      <c r="G9" s="14">
        <f t="shared" si="2"/>
        <v>1.9355999999999653</v>
      </c>
      <c r="H9" s="74"/>
    </row>
    <row r="10" spans="1:7" s="10" customFormat="1" ht="14.25">
      <c r="A10" s="15" t="s">
        <v>535</v>
      </c>
      <c r="B10" s="63">
        <v>4.26</v>
      </c>
      <c r="C10" s="64"/>
      <c r="D10" s="103">
        <f t="shared" si="0"/>
        <v>0</v>
      </c>
      <c r="E10" s="115">
        <f t="shared" si="1"/>
        <v>284.0568</v>
      </c>
      <c r="F10" s="79">
        <v>285</v>
      </c>
      <c r="G10" s="77">
        <f t="shared" si="2"/>
        <v>0.9431999999999903</v>
      </c>
    </row>
    <row r="11" spans="1:8" s="10" customFormat="1" ht="14.25">
      <c r="A11" s="11" t="s">
        <v>120</v>
      </c>
      <c r="B11" s="63">
        <v>27.88</v>
      </c>
      <c r="C11" s="64"/>
      <c r="D11" s="103">
        <f t="shared" si="0"/>
        <v>0</v>
      </c>
      <c r="E11" s="114">
        <f t="shared" si="1"/>
        <v>1859.0384000000001</v>
      </c>
      <c r="F11" s="107">
        <v>1859</v>
      </c>
      <c r="G11" s="14">
        <f t="shared" si="2"/>
        <v>-0.03840000000013788</v>
      </c>
      <c r="H11" s="74"/>
    </row>
    <row r="12" spans="1:7" s="10" customFormat="1" ht="14.25">
      <c r="A12" s="15" t="s">
        <v>660</v>
      </c>
      <c r="B12" s="63">
        <v>19.94</v>
      </c>
      <c r="C12" s="64"/>
      <c r="D12" s="103">
        <f t="shared" si="0"/>
        <v>0</v>
      </c>
      <c r="E12" s="115">
        <f t="shared" si="1"/>
        <v>1329.5992</v>
      </c>
      <c r="F12" s="79">
        <v>1305</v>
      </c>
      <c r="G12" s="14">
        <f t="shared" si="2"/>
        <v>-24.59920000000011</v>
      </c>
    </row>
    <row r="13" spans="1:7" s="25" customFormat="1" ht="14.25">
      <c r="A13" s="24"/>
      <c r="B13" s="24"/>
      <c r="C13" s="24">
        <f>SUM(C4:C8)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ht="14.25">
      <c r="A17" s="72"/>
    </row>
    <row r="23" spans="4:5" ht="14.25">
      <c r="D23" s="43"/>
      <c r="E23" s="132"/>
    </row>
    <row r="102" spans="4:5" ht="14.25">
      <c r="D102" s="43">
        <f>'480'!G7+'489'!G4</f>
        <v>0.35979999999995016</v>
      </c>
      <c r="E102" t="s">
        <v>770</v>
      </c>
    </row>
    <row r="130" spans="4:5" ht="14.25">
      <c r="D130" s="43">
        <f>B130+C130+'309'!G4+'316'!G4+'319'!G4+'339'!G9+'340'!G4+'372'!G7+'381'!G4+'391'!G7+'404'!G6+'411'!G4+'412'!G8+'416'!G4+'429'!G4+'485'!G4+'522'!G5</f>
        <v>4.579371965812413</v>
      </c>
      <c r="E130" s="132" t="s">
        <v>846</v>
      </c>
    </row>
    <row r="135" spans="4:5" ht="14.25">
      <c r="D135" s="43">
        <f>B135+C135+'325'!G9+'328'!G5+'344'!G9+'378'!G7+'384'!G6+'387'!G4+'391'!G9+'399'!G4+'441'!G4+'522'!G4</f>
        <v>-1.887614562767908</v>
      </c>
      <c r="E135" s="132" t="s">
        <v>845</v>
      </c>
    </row>
    <row r="172" spans="1:5" ht="14.25">
      <c r="A172" t="s">
        <v>844</v>
      </c>
      <c r="B172">
        <v>0</v>
      </c>
      <c r="D172" s="43">
        <f>'522'!G7</f>
        <v>0.15050000000002228</v>
      </c>
      <c r="E172">
        <v>522</v>
      </c>
    </row>
    <row r="266" spans="4:5" ht="14.25">
      <c r="D266" s="43">
        <f>'435'!G4+'521'!G6</f>
        <v>0.19920000000001892</v>
      </c>
      <c r="E266" t="s">
        <v>839</v>
      </c>
    </row>
    <row r="324" spans="4:5" ht="14.25">
      <c r="D324" s="43">
        <f>B324+C324+'339'!G6+'359'!G7+'362'!G8+'422'!G4+'425'!G7+'470'!G6+'479'!G7+'514'!G6+'522'!G6</f>
        <v>-0.18308000000028812</v>
      </c>
      <c r="E324" t="s">
        <v>847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848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840</v>
      </c>
    </row>
  </sheetData>
  <sheetProtection/>
  <printOptions/>
  <pageMargins left="0.7" right="0.7" top="0.75" bottom="0.75" header="0.3" footer="0.3"/>
  <pageSetup orientation="portrait" paperSize="9"/>
</worksheet>
</file>

<file path=xl/worksheets/sheet2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49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42477</v>
      </c>
      <c r="C1" s="3" t="s">
        <v>1</v>
      </c>
      <c r="D1" s="4">
        <v>67.11</v>
      </c>
      <c r="E1" s="5" t="s">
        <v>2</v>
      </c>
    </row>
    <row r="2" s="5" customFormat="1" ht="14.25">
      <c r="A2" s="6" t="s">
        <v>879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880</v>
      </c>
      <c r="B4" s="63">
        <v>148.04</v>
      </c>
      <c r="C4" s="64"/>
      <c r="D4" s="103">
        <f>C4*1</f>
        <v>0</v>
      </c>
      <c r="E4" s="114">
        <f>(B4+D4)*$D$1</f>
        <v>9934.964399999999</v>
      </c>
      <c r="F4" s="79">
        <v>9935</v>
      </c>
      <c r="G4" s="14">
        <f>-E4+F4</f>
        <v>0.03560000000106811</v>
      </c>
      <c r="H4" s="74"/>
    </row>
    <row r="5" spans="1:7" s="10" customFormat="1" ht="14.25">
      <c r="A5" s="15" t="s">
        <v>284</v>
      </c>
      <c r="B5" s="63">
        <v>13.92</v>
      </c>
      <c r="C5" s="64"/>
      <c r="D5" s="103">
        <f>C5*1</f>
        <v>0</v>
      </c>
      <c r="E5" s="115">
        <f>(B5+D5)*$D$1</f>
        <v>934.1712</v>
      </c>
      <c r="F5" s="79"/>
      <c r="G5" s="77">
        <f>-E5+F5</f>
        <v>-934.1712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14.25">
      <c r="A10" s="72"/>
    </row>
    <row r="16" spans="4:5" ht="14.25">
      <c r="D16" s="43"/>
      <c r="E16" s="132"/>
    </row>
    <row r="95" spans="4:5" ht="14.25">
      <c r="D95" s="43">
        <f>'480'!G7+'489'!G4</f>
        <v>0.35979999999995016</v>
      </c>
      <c r="E95" t="s">
        <v>770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846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845</v>
      </c>
    </row>
    <row r="165" spans="1:5" ht="14.25">
      <c r="A165" t="s">
        <v>844</v>
      </c>
      <c r="B165">
        <v>0</v>
      </c>
      <c r="D165" s="43">
        <f>'522'!G7</f>
        <v>0.15050000000002228</v>
      </c>
      <c r="E165">
        <v>522</v>
      </c>
    </row>
    <row r="259" spans="4:5" ht="14.25">
      <c r="D259" s="43">
        <f>'435'!G4+'521'!G6</f>
        <v>0.19920000000001892</v>
      </c>
      <c r="E259" t="s">
        <v>839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847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848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840</v>
      </c>
    </row>
  </sheetData>
  <sheetProtection/>
  <printOptions/>
  <pageMargins left="0.7" right="0.7" top="0.75" bottom="0.75" header="0.3" footer="0.3"/>
  <pageSetup orientation="portrait" paperSize="9"/>
</worksheet>
</file>

<file path=xl/worksheets/sheet2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H8" sqref="H7:H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42482</v>
      </c>
      <c r="C1" s="3" t="s">
        <v>1</v>
      </c>
      <c r="D1" s="4">
        <v>67.25</v>
      </c>
      <c r="E1" s="5" t="s">
        <v>2</v>
      </c>
    </row>
    <row r="2" s="5" customFormat="1" ht="14.25">
      <c r="A2" s="6" t="s">
        <v>882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883</v>
      </c>
      <c r="B4" s="63">
        <v>6.58</v>
      </c>
      <c r="C4" s="64"/>
      <c r="D4" s="103">
        <f>C4*1</f>
        <v>0</v>
      </c>
      <c r="E4" s="114">
        <f>(B4+D4)*$D$1</f>
        <v>442.505</v>
      </c>
      <c r="F4" s="79">
        <v>443</v>
      </c>
      <c r="G4" s="14">
        <f>-E4+F4</f>
        <v>0.49500000000000455</v>
      </c>
      <c r="H4" s="74"/>
    </row>
    <row r="5" spans="1:8" s="10" customFormat="1" ht="28.5">
      <c r="A5" s="15" t="s">
        <v>200</v>
      </c>
      <c r="B5" s="63">
        <v>12.16</v>
      </c>
      <c r="C5" s="64"/>
      <c r="D5" s="103">
        <f>C5*1</f>
        <v>0</v>
      </c>
      <c r="E5" s="115">
        <f>(B5+D5)*$D$1</f>
        <v>817.76</v>
      </c>
      <c r="F5" s="79">
        <f>817+22</f>
        <v>839</v>
      </c>
      <c r="G5" s="77">
        <f>-E5+F5</f>
        <v>21.24000000000001</v>
      </c>
      <c r="H5" s="10" t="s">
        <v>901</v>
      </c>
    </row>
    <row r="6" spans="1:8" s="10" customFormat="1" ht="14.25">
      <c r="A6" s="11" t="s">
        <v>640</v>
      </c>
      <c r="B6" s="63">
        <v>43.29</v>
      </c>
      <c r="C6" s="64"/>
      <c r="D6" s="103">
        <f>C6*1</f>
        <v>0</v>
      </c>
      <c r="E6" s="114">
        <f>(B6+D6)*$D$1</f>
        <v>2911.2525</v>
      </c>
      <c r="F6" s="79">
        <v>2911</v>
      </c>
      <c r="G6" s="14">
        <f>-E6+F6</f>
        <v>-0.25250000000005457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770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846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845</v>
      </c>
    </row>
    <row r="166" spans="1:5" ht="14.25">
      <c r="A166" t="s">
        <v>844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839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847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848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840</v>
      </c>
    </row>
  </sheetData>
  <sheetProtection/>
  <printOptions/>
  <pageMargins left="0.7" right="0.7" top="0.75" bottom="0.75" header="0.3" footer="0.3"/>
  <pageSetup orientation="portrait" paperSize="9"/>
</worksheet>
</file>

<file path=xl/worksheets/sheet2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42485</v>
      </c>
      <c r="C1" s="3" t="s">
        <v>1</v>
      </c>
      <c r="D1" s="4">
        <v>67.52</v>
      </c>
      <c r="E1" s="5" t="s">
        <v>2</v>
      </c>
    </row>
    <row r="2" s="5" customFormat="1" ht="14.25">
      <c r="A2" s="6" t="s">
        <v>884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63">
        <v>34.39</v>
      </c>
      <c r="C4" s="64"/>
      <c r="D4" s="103">
        <f aca="true" t="shared" si="0" ref="D4:D9">C4*1</f>
        <v>0</v>
      </c>
      <c r="E4" s="114">
        <f aca="true" t="shared" si="1" ref="E4:E9">(B4+D4)*$D$1</f>
        <v>2322.0128</v>
      </c>
      <c r="F4" s="79">
        <v>2322</v>
      </c>
      <c r="G4" s="14">
        <f aca="true" t="shared" si="2" ref="G4:G9">-E4+F4</f>
        <v>-0.012799999999970169</v>
      </c>
      <c r="H4" s="74"/>
    </row>
    <row r="5" spans="1:7" s="10" customFormat="1" ht="14.25">
      <c r="A5" s="15" t="s">
        <v>301</v>
      </c>
      <c r="B5" s="63">
        <v>15.63</v>
      </c>
      <c r="C5" s="64"/>
      <c r="D5" s="103">
        <f t="shared" si="0"/>
        <v>0</v>
      </c>
      <c r="E5" s="115">
        <f t="shared" si="1"/>
        <v>1055.3376</v>
      </c>
      <c r="F5" s="79">
        <v>1055</v>
      </c>
      <c r="G5" s="77">
        <f t="shared" si="2"/>
        <v>-0.33760000000006585</v>
      </c>
    </row>
    <row r="6" spans="1:8" s="10" customFormat="1" ht="14.25">
      <c r="A6" s="11" t="s">
        <v>660</v>
      </c>
      <c r="B6" s="63">
        <v>17.92</v>
      </c>
      <c r="C6" s="64"/>
      <c r="D6" s="103">
        <f t="shared" si="0"/>
        <v>0</v>
      </c>
      <c r="E6" s="114">
        <f t="shared" si="1"/>
        <v>1209.9584</v>
      </c>
      <c r="F6" s="79">
        <v>1210</v>
      </c>
      <c r="G6" s="14">
        <f t="shared" si="2"/>
        <v>0.041600000000016735</v>
      </c>
      <c r="H6" s="74"/>
    </row>
    <row r="7" spans="1:7" s="10" customFormat="1" ht="14.25">
      <c r="A7" s="15" t="s">
        <v>758</v>
      </c>
      <c r="B7" s="63">
        <v>7.83</v>
      </c>
      <c r="C7" s="64"/>
      <c r="D7" s="103">
        <f t="shared" si="0"/>
        <v>0</v>
      </c>
      <c r="E7" s="115">
        <f t="shared" si="1"/>
        <v>528.6816</v>
      </c>
      <c r="F7" s="85">
        <v>529</v>
      </c>
      <c r="G7" s="14">
        <f t="shared" si="2"/>
        <v>0.3183999999999969</v>
      </c>
    </row>
    <row r="8" spans="1:7" s="10" customFormat="1" ht="14.25">
      <c r="A8" s="15" t="s">
        <v>757</v>
      </c>
      <c r="B8" s="63">
        <v>13.39</v>
      </c>
      <c r="C8" s="64"/>
      <c r="D8" s="103">
        <f t="shared" si="0"/>
        <v>0</v>
      </c>
      <c r="E8" s="115">
        <f t="shared" si="1"/>
        <v>904.0928</v>
      </c>
      <c r="F8" s="79">
        <v>904</v>
      </c>
      <c r="G8" s="14">
        <f t="shared" si="2"/>
        <v>-0.0928000000000111</v>
      </c>
    </row>
    <row r="9" spans="1:8" s="10" customFormat="1" ht="14.25">
      <c r="A9" s="11" t="s">
        <v>885</v>
      </c>
      <c r="B9" s="63">
        <v>38.44</v>
      </c>
      <c r="C9" s="64"/>
      <c r="D9" s="103">
        <f t="shared" si="0"/>
        <v>0</v>
      </c>
      <c r="E9" s="114">
        <f t="shared" si="1"/>
        <v>2595.4687999999996</v>
      </c>
      <c r="F9" s="79">
        <f>2580+15</f>
        <v>2595</v>
      </c>
      <c r="G9" s="14">
        <f t="shared" si="2"/>
        <v>-0.4687999999996464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14.25">
      <c r="A14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770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846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845</v>
      </c>
    </row>
    <row r="169" spans="1:5" ht="14.25">
      <c r="A169" t="s">
        <v>844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839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847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848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840</v>
      </c>
    </row>
  </sheetData>
  <sheetProtection/>
  <printOptions/>
  <pageMargins left="0.7" right="0.7" top="0.75" bottom="0.75" header="0.3" footer="0.3"/>
  <pageSetup orientation="portrait" paperSize="9"/>
</worksheet>
</file>

<file path=xl/worksheets/sheet2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42485</v>
      </c>
      <c r="C1" s="3" t="s">
        <v>1</v>
      </c>
      <c r="D1" s="4">
        <v>67.52</v>
      </c>
      <c r="E1" s="5" t="s">
        <v>2</v>
      </c>
    </row>
    <row r="2" s="5" customFormat="1" ht="14.25">
      <c r="A2" s="6" t="s">
        <v>884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89</v>
      </c>
      <c r="B4" s="63">
        <v>25.34</v>
      </c>
      <c r="C4" s="64"/>
      <c r="D4" s="103">
        <f>C4*1</f>
        <v>0</v>
      </c>
      <c r="E4" s="114">
        <f>(B4+D4)*$D$1</f>
        <v>1710.9568</v>
      </c>
      <c r="F4" s="79">
        <v>1712</v>
      </c>
      <c r="G4" s="14">
        <f>-E4+F4</f>
        <v>1.0432000000000698</v>
      </c>
      <c r="H4" s="74"/>
    </row>
    <row r="5" spans="1:7" s="10" customFormat="1" ht="14.25">
      <c r="A5" s="15" t="s">
        <v>182</v>
      </c>
      <c r="B5" s="63">
        <v>33.12</v>
      </c>
      <c r="C5" s="64"/>
      <c r="D5" s="103">
        <f>C5*1</f>
        <v>0</v>
      </c>
      <c r="E5" s="115">
        <f>(B5+D5)*$D$1</f>
        <v>2236.2623999999996</v>
      </c>
      <c r="F5" s="85">
        <v>2273</v>
      </c>
      <c r="G5" s="77">
        <f>-E5+F5</f>
        <v>36.737600000000384</v>
      </c>
    </row>
    <row r="6" spans="1:8" s="10" customFormat="1" ht="14.25">
      <c r="A6" s="11" t="s">
        <v>120</v>
      </c>
      <c r="B6" s="63">
        <v>16.56</v>
      </c>
      <c r="C6" s="64"/>
      <c r="D6" s="103">
        <f>C6*1</f>
        <v>0</v>
      </c>
      <c r="E6" s="114">
        <f>(B6+D6)*$D$1</f>
        <v>1118.1311999999998</v>
      </c>
      <c r="F6" s="79">
        <f>1118+8</f>
        <v>1126</v>
      </c>
      <c r="G6" s="14">
        <f>-E6+F6</f>
        <v>7.868800000000192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770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846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845</v>
      </c>
    </row>
    <row r="166" spans="1:5" ht="14.25">
      <c r="A166" t="s">
        <v>844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839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847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848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840</v>
      </c>
    </row>
  </sheetData>
  <sheetProtection/>
  <printOptions/>
  <pageMargins left="0.7" right="0.7" top="0.75" bottom="0.75" header="0.3" footer="0.3"/>
  <pageSetup orientation="portrait" paperSize="9"/>
</worksheet>
</file>

<file path=xl/worksheets/sheet2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42488</v>
      </c>
      <c r="C1" s="3" t="s">
        <v>1</v>
      </c>
      <c r="D1" s="4">
        <v>66.18</v>
      </c>
      <c r="E1" s="5" t="s">
        <v>2</v>
      </c>
    </row>
    <row r="2" s="5" customFormat="1" ht="14.25">
      <c r="A2" s="6" t="s">
        <v>888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515</v>
      </c>
      <c r="B4" s="63">
        <v>31.51</v>
      </c>
      <c r="C4" s="64"/>
      <c r="D4" s="103">
        <f aca="true" t="shared" si="0" ref="D4:D11">C4*1</f>
        <v>0</v>
      </c>
      <c r="E4" s="114">
        <f aca="true" t="shared" si="1" ref="E4:E11">(B4+D4)*$D$1</f>
        <v>2085.3318000000004</v>
      </c>
      <c r="F4" s="79">
        <v>2085</v>
      </c>
      <c r="G4" s="14">
        <f aca="true" t="shared" si="2" ref="G4:G11">-E4+F4</f>
        <v>-0.3318000000003849</v>
      </c>
      <c r="H4" s="74"/>
    </row>
    <row r="5" spans="1:7" s="10" customFormat="1" ht="14.25">
      <c r="A5" s="15" t="s">
        <v>408</v>
      </c>
      <c r="B5" s="63">
        <v>15.192</v>
      </c>
      <c r="C5" s="64"/>
      <c r="D5" s="103">
        <f t="shared" si="0"/>
        <v>0</v>
      </c>
      <c r="E5" s="115">
        <f t="shared" si="1"/>
        <v>1005.4065600000001</v>
      </c>
      <c r="F5" s="79">
        <v>1006</v>
      </c>
      <c r="G5" s="77">
        <f t="shared" si="2"/>
        <v>0.5934399999998732</v>
      </c>
    </row>
    <row r="6" spans="1:8" s="10" customFormat="1" ht="14.25">
      <c r="A6" s="11" t="s">
        <v>199</v>
      </c>
      <c r="B6" s="63">
        <v>3.192</v>
      </c>
      <c r="C6" s="64"/>
      <c r="D6" s="103">
        <f t="shared" si="0"/>
        <v>0</v>
      </c>
      <c r="E6" s="114">
        <f t="shared" si="1"/>
        <v>211.24656000000004</v>
      </c>
      <c r="F6" s="79"/>
      <c r="G6" s="14">
        <f t="shared" si="2"/>
        <v>-211.24656000000004</v>
      </c>
      <c r="H6" s="74"/>
    </row>
    <row r="7" spans="1:7" s="10" customFormat="1" ht="14.25">
      <c r="A7" s="15" t="s">
        <v>331</v>
      </c>
      <c r="B7" s="63">
        <v>5.39</v>
      </c>
      <c r="C7" s="64"/>
      <c r="D7" s="103">
        <f t="shared" si="0"/>
        <v>0</v>
      </c>
      <c r="E7" s="115">
        <f t="shared" si="1"/>
        <v>356.71020000000004</v>
      </c>
      <c r="F7" s="79">
        <v>356</v>
      </c>
      <c r="G7" s="14">
        <f t="shared" si="2"/>
        <v>-0.710200000000043</v>
      </c>
    </row>
    <row r="8" spans="1:7" s="10" customFormat="1" ht="14.25">
      <c r="A8" s="15" t="s">
        <v>480</v>
      </c>
      <c r="B8" s="63">
        <v>2.8</v>
      </c>
      <c r="C8" s="64"/>
      <c r="D8" s="103">
        <f t="shared" si="0"/>
        <v>0</v>
      </c>
      <c r="E8" s="115">
        <f t="shared" si="1"/>
        <v>185.304</v>
      </c>
      <c r="F8" s="79">
        <v>185</v>
      </c>
      <c r="G8" s="14">
        <f t="shared" si="2"/>
        <v>-0.30400000000000205</v>
      </c>
    </row>
    <row r="9" spans="1:8" s="10" customFormat="1" ht="14.25">
      <c r="A9" s="11" t="s">
        <v>93</v>
      </c>
      <c r="B9" s="63">
        <v>46.14</v>
      </c>
      <c r="C9" s="64"/>
      <c r="D9" s="103">
        <f t="shared" si="0"/>
        <v>0</v>
      </c>
      <c r="E9" s="114">
        <f t="shared" si="1"/>
        <v>3053.5452000000005</v>
      </c>
      <c r="F9" s="79">
        <v>3053</v>
      </c>
      <c r="G9" s="14">
        <f t="shared" si="2"/>
        <v>-0.5452000000004773</v>
      </c>
      <c r="H9" s="74"/>
    </row>
    <row r="10" spans="1:7" s="10" customFormat="1" ht="14.25">
      <c r="A10" s="15" t="s">
        <v>351</v>
      </c>
      <c r="B10" s="63">
        <v>24.26</v>
      </c>
      <c r="C10" s="64"/>
      <c r="D10" s="103">
        <f t="shared" si="0"/>
        <v>0</v>
      </c>
      <c r="E10" s="115">
        <f t="shared" si="1"/>
        <v>1605.5268000000003</v>
      </c>
      <c r="F10" s="79">
        <v>1606</v>
      </c>
      <c r="G10" s="77">
        <f t="shared" si="2"/>
        <v>0.47319999999967877</v>
      </c>
    </row>
    <row r="11" spans="1:8" s="10" customFormat="1" ht="14.25">
      <c r="A11" s="11" t="s">
        <v>315</v>
      </c>
      <c r="B11" s="63">
        <v>15.95</v>
      </c>
      <c r="C11" s="64"/>
      <c r="D11" s="103">
        <f t="shared" si="0"/>
        <v>0</v>
      </c>
      <c r="E11" s="114">
        <f t="shared" si="1"/>
        <v>1055.5710000000001</v>
      </c>
      <c r="F11" s="79">
        <v>1070</v>
      </c>
      <c r="G11" s="14">
        <f t="shared" si="2"/>
        <v>14.42899999999986</v>
      </c>
      <c r="H11" s="74"/>
    </row>
    <row r="12" spans="1:7" s="25" customFormat="1" ht="14.25">
      <c r="A12" s="24"/>
      <c r="B12" s="24"/>
      <c r="C12" s="24">
        <f>SUM(C4:C8)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770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846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845</v>
      </c>
    </row>
    <row r="171" spans="1:5" ht="14.25">
      <c r="A171" t="s">
        <v>844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839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847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848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840</v>
      </c>
    </row>
  </sheetData>
  <sheetProtection/>
  <printOptions/>
  <pageMargins left="0.7" right="0.7" top="0.75" bottom="0.75" header="0.3" footer="0.3"/>
  <pageSetup orientation="portrait" paperSize="9"/>
</worksheet>
</file>

<file path=xl/worksheets/sheet2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42489</v>
      </c>
      <c r="C1" s="3" t="s">
        <v>1</v>
      </c>
      <c r="D1" s="4">
        <v>65.81</v>
      </c>
      <c r="E1" s="5" t="s">
        <v>2</v>
      </c>
    </row>
    <row r="2" s="5" customFormat="1" ht="14.25">
      <c r="A2" s="6" t="s">
        <v>891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11.83</v>
      </c>
      <c r="C4" s="64"/>
      <c r="D4" s="103">
        <f aca="true" t="shared" si="0" ref="D4:D9">C4*1</f>
        <v>0</v>
      </c>
      <c r="E4" s="114">
        <f aca="true" t="shared" si="1" ref="E4:E9">(B4+D4)*$D$1</f>
        <v>778.5323000000001</v>
      </c>
      <c r="F4" s="79">
        <v>600</v>
      </c>
      <c r="G4" s="14">
        <f aca="true" t="shared" si="2" ref="G4:G9">-E4+F4</f>
        <v>-178.53230000000008</v>
      </c>
      <c r="H4" s="74"/>
    </row>
    <row r="5" spans="1:7" s="10" customFormat="1" ht="14.25">
      <c r="A5" s="15" t="s">
        <v>892</v>
      </c>
      <c r="B5" s="63">
        <v>32.65</v>
      </c>
      <c r="C5" s="64"/>
      <c r="D5" s="103">
        <f t="shared" si="0"/>
        <v>0</v>
      </c>
      <c r="E5" s="115">
        <f t="shared" si="1"/>
        <v>2148.6965</v>
      </c>
      <c r="F5" s="79">
        <v>2150</v>
      </c>
      <c r="G5" s="77">
        <f t="shared" si="2"/>
        <v>1.3034999999999854</v>
      </c>
    </row>
    <row r="6" spans="1:8" s="10" customFormat="1" ht="14.25">
      <c r="A6" s="11" t="s">
        <v>199</v>
      </c>
      <c r="B6" s="63">
        <v>27.99</v>
      </c>
      <c r="C6" s="64"/>
      <c r="D6" s="103">
        <f t="shared" si="0"/>
        <v>0</v>
      </c>
      <c r="E6" s="114">
        <f t="shared" si="1"/>
        <v>1842.0219</v>
      </c>
      <c r="F6" s="79">
        <v>2264</v>
      </c>
      <c r="G6" s="14">
        <f t="shared" si="2"/>
        <v>421.97810000000004</v>
      </c>
      <c r="H6" s="74"/>
    </row>
    <row r="7" spans="1:7" s="10" customFormat="1" ht="14.25">
      <c r="A7" s="15" t="s">
        <v>758</v>
      </c>
      <c r="B7" s="63">
        <v>26.86</v>
      </c>
      <c r="C7" s="64"/>
      <c r="D7" s="103">
        <f t="shared" si="0"/>
        <v>0</v>
      </c>
      <c r="E7" s="115">
        <f t="shared" si="1"/>
        <v>1767.6566</v>
      </c>
      <c r="F7" s="79">
        <v>1768</v>
      </c>
      <c r="G7" s="14">
        <f t="shared" si="2"/>
        <v>0.34339999999997417</v>
      </c>
    </row>
    <row r="8" spans="1:7" s="10" customFormat="1" ht="14.25">
      <c r="A8" s="15" t="s">
        <v>893</v>
      </c>
      <c r="B8" s="63">
        <v>10.99</v>
      </c>
      <c r="C8" s="64"/>
      <c r="D8" s="103">
        <f t="shared" si="0"/>
        <v>0</v>
      </c>
      <c r="E8" s="115">
        <f t="shared" si="1"/>
        <v>723.2519000000001</v>
      </c>
      <c r="F8" s="85">
        <v>723</v>
      </c>
      <c r="G8" s="14">
        <f t="shared" si="2"/>
        <v>-0.2519000000000915</v>
      </c>
    </row>
    <row r="9" spans="1:8" s="10" customFormat="1" ht="14.25">
      <c r="A9" s="11" t="s">
        <v>874</v>
      </c>
      <c r="B9" s="63">
        <v>94.17</v>
      </c>
      <c r="C9" s="64"/>
      <c r="D9" s="103">
        <f t="shared" si="0"/>
        <v>0</v>
      </c>
      <c r="E9" s="114">
        <f t="shared" si="1"/>
        <v>6197.327700000001</v>
      </c>
      <c r="F9" s="85">
        <v>6216</v>
      </c>
      <c r="G9" s="14">
        <f t="shared" si="2"/>
        <v>18.672299999999268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14.25">
      <c r="A14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770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846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845</v>
      </c>
    </row>
    <row r="169" spans="1:5" ht="14.25">
      <c r="A169" t="s">
        <v>844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839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847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848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840</v>
      </c>
    </row>
  </sheetData>
  <sheetProtection/>
  <printOptions/>
  <pageMargins left="0.7" right="0.7" top="0.75" bottom="0.75" header="0.3" footer="0.3"/>
  <pageSetup orientation="portrait" paperSize="9"/>
</worksheet>
</file>

<file path=xl/worksheets/sheet2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42493</v>
      </c>
      <c r="C1" s="3" t="s">
        <v>1</v>
      </c>
      <c r="D1" s="4">
        <v>65.92</v>
      </c>
      <c r="E1" s="5" t="s">
        <v>2</v>
      </c>
    </row>
    <row r="2" s="5" customFormat="1" ht="14.25">
      <c r="A2" s="6" t="s">
        <v>896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89</v>
      </c>
      <c r="B4" s="63">
        <v>6.29</v>
      </c>
      <c r="C4" s="64">
        <v>0.19</v>
      </c>
      <c r="D4" s="103">
        <f aca="true" t="shared" si="0" ref="D4:D12">C4*1</f>
        <v>0.19</v>
      </c>
      <c r="E4" s="114">
        <f aca="true" t="shared" si="1" ref="E4:E12">(B4+D4)*$D$1</f>
        <v>427.1616</v>
      </c>
      <c r="F4" s="79">
        <v>427</v>
      </c>
      <c r="G4" s="14">
        <f aca="true" t="shared" si="2" ref="G4:G12">-E4+F4</f>
        <v>-0.16160000000002128</v>
      </c>
      <c r="H4" s="74"/>
    </row>
    <row r="5" spans="1:7" s="10" customFormat="1" ht="14.25">
      <c r="A5" s="15" t="s">
        <v>832</v>
      </c>
      <c r="B5" s="63">
        <v>6.79</v>
      </c>
      <c r="C5" s="64">
        <v>0.03</v>
      </c>
      <c r="D5" s="103">
        <f t="shared" si="0"/>
        <v>0.03</v>
      </c>
      <c r="E5" s="115">
        <f t="shared" si="1"/>
        <v>449.5744</v>
      </c>
      <c r="F5" s="79">
        <v>450</v>
      </c>
      <c r="G5" s="77">
        <f t="shared" si="2"/>
        <v>0.42559999999997444</v>
      </c>
    </row>
    <row r="6" spans="1:8" s="10" customFormat="1" ht="14.25">
      <c r="A6" s="11" t="s">
        <v>400</v>
      </c>
      <c r="B6" s="63">
        <v>6.29</v>
      </c>
      <c r="C6" s="64">
        <v>0.32</v>
      </c>
      <c r="D6" s="103">
        <f t="shared" si="0"/>
        <v>0.32</v>
      </c>
      <c r="E6" s="114">
        <f t="shared" si="1"/>
        <v>435.73120000000006</v>
      </c>
      <c r="F6" s="79">
        <v>436</v>
      </c>
      <c r="G6" s="14">
        <f t="shared" si="2"/>
        <v>0.268799999999942</v>
      </c>
      <c r="H6" s="74"/>
    </row>
    <row r="7" spans="1:7" s="10" customFormat="1" ht="14.25">
      <c r="A7" s="15" t="s">
        <v>284</v>
      </c>
      <c r="B7" s="63">
        <v>14.85</v>
      </c>
      <c r="C7" s="64">
        <v>0.06</v>
      </c>
      <c r="D7" s="103">
        <f t="shared" si="0"/>
        <v>0.06</v>
      </c>
      <c r="E7" s="115">
        <f t="shared" si="1"/>
        <v>982.8672</v>
      </c>
      <c r="F7" s="79">
        <v>983</v>
      </c>
      <c r="G7" s="14">
        <f t="shared" si="2"/>
        <v>0.13279999999997472</v>
      </c>
    </row>
    <row r="8" spans="1:8" s="10" customFormat="1" ht="14.25">
      <c r="A8" s="11" t="s">
        <v>851</v>
      </c>
      <c r="B8" s="63">
        <v>8.42</v>
      </c>
      <c r="C8" s="64">
        <v>0.21</v>
      </c>
      <c r="D8" s="103">
        <f>C8*1</f>
        <v>0.21</v>
      </c>
      <c r="E8" s="115">
        <f t="shared" si="1"/>
        <v>568.8896000000001</v>
      </c>
      <c r="F8" s="79">
        <v>569</v>
      </c>
      <c r="G8" s="14">
        <f>-E8+F8</f>
        <v>0.11039999999991323</v>
      </c>
      <c r="H8" s="74"/>
    </row>
    <row r="9" spans="1:7" s="10" customFormat="1" ht="14.25">
      <c r="A9" s="15" t="s">
        <v>29</v>
      </c>
      <c r="B9" s="63">
        <v>10.37</v>
      </c>
      <c r="C9" s="64">
        <v>1.66</v>
      </c>
      <c r="D9" s="103">
        <f>C9*1</f>
        <v>1.66</v>
      </c>
      <c r="E9" s="115">
        <f>(B9+D9)*$D$1</f>
        <v>793.0176</v>
      </c>
      <c r="F9" s="79">
        <v>793</v>
      </c>
      <c r="G9" s="77">
        <f>-E9+F9</f>
        <v>-0.017600000000015825</v>
      </c>
    </row>
    <row r="10" spans="1:8" s="10" customFormat="1" ht="14.25">
      <c r="A10" s="11" t="s">
        <v>897</v>
      </c>
      <c r="B10" s="63">
        <v>15.36</v>
      </c>
      <c r="C10" s="64">
        <v>0.73</v>
      </c>
      <c r="D10" s="103">
        <f>C10*1</f>
        <v>0.73</v>
      </c>
      <c r="E10" s="114">
        <f>(B10+D10)*$D$1</f>
        <v>1060.6528</v>
      </c>
      <c r="F10" s="85">
        <v>1061</v>
      </c>
      <c r="G10" s="14">
        <f>-E10+F10</f>
        <v>0.3471999999999298</v>
      </c>
      <c r="H10" s="74"/>
    </row>
    <row r="11" spans="1:7" s="10" customFormat="1" ht="14.25">
      <c r="A11" s="15" t="s">
        <v>852</v>
      </c>
      <c r="B11" s="63">
        <v>3.79</v>
      </c>
      <c r="C11" s="64">
        <v>0.4</v>
      </c>
      <c r="D11" s="103">
        <f>C11*1</f>
        <v>0.4</v>
      </c>
      <c r="E11" s="115">
        <f>(B11+D11)*$D$1</f>
        <v>276.20480000000003</v>
      </c>
      <c r="F11" s="79">
        <v>276</v>
      </c>
      <c r="G11" s="14">
        <f>-E11+F11</f>
        <v>-0.2048000000000343</v>
      </c>
    </row>
    <row r="12" spans="1:7" s="10" customFormat="1" ht="14.25">
      <c r="A12" s="15" t="s">
        <v>898</v>
      </c>
      <c r="B12" s="63">
        <v>12.54</v>
      </c>
      <c r="C12" s="64">
        <v>0.76</v>
      </c>
      <c r="D12" s="103">
        <f t="shared" si="0"/>
        <v>0.76</v>
      </c>
      <c r="E12" s="115">
        <f t="shared" si="1"/>
        <v>876.736</v>
      </c>
      <c r="F12" s="85">
        <v>877</v>
      </c>
      <c r="G12" s="14">
        <f t="shared" si="2"/>
        <v>0.26400000000001</v>
      </c>
    </row>
    <row r="13" spans="1:7" s="25" customFormat="1" ht="14.25">
      <c r="A13" s="24"/>
      <c r="B13" s="24"/>
      <c r="C13" s="24"/>
      <c r="D13" s="24"/>
      <c r="E13" s="24"/>
      <c r="F13" s="24"/>
      <c r="G13" s="24"/>
    </row>
    <row r="15" ht="28.5">
      <c r="A15" s="98"/>
    </row>
    <row r="16" ht="28.5">
      <c r="A16" s="98"/>
    </row>
    <row r="17" ht="14.25">
      <c r="A17" s="72"/>
    </row>
    <row r="23" spans="4:5" ht="14.25">
      <c r="D23" s="43"/>
      <c r="E23" s="132"/>
    </row>
    <row r="102" spans="4:5" ht="14.25">
      <c r="D102" s="43">
        <f>'480'!G7+'489'!G4</f>
        <v>0.35979999999995016</v>
      </c>
      <c r="E102" t="s">
        <v>770</v>
      </c>
    </row>
    <row r="130" spans="4:5" ht="14.25">
      <c r="D130" s="43">
        <f>B130+C130+'309'!G4+'316'!G4+'319'!G4+'339'!G9+'340'!G4+'372'!G7+'381'!G4+'391'!G7+'404'!G6+'411'!G4+'412'!G8+'416'!G4+'429'!G4+'485'!G4+'522'!G5</f>
        <v>4.579371965812413</v>
      </c>
      <c r="E130" s="132" t="s">
        <v>846</v>
      </c>
    </row>
    <row r="135" spans="4:5" ht="14.25">
      <c r="D135" s="43">
        <f>B135+C135+'325'!G9+'328'!G5+'344'!G9+'378'!G7+'384'!G6+'387'!G4+'391'!G9+'399'!G4+'441'!G4+'522'!G4</f>
        <v>-1.887614562767908</v>
      </c>
      <c r="E135" s="132" t="s">
        <v>845</v>
      </c>
    </row>
    <row r="172" spans="1:5" ht="14.25">
      <c r="A172" t="s">
        <v>844</v>
      </c>
      <c r="B172">
        <v>0</v>
      </c>
      <c r="D172" s="43">
        <f>'522'!G7</f>
        <v>0.15050000000002228</v>
      </c>
      <c r="E172">
        <v>522</v>
      </c>
    </row>
    <row r="266" spans="4:5" ht="14.25">
      <c r="D266" s="43">
        <f>'435'!G4+'521'!G6</f>
        <v>0.19920000000001892</v>
      </c>
      <c r="E266" t="s">
        <v>839</v>
      </c>
    </row>
    <row r="324" spans="4:5" ht="14.25">
      <c r="D324" s="43">
        <f>B324+C324+'339'!G6+'359'!G7+'362'!G8+'422'!G4+'425'!G7+'470'!G6+'479'!G7+'514'!G6+'522'!G6</f>
        <v>-0.18308000000028812</v>
      </c>
      <c r="E324" t="s">
        <v>847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848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840</v>
      </c>
    </row>
  </sheetData>
  <sheetProtection/>
  <printOptions/>
  <pageMargins left="0.7" right="0.7" top="0.75" bottom="0.75" header="0.3" footer="0.3"/>
  <pageSetup orientation="portrait" paperSize="9"/>
</worksheet>
</file>

<file path=xl/worksheets/sheet2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42499</v>
      </c>
      <c r="C1" s="3" t="s">
        <v>1</v>
      </c>
      <c r="D1" s="4">
        <v>66.58</v>
      </c>
      <c r="E1" s="5" t="s">
        <v>2</v>
      </c>
    </row>
    <row r="2" s="5" customFormat="1" ht="14.25">
      <c r="A2" s="6" t="s">
        <v>902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88</v>
      </c>
      <c r="B4" s="63">
        <v>28.84</v>
      </c>
      <c r="C4" s="64"/>
      <c r="D4" s="103">
        <f aca="true" t="shared" si="0" ref="D4:D10">C4*1</f>
        <v>0</v>
      </c>
      <c r="E4" s="114">
        <f aca="true" t="shared" si="1" ref="E4:E10">(B4+D4)*$D$1</f>
        <v>1920.1671999999999</v>
      </c>
      <c r="F4" s="79">
        <v>1920</v>
      </c>
      <c r="G4" s="14">
        <f aca="true" t="shared" si="2" ref="G4:G10">-E4+F4</f>
        <v>-0.16719999999986612</v>
      </c>
      <c r="H4" s="74"/>
    </row>
    <row r="5" spans="1:7" s="10" customFormat="1" ht="14.25">
      <c r="A5" s="15" t="s">
        <v>903</v>
      </c>
      <c r="B5" s="63">
        <v>22.67</v>
      </c>
      <c r="C5" s="64"/>
      <c r="D5" s="103">
        <f t="shared" si="0"/>
        <v>0</v>
      </c>
      <c r="E5" s="115">
        <f t="shared" si="1"/>
        <v>1509.3686</v>
      </c>
      <c r="F5" s="79">
        <v>1509</v>
      </c>
      <c r="G5" s="77">
        <f t="shared" si="2"/>
        <v>-0.3686000000000149</v>
      </c>
    </row>
    <row r="6" spans="1:8" s="10" customFormat="1" ht="14.25">
      <c r="A6" s="11" t="s">
        <v>455</v>
      </c>
      <c r="B6" s="63">
        <v>8.05</v>
      </c>
      <c r="C6" s="64"/>
      <c r="D6" s="103">
        <f t="shared" si="0"/>
        <v>0</v>
      </c>
      <c r="E6" s="114">
        <f t="shared" si="1"/>
        <v>535.969</v>
      </c>
      <c r="F6" s="79">
        <v>536</v>
      </c>
      <c r="G6" s="14">
        <f t="shared" si="2"/>
        <v>0.03099999999994907</v>
      </c>
      <c r="H6" s="74"/>
    </row>
    <row r="7" spans="1:7" s="10" customFormat="1" ht="14.25">
      <c r="A7" s="15" t="s">
        <v>408</v>
      </c>
      <c r="B7" s="63">
        <v>7.99</v>
      </c>
      <c r="C7" s="64"/>
      <c r="D7" s="103">
        <f t="shared" si="0"/>
        <v>0</v>
      </c>
      <c r="E7" s="115">
        <f t="shared" si="1"/>
        <v>531.9742</v>
      </c>
      <c r="F7" s="79">
        <v>532</v>
      </c>
      <c r="G7" s="14">
        <f t="shared" si="2"/>
        <v>0.02580000000000382</v>
      </c>
    </row>
    <row r="8" spans="1:8" s="10" customFormat="1" ht="14.25">
      <c r="A8" s="11" t="s">
        <v>791</v>
      </c>
      <c r="B8" s="63">
        <v>23.04</v>
      </c>
      <c r="C8" s="64"/>
      <c r="D8" s="103">
        <f t="shared" si="0"/>
        <v>0</v>
      </c>
      <c r="E8" s="114">
        <f t="shared" si="1"/>
        <v>1534.0031999999999</v>
      </c>
      <c r="F8" s="79">
        <v>1534</v>
      </c>
      <c r="G8" s="14">
        <f t="shared" si="2"/>
        <v>-0.0031999999998788553</v>
      </c>
      <c r="H8" s="74"/>
    </row>
    <row r="9" spans="1:7" s="10" customFormat="1" ht="14.25">
      <c r="A9" s="15" t="s">
        <v>904</v>
      </c>
      <c r="B9" s="63">
        <v>12.68</v>
      </c>
      <c r="C9" s="64"/>
      <c r="D9" s="103">
        <f t="shared" si="0"/>
        <v>0</v>
      </c>
      <c r="E9" s="115">
        <f t="shared" si="1"/>
        <v>844.2343999999999</v>
      </c>
      <c r="F9" s="79">
        <v>844</v>
      </c>
      <c r="G9" s="77">
        <f t="shared" si="2"/>
        <v>-0.23439999999993688</v>
      </c>
    </row>
    <row r="10" spans="1:8" s="10" customFormat="1" ht="14.25">
      <c r="A10" s="11" t="s">
        <v>905</v>
      </c>
      <c r="B10" s="63">
        <v>38.83</v>
      </c>
      <c r="C10" s="64"/>
      <c r="D10" s="103">
        <f t="shared" si="0"/>
        <v>0</v>
      </c>
      <c r="E10" s="114">
        <f t="shared" si="1"/>
        <v>2585.3014</v>
      </c>
      <c r="F10" s="79">
        <f>2585</f>
        <v>2585</v>
      </c>
      <c r="G10" s="14">
        <f t="shared" si="2"/>
        <v>-0.30139999999983047</v>
      </c>
      <c r="H10" s="74"/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14.25">
      <c r="A15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770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846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845</v>
      </c>
    </row>
    <row r="170" spans="1:5" ht="14.25">
      <c r="A170" t="s">
        <v>844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839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847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848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840</v>
      </c>
    </row>
  </sheetData>
  <sheetProtection/>
  <printOptions/>
  <pageMargins left="0.7" right="0.7" top="0.75" bottom="0.75" header="0.3" footer="0.3"/>
  <pageSetup orientation="portrait" paperSize="9"/>
</worksheet>
</file>

<file path=xl/worksheets/sheet2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42503</v>
      </c>
      <c r="C1" s="3" t="s">
        <v>1</v>
      </c>
      <c r="D1" s="4">
        <v>65.63</v>
      </c>
      <c r="E1" s="5" t="s">
        <v>2</v>
      </c>
    </row>
    <row r="2" s="5" customFormat="1" ht="14.25">
      <c r="A2" s="6" t="s">
        <v>907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908</v>
      </c>
      <c r="B4" s="63">
        <v>14.69</v>
      </c>
      <c r="C4" s="64"/>
      <c r="D4" s="103">
        <f aca="true" t="shared" si="0" ref="D4:D9">C4*1</f>
        <v>0</v>
      </c>
      <c r="E4" s="114">
        <f aca="true" t="shared" si="1" ref="E4:E9">(B4+D4)*$D$1</f>
        <v>964.1046999999999</v>
      </c>
      <c r="F4" s="79">
        <v>964</v>
      </c>
      <c r="G4" s="14">
        <f aca="true" t="shared" si="2" ref="G4:G9">-E4+F4</f>
        <v>-0.10469999999986612</v>
      </c>
      <c r="H4" s="74"/>
    </row>
    <row r="5" spans="1:7" s="10" customFormat="1" ht="14.25">
      <c r="A5" s="15" t="s">
        <v>223</v>
      </c>
      <c r="B5" s="63">
        <v>5.99</v>
      </c>
      <c r="C5" s="64"/>
      <c r="D5" s="103">
        <f t="shared" si="0"/>
        <v>0</v>
      </c>
      <c r="E5" s="115">
        <f t="shared" si="1"/>
        <v>393.1237</v>
      </c>
      <c r="F5" s="79">
        <v>393</v>
      </c>
      <c r="G5" s="77">
        <f t="shared" si="2"/>
        <v>-0.12369999999998527</v>
      </c>
    </row>
    <row r="6" spans="1:8" s="10" customFormat="1" ht="14.25">
      <c r="A6" s="11" t="s">
        <v>851</v>
      </c>
      <c r="B6" s="63">
        <v>9.62</v>
      </c>
      <c r="C6" s="64"/>
      <c r="D6" s="103">
        <f t="shared" si="0"/>
        <v>0</v>
      </c>
      <c r="E6" s="114">
        <f t="shared" si="1"/>
        <v>631.3605999999999</v>
      </c>
      <c r="F6" s="79">
        <v>631</v>
      </c>
      <c r="G6" s="14">
        <f t="shared" si="2"/>
        <v>-0.36059999999986303</v>
      </c>
      <c r="H6" s="74"/>
    </row>
    <row r="7" spans="1:7" s="10" customFormat="1" ht="14.25">
      <c r="A7" s="15" t="s">
        <v>120</v>
      </c>
      <c r="B7" s="63">
        <v>16.86</v>
      </c>
      <c r="C7" s="64"/>
      <c r="D7" s="103">
        <f t="shared" si="0"/>
        <v>0</v>
      </c>
      <c r="E7" s="115">
        <f t="shared" si="1"/>
        <v>1106.5218</v>
      </c>
      <c r="F7" s="79">
        <v>1098</v>
      </c>
      <c r="G7" s="14">
        <f t="shared" si="2"/>
        <v>-8.521799999999985</v>
      </c>
    </row>
    <row r="8" spans="1:8" s="10" customFormat="1" ht="14.25">
      <c r="A8" s="11" t="s">
        <v>795</v>
      </c>
      <c r="B8" s="63">
        <v>27.12</v>
      </c>
      <c r="C8" s="64"/>
      <c r="D8" s="103">
        <f t="shared" si="0"/>
        <v>0</v>
      </c>
      <c r="E8" s="114">
        <f t="shared" si="1"/>
        <v>1779.8855999999998</v>
      </c>
      <c r="F8" s="79">
        <v>1780</v>
      </c>
      <c r="G8" s="14">
        <f t="shared" si="2"/>
        <v>0.11440000000015971</v>
      </c>
      <c r="H8" s="74"/>
    </row>
    <row r="9" spans="1:7" s="10" customFormat="1" ht="14.25">
      <c r="A9" s="15" t="s">
        <v>909</v>
      </c>
      <c r="B9" s="63">
        <v>42.24</v>
      </c>
      <c r="C9" s="64"/>
      <c r="D9" s="103">
        <f t="shared" si="0"/>
        <v>0</v>
      </c>
      <c r="E9" s="115">
        <f t="shared" si="1"/>
        <v>2772.2111999999997</v>
      </c>
      <c r="F9" s="79">
        <v>2772</v>
      </c>
      <c r="G9" s="77">
        <f t="shared" si="2"/>
        <v>-0.21119999999973516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14.25">
      <c r="A14" s="72" t="s">
        <v>538</v>
      </c>
    </row>
    <row r="15" spans="1:2" ht="14.25">
      <c r="A15" s="71" t="s">
        <v>909</v>
      </c>
      <c r="B15" s="72" t="s">
        <v>910</v>
      </c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770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846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845</v>
      </c>
    </row>
    <row r="169" spans="1:5" ht="14.25">
      <c r="A169" t="s">
        <v>844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839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847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848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840</v>
      </c>
    </row>
  </sheetData>
  <sheetProtection/>
  <hyperlinks>
    <hyperlink ref="B15" r:id="rId1" display="http://ru.iherb.com/Carlson-Labs-Chelated-Calcium-250-mg-180-Tablets/12201"/>
  </hyperlink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42076</v>
      </c>
      <c r="C1" s="3" t="s">
        <v>1</v>
      </c>
      <c r="D1" s="4">
        <v>62.86</v>
      </c>
      <c r="E1" s="5" t="s">
        <v>2</v>
      </c>
    </row>
    <row r="2" s="5" customFormat="1" ht="14.25">
      <c r="A2" s="6" t="s">
        <v>362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51.69</v>
      </c>
      <c r="C4" s="64">
        <v>1.48</v>
      </c>
      <c r="D4" s="11">
        <f aca="true" t="shared" si="0" ref="D4:D9">C4/$C$10*$D$10</f>
        <v>2.977867203219316</v>
      </c>
      <c r="E4" s="11">
        <f>(B4+D4)*$D$1</f>
        <v>3436.422132394366</v>
      </c>
      <c r="F4" s="78">
        <v>3391</v>
      </c>
      <c r="G4" s="14">
        <f>-E4+F4</f>
        <v>-45.422132394366145</v>
      </c>
      <c r="H4" s="74"/>
    </row>
    <row r="5" spans="1:7" s="10" customFormat="1" ht="14.25">
      <c r="A5" s="15" t="s">
        <v>182</v>
      </c>
      <c r="B5" s="63">
        <v>41.23</v>
      </c>
      <c r="C5" s="64">
        <v>1.85</v>
      </c>
      <c r="D5" s="11">
        <f t="shared" si="0"/>
        <v>3.7223340040241455</v>
      </c>
      <c r="E5" s="76">
        <f>(B5+D5)*$D$1</f>
        <v>2825.7037154929576</v>
      </c>
      <c r="F5" s="79">
        <f>3282</f>
        <v>3282</v>
      </c>
      <c r="G5" s="77">
        <f>-E5+F5</f>
        <v>456.2962845070424</v>
      </c>
    </row>
    <row r="6" spans="1:7" s="10" customFormat="1" ht="14.25">
      <c r="A6" s="15" t="s">
        <v>271</v>
      </c>
      <c r="B6" s="12">
        <v>7.95</v>
      </c>
      <c r="C6" s="12">
        <v>0.15</v>
      </c>
      <c r="D6" s="11">
        <f t="shared" si="0"/>
        <v>0.30181086519114686</v>
      </c>
      <c r="E6" s="11">
        <f>(B6+D6)*$D$1</f>
        <v>518.7088309859155</v>
      </c>
      <c r="F6" s="69">
        <v>482</v>
      </c>
      <c r="G6" s="14">
        <f>-E6+F6</f>
        <v>-36.70883098591548</v>
      </c>
    </row>
    <row r="7" spans="1:8" s="10" customFormat="1" ht="14.25">
      <c r="A7" s="11" t="s">
        <v>215</v>
      </c>
      <c r="B7" s="63">
        <v>3</v>
      </c>
      <c r="C7" s="64">
        <v>0.03</v>
      </c>
      <c r="D7" s="11">
        <f t="shared" si="0"/>
        <v>0.06036217303822938</v>
      </c>
      <c r="E7" s="11">
        <f>(B7+D7)*$D$1</f>
        <v>192.37436619718312</v>
      </c>
      <c r="F7" s="78">
        <v>191</v>
      </c>
      <c r="G7" s="14">
        <f>-E7+F7</f>
        <v>-1.3743661971831216</v>
      </c>
      <c r="H7" s="74"/>
    </row>
    <row r="8" spans="1:7" s="10" customFormat="1" ht="14.25">
      <c r="A8" s="15" t="s">
        <v>363</v>
      </c>
      <c r="B8" s="63">
        <v>18.17</v>
      </c>
      <c r="C8" s="64">
        <v>0.08</v>
      </c>
      <c r="D8" s="11">
        <f t="shared" si="0"/>
        <v>0.16096579476861167</v>
      </c>
      <c r="E8" s="76">
        <f>(B8+D8)*$D$1</f>
        <v>1152.284509859155</v>
      </c>
      <c r="F8" s="79">
        <f>1140+12</f>
        <v>1152</v>
      </c>
      <c r="G8" s="77">
        <f>-E8+F8</f>
        <v>-0.2845098591549231</v>
      </c>
    </row>
    <row r="9" spans="1:7" s="10" customFormat="1" ht="14.25">
      <c r="A9" s="15" t="s">
        <v>10</v>
      </c>
      <c r="B9" s="24"/>
      <c r="C9" s="12">
        <v>1.38</v>
      </c>
      <c r="D9" s="11">
        <f t="shared" si="0"/>
        <v>2.7766599597585513</v>
      </c>
      <c r="E9" s="24"/>
      <c r="F9" s="24"/>
      <c r="G9" s="24"/>
    </row>
    <row r="10" spans="1:8" s="25" customFormat="1" ht="14.25">
      <c r="A10" s="24"/>
      <c r="B10" s="24"/>
      <c r="C10" s="24">
        <f>SUM(C4:C9)</f>
        <v>4.97</v>
      </c>
      <c r="D10" s="24">
        <v>10</v>
      </c>
      <c r="E10" s="24"/>
      <c r="F10" s="24"/>
      <c r="G10" s="24"/>
      <c r="H10" s="10"/>
    </row>
    <row r="11" spans="1:8" ht="14.25">
      <c r="A11" s="81"/>
      <c r="B11" s="81"/>
      <c r="C11" s="81"/>
      <c r="D11" s="81"/>
      <c r="E11" s="81"/>
      <c r="F11" s="81"/>
      <c r="G11" s="81"/>
      <c r="H11" s="10"/>
    </row>
    <row r="12" spans="1:8" ht="14.25">
      <c r="A12" s="81"/>
      <c r="B12" s="81"/>
      <c r="C12" s="81"/>
      <c r="D12" s="81"/>
      <c r="E12" s="81"/>
      <c r="F12" s="81"/>
      <c r="G12" s="81"/>
      <c r="H12" s="10"/>
    </row>
    <row r="13" spans="1:8" ht="30.75">
      <c r="A13" s="82"/>
      <c r="B13" s="81"/>
      <c r="C13" s="81"/>
      <c r="D13" s="81"/>
      <c r="E13" s="81"/>
      <c r="F13" s="81"/>
      <c r="G13" s="81"/>
      <c r="H13" s="10"/>
    </row>
    <row r="14" spans="1:8" ht="30.75">
      <c r="A14" s="82"/>
      <c r="B14" s="81"/>
      <c r="C14" s="81"/>
      <c r="D14" s="81"/>
      <c r="E14" s="81"/>
      <c r="F14" s="81"/>
      <c r="G14" s="81"/>
      <c r="H14" s="10"/>
    </row>
    <row r="15" spans="1:8" ht="36.75" customHeight="1">
      <c r="A15" s="81"/>
      <c r="B15" s="81"/>
      <c r="C15" s="81"/>
      <c r="D15" s="81"/>
      <c r="E15" s="81"/>
      <c r="F15" s="81"/>
      <c r="G15" s="81"/>
      <c r="H15" s="10"/>
    </row>
    <row r="16" spans="1:8" ht="14.25">
      <c r="A16" s="81"/>
      <c r="B16" s="81"/>
      <c r="C16" s="81"/>
      <c r="D16" s="81"/>
      <c r="E16" s="81"/>
      <c r="F16" s="81"/>
      <c r="G16" s="81"/>
      <c r="H16" s="10"/>
    </row>
    <row r="17" spans="1:8" ht="14.25">
      <c r="A17" s="81"/>
      <c r="B17" s="81"/>
      <c r="C17" s="81"/>
      <c r="D17" s="81"/>
      <c r="E17" s="81"/>
      <c r="F17" s="81"/>
      <c r="G17" s="81"/>
      <c r="H17" s="10"/>
    </row>
    <row r="18" spans="1:8" ht="14.25">
      <c r="A18" s="81"/>
      <c r="B18" s="81"/>
      <c r="C18" s="81"/>
      <c r="D18" s="81"/>
      <c r="E18" s="81"/>
      <c r="F18" s="81"/>
      <c r="G18" s="81"/>
      <c r="H18" s="10"/>
    </row>
    <row r="19" ht="14.25">
      <c r="H19" s="10"/>
    </row>
  </sheetData>
  <sheetProtection/>
  <printOptions/>
  <pageMargins left="0.7" right="0.7" top="0.75" bottom="0.75" header="0.3" footer="0.3"/>
  <pageSetup orientation="portrait" paperSize="9"/>
</worksheet>
</file>

<file path=xl/worksheets/sheet2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42503</v>
      </c>
      <c r="C1" s="3" t="s">
        <v>1</v>
      </c>
      <c r="D1" s="4">
        <v>65.63</v>
      </c>
      <c r="E1" s="5" t="s">
        <v>2</v>
      </c>
    </row>
    <row r="2" s="5" customFormat="1" ht="14.25">
      <c r="A2" s="6" t="s">
        <v>907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63">
        <v>20.88</v>
      </c>
      <c r="C4" s="64"/>
      <c r="D4" s="103">
        <f>C4*1</f>
        <v>0</v>
      </c>
      <c r="E4" s="114">
        <f>(B4+D4)*$D$1</f>
        <v>1370.3544</v>
      </c>
      <c r="F4" s="79">
        <v>1370</v>
      </c>
      <c r="G4" s="14">
        <f>-E4+F4</f>
        <v>-0.35439999999994143</v>
      </c>
      <c r="H4" s="74"/>
    </row>
    <row r="5" spans="1:7" s="10" customFormat="1" ht="14.25">
      <c r="A5" s="15" t="s">
        <v>911</v>
      </c>
      <c r="B5" s="63">
        <v>6.17</v>
      </c>
      <c r="C5" s="64"/>
      <c r="D5" s="103">
        <f>C5*1</f>
        <v>0</v>
      </c>
      <c r="E5" s="115">
        <f>(B5+D5)*$D$1</f>
        <v>404.9371</v>
      </c>
      <c r="F5" s="79">
        <v>405</v>
      </c>
      <c r="G5" s="77">
        <f>-E5+F5</f>
        <v>0.06290000000001328</v>
      </c>
    </row>
    <row r="6" spans="1:8" s="10" customFormat="1" ht="14.25">
      <c r="A6" s="11" t="s">
        <v>912</v>
      </c>
      <c r="B6" s="63">
        <v>4.2</v>
      </c>
      <c r="C6" s="64"/>
      <c r="D6" s="103">
        <f>C6*1</f>
        <v>0</v>
      </c>
      <c r="E6" s="114">
        <f>(B6+D6)*$D$1</f>
        <v>275.646</v>
      </c>
      <c r="F6" s="79">
        <v>276</v>
      </c>
      <c r="G6" s="14">
        <f>-E6+F6</f>
        <v>0.353999999999985</v>
      </c>
      <c r="H6" s="74"/>
    </row>
    <row r="7" spans="1:7" s="10" customFormat="1" ht="14.25">
      <c r="A7" s="15" t="s">
        <v>205</v>
      </c>
      <c r="B7" s="63">
        <v>32.57</v>
      </c>
      <c r="C7" s="64"/>
      <c r="D7" s="103">
        <f>C7*1</f>
        <v>0</v>
      </c>
      <c r="E7" s="115">
        <f>(B7+D7)*$D$1</f>
        <v>2137.5690999999997</v>
      </c>
      <c r="F7" s="79">
        <v>2138</v>
      </c>
      <c r="G7" s="14">
        <f>-E7+F7</f>
        <v>0.4309000000002925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14.25">
      <c r="A12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770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846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845</v>
      </c>
    </row>
    <row r="167" spans="1:5" ht="14.25">
      <c r="A167" t="s">
        <v>844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839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847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848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840</v>
      </c>
    </row>
  </sheetData>
  <sheetProtection/>
  <printOptions/>
  <pageMargins left="0.7" right="0.7" top="0.75" bottom="0.75" header="0.3" footer="0.3"/>
  <pageSetup orientation="portrait" paperSize="9"/>
</worksheet>
</file>

<file path=xl/worksheets/sheet2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42508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915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51</v>
      </c>
      <c r="B4" s="63">
        <v>62.48</v>
      </c>
      <c r="C4" s="64"/>
      <c r="D4" s="103">
        <f aca="true" t="shared" si="0" ref="D4:D10">C4*1</f>
        <v>0</v>
      </c>
      <c r="E4" s="114">
        <f aca="true" t="shared" si="1" ref="E4:E10">(B4+D4)*$D$1</f>
        <v>4092.4399999999996</v>
      </c>
      <c r="F4" s="134">
        <v>4092</v>
      </c>
      <c r="G4" s="14">
        <f aca="true" t="shared" si="2" ref="G4:G10">-E4+F4</f>
        <v>-0.4399999999995998</v>
      </c>
      <c r="H4" s="74"/>
    </row>
    <row r="5" spans="1:7" s="10" customFormat="1" ht="14.25">
      <c r="A5" s="15" t="s">
        <v>139</v>
      </c>
      <c r="B5" s="63">
        <v>22.76</v>
      </c>
      <c r="C5" s="64"/>
      <c r="D5" s="103">
        <f t="shared" si="0"/>
        <v>0</v>
      </c>
      <c r="E5" s="115">
        <f t="shared" si="1"/>
        <v>1490.7800000000002</v>
      </c>
      <c r="F5" s="79">
        <v>1491</v>
      </c>
      <c r="G5" s="77">
        <f t="shared" si="2"/>
        <v>0.2199999999997999</v>
      </c>
    </row>
    <row r="6" spans="1:8" s="10" customFormat="1" ht="14.25">
      <c r="A6" s="11" t="s">
        <v>912</v>
      </c>
      <c r="B6" s="63">
        <v>5.95</v>
      </c>
      <c r="C6" s="64"/>
      <c r="D6" s="103">
        <f t="shared" si="0"/>
        <v>0</v>
      </c>
      <c r="E6" s="114">
        <f t="shared" si="1"/>
        <v>389.725</v>
      </c>
      <c r="F6" s="79">
        <v>389</v>
      </c>
      <c r="G6" s="14">
        <f t="shared" si="2"/>
        <v>-0.7250000000000227</v>
      </c>
      <c r="H6" s="74"/>
    </row>
    <row r="7" spans="1:7" s="10" customFormat="1" ht="14.25">
      <c r="A7" s="15" t="s">
        <v>400</v>
      </c>
      <c r="B7" s="63">
        <v>3.84</v>
      </c>
      <c r="C7" s="64"/>
      <c r="D7" s="103">
        <f t="shared" si="0"/>
        <v>0</v>
      </c>
      <c r="E7" s="115">
        <f t="shared" si="1"/>
        <v>251.51999999999998</v>
      </c>
      <c r="F7" s="79">
        <v>251</v>
      </c>
      <c r="G7" s="14">
        <f t="shared" si="2"/>
        <v>-0.5199999999999818</v>
      </c>
    </row>
    <row r="8" spans="1:8" s="10" customFormat="1" ht="14.25">
      <c r="A8" s="11" t="s">
        <v>88</v>
      </c>
      <c r="B8" s="63">
        <v>4.75</v>
      </c>
      <c r="C8" s="64"/>
      <c r="D8" s="103">
        <f t="shared" si="0"/>
        <v>0</v>
      </c>
      <c r="E8" s="114">
        <f t="shared" si="1"/>
        <v>311.125</v>
      </c>
      <c r="F8" s="79">
        <v>310</v>
      </c>
      <c r="G8" s="14">
        <f t="shared" si="2"/>
        <v>-1.125</v>
      </c>
      <c r="H8" s="74"/>
    </row>
    <row r="9" spans="1:7" s="10" customFormat="1" ht="14.25">
      <c r="A9" s="15" t="s">
        <v>408</v>
      </c>
      <c r="B9" s="63">
        <v>11.21</v>
      </c>
      <c r="C9" s="64"/>
      <c r="D9" s="103">
        <f t="shared" si="0"/>
        <v>0</v>
      </c>
      <c r="E9" s="115">
        <f t="shared" si="1"/>
        <v>734.2550000000001</v>
      </c>
      <c r="F9" s="79">
        <v>754</v>
      </c>
      <c r="G9" s="77">
        <f t="shared" si="2"/>
        <v>19.74499999999989</v>
      </c>
    </row>
    <row r="10" spans="1:8" s="10" customFormat="1" ht="14.25">
      <c r="A10" s="11" t="s">
        <v>183</v>
      </c>
      <c r="B10" s="63">
        <v>13.59</v>
      </c>
      <c r="C10" s="64"/>
      <c r="D10" s="103">
        <f t="shared" si="0"/>
        <v>0</v>
      </c>
      <c r="E10" s="114">
        <f t="shared" si="1"/>
        <v>890.145</v>
      </c>
      <c r="F10" s="124">
        <v>890</v>
      </c>
      <c r="G10" s="14">
        <f t="shared" si="2"/>
        <v>-0.1449999999999818</v>
      </c>
      <c r="H10" s="74"/>
    </row>
    <row r="11" spans="1:8" s="10" customFormat="1" ht="14.25">
      <c r="A11" s="11" t="s">
        <v>830</v>
      </c>
      <c r="B11" s="63">
        <v>9.98</v>
      </c>
      <c r="C11" s="64"/>
      <c r="D11" s="103">
        <f>C11*1</f>
        <v>0</v>
      </c>
      <c r="E11" s="115">
        <f>(B11+D11)*$D$1</f>
        <v>653.69</v>
      </c>
      <c r="F11" s="124">
        <v>654</v>
      </c>
      <c r="G11" s="77">
        <f>-E11+F11</f>
        <v>0.30999999999994543</v>
      </c>
      <c r="H11" s="74"/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770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846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845</v>
      </c>
    </row>
    <row r="171" spans="1:5" ht="14.25">
      <c r="A171" t="s">
        <v>844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839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847</v>
      </c>
    </row>
    <row r="333" spans="1:5" ht="14.25">
      <c r="A333" t="s">
        <v>916</v>
      </c>
      <c r="B333">
        <v>0</v>
      </c>
      <c r="D333" s="43">
        <f>'544'!G5</f>
        <v>-0.4239999999997508</v>
      </c>
      <c r="E333">
        <v>544</v>
      </c>
    </row>
    <row r="337" spans="4:5" ht="14.25">
      <c r="D337" s="43">
        <f>B337+C337+'340'!G9+'358'!G7+'414'!G7+'433'!G9+'435'!G8+'435'!G9+'450'!G4+'453'!G5+'460'!G4+'462'!G6+'464'!G7+'471'!G5+'475'!G5+'477'!G5+'477'!G6+'480'!G8+'486'!G4+'489'!G5+'491'!G6+'499'!G5+'504'!G7+'512'!G4+'519'!G5+'519'!G6+'526'!G4+'529'!G5+'531'!G11+'537'!G5+'542'!G4+'540'!G7+'543'!G9</f>
        <v>19.648389999999495</v>
      </c>
      <c r="E337" t="s">
        <v>917</v>
      </c>
    </row>
    <row r="341" spans="4:5" ht="14.25">
      <c r="D341" s="43">
        <f>B341+C341+'339'!G6+'359'!G7+'362'!G8+'422'!G4+'425'!G7+'470'!G6+'479'!G7+'514'!G6+'522'!G6+'539'!G6+'543'!G7</f>
        <v>-0.43428000000032796</v>
      </c>
      <c r="E341" t="s">
        <v>918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848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840</v>
      </c>
    </row>
  </sheetData>
  <sheetProtection/>
  <printOptions/>
  <pageMargins left="0.7" right="0.7" top="0.75" bottom="0.75" header="0.3" footer="0.3"/>
  <pageSetup orientation="portrait" paperSize="9"/>
</worksheet>
</file>

<file path=xl/worksheets/sheet2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42508</v>
      </c>
      <c r="C1" s="3" t="s">
        <v>1</v>
      </c>
      <c r="D1" s="4">
        <v>64.35</v>
      </c>
      <c r="E1" s="5" t="s">
        <v>2</v>
      </c>
    </row>
    <row r="2" s="5" customFormat="1" ht="14.25">
      <c r="A2" s="6" t="s">
        <v>915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851</v>
      </c>
      <c r="B4" s="133" t="s">
        <v>920</v>
      </c>
      <c r="C4" s="64"/>
      <c r="D4" s="103"/>
      <c r="E4" s="114"/>
      <c r="F4" s="79"/>
      <c r="G4" s="14"/>
      <c r="H4" s="74"/>
    </row>
    <row r="5" spans="1:7" s="10" customFormat="1" ht="14.25">
      <c r="A5" s="15" t="s">
        <v>916</v>
      </c>
      <c r="B5" s="63">
        <v>31.04</v>
      </c>
      <c r="C5" s="64"/>
      <c r="D5" s="103">
        <f>C5*1</f>
        <v>0</v>
      </c>
      <c r="E5" s="115">
        <f>(B5+D5)*$D$1</f>
        <v>1997.4239999999998</v>
      </c>
      <c r="F5" s="79">
        <v>1997</v>
      </c>
      <c r="G5" s="77">
        <f>-E5+F5</f>
        <v>-0.4239999999997508</v>
      </c>
    </row>
    <row r="6" spans="1:8" s="10" customFormat="1" ht="14.25">
      <c r="A6" s="11" t="s">
        <v>315</v>
      </c>
      <c r="B6" s="63">
        <v>4.95</v>
      </c>
      <c r="C6" s="64"/>
      <c r="D6" s="103">
        <f>C6*1</f>
        <v>0</v>
      </c>
      <c r="E6" s="114">
        <f>(B6+D6)*$D$1</f>
        <v>318.53249999999997</v>
      </c>
      <c r="F6" s="124">
        <v>304</v>
      </c>
      <c r="G6" s="14">
        <f>-E6+F6</f>
        <v>-14.53249999999997</v>
      </c>
      <c r="H6" s="74"/>
    </row>
    <row r="7" spans="1:7" s="10" customFormat="1" ht="14.25">
      <c r="A7" s="15" t="s">
        <v>410</v>
      </c>
      <c r="B7" s="63">
        <v>35.48</v>
      </c>
      <c r="C7" s="64"/>
      <c r="D7" s="103">
        <f>C7*1</f>
        <v>0</v>
      </c>
      <c r="E7" s="115">
        <f>(B7+D7)*$D$1</f>
        <v>2283.1379999999995</v>
      </c>
      <c r="F7" s="79">
        <v>2283</v>
      </c>
      <c r="G7" s="14">
        <f>-E7+F7</f>
        <v>-0.13799999999946522</v>
      </c>
    </row>
    <row r="8" spans="1:8" s="10" customFormat="1" ht="14.25">
      <c r="A8" s="11" t="s">
        <v>535</v>
      </c>
      <c r="B8" s="63">
        <v>4</v>
      </c>
      <c r="C8" s="64"/>
      <c r="D8" s="103">
        <f>C8*1</f>
        <v>0</v>
      </c>
      <c r="E8" s="114">
        <f>(B8+D8)*$D$1</f>
        <v>257.4</v>
      </c>
      <c r="F8" s="79">
        <v>257</v>
      </c>
      <c r="G8" s="14">
        <f>-E8+F8</f>
        <v>-0.39999999999997726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14.25">
      <c r="A13" s="72"/>
    </row>
    <row r="19" spans="4:5" ht="14.25">
      <c r="D19" s="43"/>
      <c r="E19" s="132"/>
    </row>
    <row r="49" spans="4:5" ht="14.25">
      <c r="D49" s="43">
        <f>B49+C49+'471'!G6+'473'!G4+'543'!G4</f>
        <v>-0.24680000000000746</v>
      </c>
      <c r="E49" s="132" t="s">
        <v>921</v>
      </c>
    </row>
    <row r="96" spans="4:5" ht="14.25">
      <c r="D96" s="43">
        <f>B96+C96+'540'!G4+'543'!G8</f>
        <v>-1.2921999999998661</v>
      </c>
      <c r="E96" t="s">
        <v>924</v>
      </c>
    </row>
    <row r="98" spans="4:5" ht="14.25">
      <c r="D98" s="43">
        <f>'480'!G7+'489'!G4</f>
        <v>0.35979999999995016</v>
      </c>
      <c r="E98" t="s">
        <v>770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846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845</v>
      </c>
    </row>
    <row r="140" spans="4:5" ht="14.25">
      <c r="D140" s="43">
        <f>'542'!G6+'543'!G6</f>
        <v>-0.37100000000003774</v>
      </c>
      <c r="E140" t="s">
        <v>923</v>
      </c>
    </row>
    <row r="154" spans="4:5" ht="14.25">
      <c r="D154" s="43">
        <f>B154+C154+'304'!G9+'309'!G7+'372'!G4+'399'!G5+'412'!G6+'421'!G8+'537'!G11+'544'!G6</f>
        <v>-0.4040760752278061</v>
      </c>
      <c r="E154" t="s">
        <v>926</v>
      </c>
    </row>
    <row r="162" spans="4:5" ht="14.25">
      <c r="D162" s="43">
        <f>B162+C162+'368'!G5+'402'!G4+'427'!G7+'480'!G6+'543'!G5</f>
        <v>-55.51941999999991</v>
      </c>
      <c r="E162" s="132" t="s">
        <v>922</v>
      </c>
    </row>
    <row r="168" spans="1:5" ht="14.25">
      <c r="A168" t="s">
        <v>844</v>
      </c>
      <c r="B168">
        <v>0</v>
      </c>
      <c r="D168" s="43">
        <f>'522'!G7</f>
        <v>0.15050000000002228</v>
      </c>
      <c r="E168">
        <v>522</v>
      </c>
    </row>
    <row r="243" spans="4:5" ht="14.25">
      <c r="D243" s="43">
        <f>B243+C243+'316'!G8+'323'!G9+'324'!G5+'326'!G5+'357'!G8+'362'!G4+'402'!G7+'414'!G5+'425'!G11+'435'!G6+'467'!G4+'480'!G4+'517'!G12+'540'!G6+'543'!G10</f>
        <v>-1.336094703317201</v>
      </c>
      <c r="E243" s="132" t="s">
        <v>925</v>
      </c>
    </row>
    <row r="262" spans="4:5" ht="14.25">
      <c r="D262" s="43">
        <f>'341'!G7+'364'!G9+'386'!G7+'393'!G4+'396'!G4+'409'!G8+'416'!G6+'418'!G6+'421'!G6+'424'!G6+'431'!G6+'435'!G11+'444'!G4+'452'!G5+'478'!G5+'479'!G8+'481'!G7+'486'!G5+'496'!G4+'503'!G7+'508'!G4+'512'!G5+'513'!G8+'523'!G7+'527'!G6+'544'!G7</f>
        <v>-0.5041523012532707</v>
      </c>
      <c r="E262" t="s">
        <v>927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847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848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840</v>
      </c>
    </row>
  </sheetData>
  <sheetProtection/>
  <printOptions/>
  <pageMargins left="0.7" right="0.7" top="0.75" bottom="0.75" header="0.3" footer="0.3"/>
  <pageSetup orientation="portrait" paperSize="9"/>
</worksheet>
</file>

<file path=xl/worksheets/sheet2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42514</v>
      </c>
      <c r="C1" s="3" t="s">
        <v>1</v>
      </c>
      <c r="D1" s="4">
        <v>67.39</v>
      </c>
      <c r="E1" s="5" t="s">
        <v>2</v>
      </c>
    </row>
    <row r="2" s="5" customFormat="1" ht="14.25">
      <c r="A2" s="6" t="s">
        <v>928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400</v>
      </c>
      <c r="B4" s="135">
        <v>5.95</v>
      </c>
      <c r="C4" s="64"/>
      <c r="D4" s="103">
        <f aca="true" t="shared" si="0" ref="D4:D11">C4*1</f>
        <v>0</v>
      </c>
      <c r="E4" s="114">
        <f aca="true" t="shared" si="1" ref="E4:E11">(B4+D4)*$D$1</f>
        <v>400.9705</v>
      </c>
      <c r="F4" s="79">
        <v>401</v>
      </c>
      <c r="G4" s="14">
        <f aca="true" t="shared" si="2" ref="G4:G11">-E4+F4</f>
        <v>0.02949999999998454</v>
      </c>
      <c r="H4" s="74"/>
    </row>
    <row r="5" spans="1:7" s="10" customFormat="1" ht="14.25">
      <c r="A5" s="15" t="s">
        <v>929</v>
      </c>
      <c r="B5" s="63">
        <v>22.78</v>
      </c>
      <c r="C5" s="64"/>
      <c r="D5" s="103">
        <f t="shared" si="0"/>
        <v>0</v>
      </c>
      <c r="E5" s="115">
        <f t="shared" si="1"/>
        <v>1535.1442000000002</v>
      </c>
      <c r="F5" s="79">
        <v>1535</v>
      </c>
      <c r="G5" s="77">
        <f t="shared" si="2"/>
        <v>-0.14420000000018263</v>
      </c>
    </row>
    <row r="6" spans="1:8" s="10" customFormat="1" ht="14.25">
      <c r="A6" s="11" t="s">
        <v>51</v>
      </c>
      <c r="B6" s="63">
        <v>32.72</v>
      </c>
      <c r="C6" s="64"/>
      <c r="D6" s="103">
        <f t="shared" si="0"/>
        <v>0</v>
      </c>
      <c r="E6" s="114">
        <f t="shared" si="1"/>
        <v>2205.0008</v>
      </c>
      <c r="F6" s="79">
        <v>2205</v>
      </c>
      <c r="G6" s="14">
        <f t="shared" si="2"/>
        <v>-0.0007999999997991836</v>
      </c>
      <c r="H6" s="74"/>
    </row>
    <row r="7" spans="1:8" s="10" customFormat="1" ht="14.25">
      <c r="A7" s="11" t="s">
        <v>408</v>
      </c>
      <c r="B7" s="63">
        <v>13.04</v>
      </c>
      <c r="C7" s="64"/>
      <c r="D7" s="103">
        <f>C7*1</f>
        <v>0</v>
      </c>
      <c r="E7" s="114">
        <f>(B7+D7)*$D$1</f>
        <v>878.7656</v>
      </c>
      <c r="F7" s="79">
        <v>856</v>
      </c>
      <c r="G7" s="14">
        <f>-E7+F7</f>
        <v>-22.76559999999995</v>
      </c>
      <c r="H7" s="74"/>
    </row>
    <row r="8" spans="1:7" s="10" customFormat="1" ht="14.25">
      <c r="A8" s="15" t="s">
        <v>120</v>
      </c>
      <c r="B8" s="63">
        <v>10.2</v>
      </c>
      <c r="C8" s="64"/>
      <c r="D8" s="103">
        <f>C8*1</f>
        <v>0</v>
      </c>
      <c r="E8" s="115">
        <f>(B8+D8)*$D$1</f>
        <v>687.3779999999999</v>
      </c>
      <c r="F8" s="79">
        <v>688</v>
      </c>
      <c r="G8" s="77">
        <f>-E8+F8</f>
        <v>0.6220000000000709</v>
      </c>
    </row>
    <row r="9" spans="1:7" s="10" customFormat="1" ht="14.25">
      <c r="A9" s="15" t="s">
        <v>138</v>
      </c>
      <c r="B9" s="63">
        <v>16.08</v>
      </c>
      <c r="C9" s="64"/>
      <c r="D9" s="103">
        <f t="shared" si="0"/>
        <v>0</v>
      </c>
      <c r="E9" s="115">
        <f t="shared" si="1"/>
        <v>1083.6311999999998</v>
      </c>
      <c r="F9" s="136">
        <v>1084</v>
      </c>
      <c r="G9" s="14">
        <f t="shared" si="2"/>
        <v>0.3688000000001921</v>
      </c>
    </row>
    <row r="10" spans="1:8" s="10" customFormat="1" ht="14.25">
      <c r="A10" s="11" t="s">
        <v>930</v>
      </c>
      <c r="B10" s="63">
        <v>18.64</v>
      </c>
      <c r="C10" s="64"/>
      <c r="D10" s="103">
        <f t="shared" si="0"/>
        <v>0</v>
      </c>
      <c r="E10" s="114">
        <f t="shared" si="1"/>
        <v>1256.1496</v>
      </c>
      <c r="F10" s="79">
        <v>1256</v>
      </c>
      <c r="G10" s="14">
        <f t="shared" si="2"/>
        <v>-0.14959999999996398</v>
      </c>
      <c r="H10" s="74"/>
    </row>
    <row r="11" spans="1:7" s="10" customFormat="1" ht="14.25">
      <c r="A11" s="15" t="s">
        <v>892</v>
      </c>
      <c r="B11" s="63">
        <v>24.99</v>
      </c>
      <c r="C11" s="64"/>
      <c r="D11" s="103">
        <f t="shared" si="0"/>
        <v>0</v>
      </c>
      <c r="E11" s="115">
        <f t="shared" si="1"/>
        <v>1684.0761</v>
      </c>
      <c r="F11" s="79">
        <v>1700</v>
      </c>
      <c r="G11" s="77">
        <f t="shared" si="2"/>
        <v>15.923900000000003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14.25">
      <c r="A16" s="72"/>
    </row>
    <row r="17" ht="14.25">
      <c r="B17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770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846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845</v>
      </c>
    </row>
    <row r="171" spans="1:5" ht="14.25">
      <c r="A171" t="s">
        <v>844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839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847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848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840</v>
      </c>
    </row>
  </sheetData>
  <sheetProtection/>
  <printOptions/>
  <pageMargins left="0.7" right="0.7" top="0.75" bottom="0.75" header="0.3" footer="0.3"/>
  <pageSetup orientation="portrait" paperSize="9"/>
</worksheet>
</file>

<file path=xl/worksheets/sheet2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49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42514</v>
      </c>
      <c r="C1" s="3" t="s">
        <v>1</v>
      </c>
      <c r="D1" s="4">
        <v>67.39</v>
      </c>
      <c r="E1" s="5" t="s">
        <v>2</v>
      </c>
    </row>
    <row r="2" s="5" customFormat="1" ht="14.25">
      <c r="A2" s="6" t="s">
        <v>928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660</v>
      </c>
      <c r="B4" s="63">
        <v>93.41</v>
      </c>
      <c r="C4" s="64"/>
      <c r="D4" s="103">
        <f>C4*1</f>
        <v>0</v>
      </c>
      <c r="E4" s="114">
        <f>(B4+D4)*$D$1</f>
        <v>6294.899899999999</v>
      </c>
      <c r="F4" s="79">
        <v>6295</v>
      </c>
      <c r="G4" s="14">
        <f>-E4+F4</f>
        <v>0.10010000000056607</v>
      </c>
      <c r="H4" s="74"/>
    </row>
    <row r="5" spans="1:7" s="10" customFormat="1" ht="14.25">
      <c r="A5" s="15" t="s">
        <v>377</v>
      </c>
      <c r="B5" s="63">
        <v>9.9</v>
      </c>
      <c r="C5" s="64"/>
      <c r="D5" s="103">
        <f>C5*1</f>
        <v>0</v>
      </c>
      <c r="E5" s="115">
        <f>(B5+D5)*$D$1</f>
        <v>667.1610000000001</v>
      </c>
      <c r="F5" s="79">
        <v>667</v>
      </c>
      <c r="G5" s="77">
        <f>-E5+F5</f>
        <v>-0.1610000000000582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14.25">
      <c r="A10" s="72"/>
    </row>
    <row r="11" ht="14.25">
      <c r="B11" s="72"/>
    </row>
    <row r="16" spans="4:5" ht="14.25">
      <c r="D16" s="43"/>
      <c r="E16" s="132"/>
    </row>
    <row r="95" spans="4:5" ht="14.25">
      <c r="D95" s="43">
        <f>'480'!G7+'489'!G4</f>
        <v>0.35979999999995016</v>
      </c>
      <c r="E95" t="s">
        <v>770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846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845</v>
      </c>
    </row>
    <row r="165" spans="1:5" ht="14.25">
      <c r="A165" t="s">
        <v>844</v>
      </c>
      <c r="B165">
        <v>0</v>
      </c>
      <c r="D165" s="43">
        <f>'522'!G7</f>
        <v>0.15050000000002228</v>
      </c>
      <c r="E165">
        <v>522</v>
      </c>
    </row>
    <row r="259" spans="4:5" ht="14.25">
      <c r="D259" s="43">
        <f>'435'!G4+'521'!G6</f>
        <v>0.19920000000001892</v>
      </c>
      <c r="E259" t="s">
        <v>839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847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848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840</v>
      </c>
    </row>
  </sheetData>
  <sheetProtection/>
  <printOptions/>
  <pageMargins left="0.7" right="0.7" top="0.75" bottom="0.75" header="0.3" footer="0.3"/>
  <pageSetup orientation="portrait" paperSize="9"/>
</worksheet>
</file>

<file path=xl/worksheets/sheet2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7">
      <selection activeCell="A15" sqref="A15:IV1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42520</v>
      </c>
      <c r="C1" s="3" t="s">
        <v>1</v>
      </c>
      <c r="D1" s="4">
        <v>66.88</v>
      </c>
      <c r="E1" s="5" t="s">
        <v>2</v>
      </c>
    </row>
    <row r="2" s="5" customFormat="1" ht="14.25">
      <c r="A2" s="6" t="s">
        <v>931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120</v>
      </c>
      <c r="B4" s="135">
        <v>74.07</v>
      </c>
      <c r="C4" s="64"/>
      <c r="D4" s="103">
        <f aca="true" t="shared" si="0" ref="D4:D11">C4*1</f>
        <v>0</v>
      </c>
      <c r="E4" s="114">
        <f aca="true" t="shared" si="1" ref="E4:E11">(B4+D4)*$D$1</f>
        <v>4953.801599999999</v>
      </c>
      <c r="F4" s="136">
        <v>4954</v>
      </c>
      <c r="G4" s="14">
        <f aca="true" t="shared" si="2" ref="G4:G11">-E4+F4</f>
        <v>0.19840000000112923</v>
      </c>
      <c r="H4" s="74"/>
    </row>
    <row r="5" spans="1:7" s="10" customFormat="1" ht="14.25">
      <c r="A5" s="15" t="s">
        <v>315</v>
      </c>
      <c r="B5" s="63">
        <v>6.74</v>
      </c>
      <c r="C5" s="64"/>
      <c r="D5" s="103">
        <f t="shared" si="0"/>
        <v>0</v>
      </c>
      <c r="E5" s="115">
        <f t="shared" si="1"/>
        <v>450.77119999999996</v>
      </c>
      <c r="F5" s="79">
        <v>451</v>
      </c>
      <c r="G5" s="77">
        <f t="shared" si="2"/>
        <v>0.2288000000000352</v>
      </c>
    </row>
    <row r="6" spans="1:8" s="10" customFormat="1" ht="14.25">
      <c r="A6" s="11" t="s">
        <v>203</v>
      </c>
      <c r="B6" s="63">
        <v>8.45</v>
      </c>
      <c r="C6" s="64"/>
      <c r="D6" s="103">
        <f t="shared" si="0"/>
        <v>0</v>
      </c>
      <c r="E6" s="114">
        <f t="shared" si="1"/>
        <v>565.136</v>
      </c>
      <c r="F6" s="79">
        <v>565</v>
      </c>
      <c r="G6" s="14">
        <f t="shared" si="2"/>
        <v>-0.13599999999996726</v>
      </c>
      <c r="H6" s="74"/>
    </row>
    <row r="7" spans="1:8" s="10" customFormat="1" ht="14.25">
      <c r="A7" s="11" t="s">
        <v>552</v>
      </c>
      <c r="B7" s="63">
        <v>9.79</v>
      </c>
      <c r="C7" s="64"/>
      <c r="D7" s="103">
        <f>C7*1</f>
        <v>0</v>
      </c>
      <c r="E7" s="114">
        <f>(B7+D7)*$D$1</f>
        <v>654.7552</v>
      </c>
      <c r="F7" s="79">
        <v>650</v>
      </c>
      <c r="G7" s="14">
        <f>-E7+F7</f>
        <v>-4.755199999999945</v>
      </c>
      <c r="H7" s="74"/>
    </row>
    <row r="8" spans="1:7" s="10" customFormat="1" ht="14.25">
      <c r="A8" s="15" t="s">
        <v>909</v>
      </c>
      <c r="B8" s="63">
        <v>18.79</v>
      </c>
      <c r="C8" s="64"/>
      <c r="D8" s="103">
        <f>C8*1</f>
        <v>0</v>
      </c>
      <c r="E8" s="115">
        <f>(B8+D8)*$D$1</f>
        <v>1256.6752</v>
      </c>
      <c r="F8" s="79">
        <v>1257</v>
      </c>
      <c r="G8" s="77">
        <f>-E8+F8</f>
        <v>0.3248000000000957</v>
      </c>
    </row>
    <row r="9" spans="1:7" s="10" customFormat="1" ht="14.25">
      <c r="A9" s="15" t="s">
        <v>758</v>
      </c>
      <c r="B9" s="63">
        <v>9.768</v>
      </c>
      <c r="C9" s="64"/>
      <c r="D9" s="103">
        <f t="shared" si="0"/>
        <v>0</v>
      </c>
      <c r="E9" s="115">
        <f t="shared" si="1"/>
        <v>653.28384</v>
      </c>
      <c r="F9" s="79">
        <v>653</v>
      </c>
      <c r="G9" s="14">
        <f t="shared" si="2"/>
        <v>-0.2838400000000547</v>
      </c>
    </row>
    <row r="10" spans="1:8" s="10" customFormat="1" ht="14.25">
      <c r="A10" s="11" t="s">
        <v>410</v>
      </c>
      <c r="B10" s="63">
        <v>31.04</v>
      </c>
      <c r="C10" s="64"/>
      <c r="D10" s="103">
        <f t="shared" si="0"/>
        <v>0</v>
      </c>
      <c r="E10" s="114">
        <f t="shared" si="1"/>
        <v>2075.9552</v>
      </c>
      <c r="F10" s="136">
        <v>2076</v>
      </c>
      <c r="G10" s="14">
        <f t="shared" si="2"/>
        <v>0.044800000000122964</v>
      </c>
      <c r="H10" s="74"/>
    </row>
    <row r="11" spans="1:7" s="10" customFormat="1" ht="14.25">
      <c r="A11" s="15" t="s">
        <v>934</v>
      </c>
      <c r="B11" s="63">
        <v>20.94</v>
      </c>
      <c r="C11" s="64"/>
      <c r="D11" s="103">
        <f t="shared" si="0"/>
        <v>0</v>
      </c>
      <c r="E11" s="115">
        <f t="shared" si="1"/>
        <v>1400.4672</v>
      </c>
      <c r="F11" s="79">
        <v>1400</v>
      </c>
      <c r="G11" s="77">
        <f t="shared" si="2"/>
        <v>-0.467200000000048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28.5">
      <c r="A16" s="98"/>
    </row>
    <row r="17" spans="1:2" ht="14.25">
      <c r="A17" t="s">
        <v>416</v>
      </c>
      <c r="B17" s="72"/>
    </row>
    <row r="18" spans="1:2" ht="14.25">
      <c r="A18" s="71" t="s">
        <v>758</v>
      </c>
      <c r="B18" s="72" t="s">
        <v>933</v>
      </c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770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846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845</v>
      </c>
    </row>
    <row r="171" spans="1:5" ht="14.25">
      <c r="A171" t="s">
        <v>844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839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847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848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840</v>
      </c>
    </row>
  </sheetData>
  <sheetProtection/>
  <hyperlinks>
    <hyperlink ref="B18" r:id="rId1" display="http://iherb.com/himalaya-herbal-healthcare-koflet-20-lozenges/20964"/>
  </hyperlinks>
  <printOptions/>
  <pageMargins left="0.7" right="0.7" top="0.75" bottom="0.75" header="0.3" footer="0.3"/>
  <pageSetup orientation="portrait" paperSize="9"/>
</worksheet>
</file>

<file path=xl/worksheets/sheet2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22.5742187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42523</v>
      </c>
      <c r="C1" s="3" t="s">
        <v>1</v>
      </c>
      <c r="D1" s="4">
        <v>67.8</v>
      </c>
      <c r="E1" s="5" t="s">
        <v>2</v>
      </c>
    </row>
    <row r="2" s="5" customFormat="1" ht="14.25">
      <c r="A2" s="6" t="s">
        <v>935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939</v>
      </c>
      <c r="B4" s="135">
        <v>26.81</v>
      </c>
      <c r="C4" s="64"/>
      <c r="D4" s="103">
        <f aca="true" t="shared" si="0" ref="D4:D9">C4*1</f>
        <v>0</v>
      </c>
      <c r="E4" s="114">
        <f aca="true" t="shared" si="1" ref="E4:E9">(B4+D4)*$D$1</f>
        <v>1817.7179999999998</v>
      </c>
      <c r="F4" s="136">
        <v>2596</v>
      </c>
      <c r="G4" s="14">
        <f aca="true" t="shared" si="2" ref="G4:G9">-E4+F4</f>
        <v>778.2820000000002</v>
      </c>
      <c r="H4" s="74"/>
    </row>
    <row r="5" spans="1:7" s="10" customFormat="1" ht="14.25">
      <c r="A5" s="11" t="s">
        <v>940</v>
      </c>
      <c r="B5" s="63">
        <v>11.47</v>
      </c>
      <c r="C5" s="64"/>
      <c r="D5" s="103">
        <f t="shared" si="0"/>
        <v>0</v>
      </c>
      <c r="E5" s="114">
        <f t="shared" si="1"/>
        <v>777.666</v>
      </c>
      <c r="F5" s="79"/>
      <c r="G5" s="14">
        <f t="shared" si="2"/>
        <v>-777.666</v>
      </c>
    </row>
    <row r="6" spans="1:8" s="10" customFormat="1" ht="14.25">
      <c r="A6" s="15" t="s">
        <v>936</v>
      </c>
      <c r="B6" s="63">
        <v>9.45</v>
      </c>
      <c r="C6" s="64"/>
      <c r="D6" s="103">
        <f t="shared" si="0"/>
        <v>0</v>
      </c>
      <c r="E6" s="114">
        <f t="shared" si="1"/>
        <v>640.7099999999999</v>
      </c>
      <c r="F6" s="79">
        <v>640</v>
      </c>
      <c r="G6" s="14">
        <f t="shared" si="2"/>
        <v>-0.7099999999999227</v>
      </c>
      <c r="H6" s="74"/>
    </row>
    <row r="7" spans="1:8" s="10" customFormat="1" ht="14.25">
      <c r="A7" s="11" t="s">
        <v>937</v>
      </c>
      <c r="B7" s="63">
        <v>24.99</v>
      </c>
      <c r="C7" s="64"/>
      <c r="D7" s="103">
        <f t="shared" si="0"/>
        <v>0</v>
      </c>
      <c r="E7" s="114">
        <f t="shared" si="1"/>
        <v>1694.322</v>
      </c>
      <c r="F7" s="79">
        <v>1694</v>
      </c>
      <c r="G7" s="14">
        <f t="shared" si="2"/>
        <v>-0.32199999999988904</v>
      </c>
      <c r="H7" s="74"/>
    </row>
    <row r="8" spans="1:7" s="10" customFormat="1" ht="14.25">
      <c r="A8" s="11" t="s">
        <v>938</v>
      </c>
      <c r="B8" s="63">
        <v>56.89</v>
      </c>
      <c r="C8" s="64"/>
      <c r="D8" s="103">
        <f t="shared" si="0"/>
        <v>0</v>
      </c>
      <c r="E8" s="114">
        <f t="shared" si="1"/>
        <v>3857.142</v>
      </c>
      <c r="F8" s="85">
        <v>3857</v>
      </c>
      <c r="G8" s="14">
        <f t="shared" si="2"/>
        <v>-0.14199999999982538</v>
      </c>
    </row>
    <row r="9" spans="1:7" s="10" customFormat="1" ht="14.25">
      <c r="A9" s="15" t="s">
        <v>427</v>
      </c>
      <c r="B9" s="63">
        <v>12.99</v>
      </c>
      <c r="C9" s="64"/>
      <c r="D9" s="103">
        <f t="shared" si="0"/>
        <v>0</v>
      </c>
      <c r="E9" s="114">
        <f t="shared" si="1"/>
        <v>880.722</v>
      </c>
      <c r="F9" s="79">
        <v>881</v>
      </c>
      <c r="G9" s="14">
        <f t="shared" si="2"/>
        <v>0.27800000000002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28.5">
      <c r="A14" s="98"/>
    </row>
    <row r="15" ht="14.25">
      <c r="B15" s="72"/>
    </row>
    <row r="16" ht="14.25">
      <c r="B16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770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846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845</v>
      </c>
    </row>
    <row r="169" spans="1:5" ht="14.25">
      <c r="A169" t="s">
        <v>844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839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847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848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840</v>
      </c>
    </row>
  </sheetData>
  <sheetProtection/>
  <printOptions/>
  <pageMargins left="0.7" right="0.7" top="0.75" bottom="0.75" header="0.3" footer="0.3"/>
  <pageSetup orientation="portrait" paperSize="9"/>
</worksheet>
</file>

<file path=xl/worksheets/sheet2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42523</v>
      </c>
      <c r="C1" s="3" t="s">
        <v>1</v>
      </c>
      <c r="D1" s="4">
        <v>67.8</v>
      </c>
      <c r="E1" s="5" t="s">
        <v>2</v>
      </c>
    </row>
    <row r="2" s="5" customFormat="1" ht="14.25">
      <c r="A2" s="6" t="s">
        <v>935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738</v>
      </c>
      <c r="B4" s="135">
        <v>22.1</v>
      </c>
      <c r="C4" s="64"/>
      <c r="D4" s="103">
        <f>C4*1</f>
        <v>0</v>
      </c>
      <c r="E4" s="114">
        <f>(B4+D4)*$D$1</f>
        <v>1498.38</v>
      </c>
      <c r="F4" s="79">
        <v>1498</v>
      </c>
      <c r="G4" s="14">
        <f>-E4+F4</f>
        <v>-0.38000000000010914</v>
      </c>
      <c r="H4" s="74"/>
    </row>
    <row r="5" spans="1:7" s="10" customFormat="1" ht="14.25">
      <c r="A5" s="15" t="s">
        <v>941</v>
      </c>
      <c r="B5" s="63">
        <v>27.04</v>
      </c>
      <c r="C5" s="64"/>
      <c r="D5" s="103">
        <f>C5*1</f>
        <v>0</v>
      </c>
      <c r="E5" s="114">
        <f>(B5+D5)*$D$1</f>
        <v>1833.312</v>
      </c>
      <c r="F5" s="79">
        <v>1833</v>
      </c>
      <c r="G5" s="77">
        <f>-E5+F5</f>
        <v>-0.31199999999989814</v>
      </c>
    </row>
    <row r="6" spans="1:8" s="10" customFormat="1" ht="14.25">
      <c r="A6" s="11" t="s">
        <v>942</v>
      </c>
      <c r="B6" s="63">
        <v>8.26</v>
      </c>
      <c r="C6" s="64"/>
      <c r="D6" s="103">
        <f>C6*1</f>
        <v>0</v>
      </c>
      <c r="E6" s="114">
        <f>(B6+D6)*$D$1</f>
        <v>560.0279999999999</v>
      </c>
      <c r="F6" s="79">
        <v>560</v>
      </c>
      <c r="G6" s="14">
        <f>-E6+F6</f>
        <v>-0.027999999999906322</v>
      </c>
      <c r="H6" s="74"/>
    </row>
    <row r="7" spans="1:8" s="10" customFormat="1" ht="14.25">
      <c r="A7" s="11" t="s">
        <v>758</v>
      </c>
      <c r="B7" s="63">
        <v>48.32</v>
      </c>
      <c r="C7" s="64"/>
      <c r="D7" s="103">
        <f>C7*1</f>
        <v>0</v>
      </c>
      <c r="E7" s="114">
        <f>(B7+D7)*$D$1</f>
        <v>3276.096</v>
      </c>
      <c r="F7" s="79">
        <v>3276</v>
      </c>
      <c r="G7" s="14">
        <f>-E7+F7</f>
        <v>-0.09600000000000364</v>
      </c>
      <c r="H7" s="74"/>
    </row>
    <row r="8" spans="1:7" s="10" customFormat="1" ht="14.25">
      <c r="A8" s="15" t="s">
        <v>666</v>
      </c>
      <c r="B8" s="63">
        <v>29.93</v>
      </c>
      <c r="C8" s="64"/>
      <c r="D8" s="103">
        <f>C8*1</f>
        <v>0</v>
      </c>
      <c r="E8" s="114">
        <f>(B8+D8)*$D$1</f>
        <v>2029.254</v>
      </c>
      <c r="F8" s="85">
        <v>2029</v>
      </c>
      <c r="G8" s="77">
        <f>-E8+F8</f>
        <v>-0.2539999999999054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28.5">
      <c r="A13" s="98"/>
    </row>
    <row r="14" ht="14.25">
      <c r="B14" s="72"/>
    </row>
    <row r="15" ht="14.25">
      <c r="B15" s="72"/>
    </row>
    <row r="19" spans="4:5" ht="14.25">
      <c r="D19" s="43"/>
      <c r="E19" s="132"/>
    </row>
    <row r="98" spans="4:5" ht="14.25">
      <c r="D98" s="43">
        <f>'480'!G7+'489'!G4</f>
        <v>0.35979999999995016</v>
      </c>
      <c r="E98" t="s">
        <v>770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846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845</v>
      </c>
    </row>
    <row r="168" spans="1:5" ht="14.25">
      <c r="A168" t="s">
        <v>844</v>
      </c>
      <c r="B168">
        <v>0</v>
      </c>
      <c r="D168" s="43">
        <f>'522'!G7</f>
        <v>0.15050000000002228</v>
      </c>
      <c r="E168">
        <v>522</v>
      </c>
    </row>
    <row r="262" spans="4:5" ht="14.25">
      <c r="D262" s="43">
        <f>'435'!G4+'521'!G6</f>
        <v>0.19920000000001892</v>
      </c>
      <c r="E262" t="s">
        <v>839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847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848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840</v>
      </c>
    </row>
  </sheetData>
  <sheetProtection/>
  <printOptions/>
  <pageMargins left="0.7" right="0.7" top="0.75" bottom="0.75" header="0.3" footer="0.3"/>
  <pageSetup orientation="portrait" paperSize="9"/>
</worksheet>
</file>

<file path=xl/worksheets/sheet2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="80" zoomScaleNormal="80" zoomScalePageLayoutView="0" workbookViewId="0" topLeftCell="A1">
      <selection activeCell="A11" sqref="A11: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42529</v>
      </c>
      <c r="C1" s="3" t="s">
        <v>1</v>
      </c>
      <c r="D1" s="4">
        <v>65.34</v>
      </c>
      <c r="E1" s="5" t="s">
        <v>2</v>
      </c>
    </row>
    <row r="2" s="5" customFormat="1" ht="14.25">
      <c r="A2" s="6" t="s">
        <v>945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904</v>
      </c>
      <c r="B4" s="135">
        <v>12.3</v>
      </c>
      <c r="C4" s="64"/>
      <c r="D4" s="103">
        <f>C4*1</f>
        <v>0</v>
      </c>
      <c r="E4" s="114">
        <f>(B4+D4)*$D$1</f>
        <v>803.6820000000001</v>
      </c>
      <c r="F4" s="79">
        <v>804</v>
      </c>
      <c r="G4" s="14">
        <f>-E4+F4</f>
        <v>0.31799999999986994</v>
      </c>
      <c r="H4" s="74"/>
    </row>
    <row r="5" spans="1:7" s="10" customFormat="1" ht="14.25">
      <c r="A5" s="15" t="s">
        <v>660</v>
      </c>
      <c r="B5" s="63">
        <v>35.68</v>
      </c>
      <c r="C5" s="64"/>
      <c r="D5" s="103">
        <f>C5*1</f>
        <v>0</v>
      </c>
      <c r="E5" s="114">
        <f>(B5+D5)*$D$1</f>
        <v>2331.3312</v>
      </c>
      <c r="F5" s="79">
        <v>2331</v>
      </c>
      <c r="G5" s="77">
        <f>-E5+F5</f>
        <v>-0.33120000000008076</v>
      </c>
    </row>
    <row r="6" spans="1:8" s="10" customFormat="1" ht="14.25">
      <c r="A6" s="11" t="s">
        <v>24</v>
      </c>
      <c r="B6" s="63">
        <v>22.67</v>
      </c>
      <c r="C6" s="64"/>
      <c r="D6" s="103">
        <f>C6*1</f>
        <v>0</v>
      </c>
      <c r="E6" s="114">
        <f>(B6+D6)*$D$1</f>
        <v>1481.2578</v>
      </c>
      <c r="F6" s="79">
        <v>1481</v>
      </c>
      <c r="G6" s="14">
        <f>-E6+F6</f>
        <v>-0.2578000000000884</v>
      </c>
      <c r="H6" s="74"/>
    </row>
    <row r="7" spans="1:8" s="10" customFormat="1" ht="14.25">
      <c r="A7" s="11" t="s">
        <v>758</v>
      </c>
      <c r="B7" s="63">
        <v>12.1</v>
      </c>
      <c r="C7" s="64"/>
      <c r="D7" s="103">
        <f>C7*1</f>
        <v>0</v>
      </c>
      <c r="E7" s="114">
        <f>(B7+D7)*$D$1</f>
        <v>790.614</v>
      </c>
      <c r="F7" s="79">
        <v>791</v>
      </c>
      <c r="G7" s="14">
        <f>-E7+F7</f>
        <v>0.38599999999996726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770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846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845</v>
      </c>
    </row>
    <row r="167" spans="1:5" ht="14.25">
      <c r="A167" t="s">
        <v>844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839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847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848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840</v>
      </c>
    </row>
  </sheetData>
  <sheetProtection/>
  <printOptions/>
  <pageMargins left="0.7" right="0.7" top="0.75" bottom="0.75" header="0.3" footer="0.3"/>
  <pageSetup orientation="portrait" paperSize="9"/>
</worksheet>
</file>

<file path=xl/worksheets/sheet2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42529</v>
      </c>
      <c r="C1" s="3" t="s">
        <v>1</v>
      </c>
      <c r="D1" s="4">
        <v>65.34</v>
      </c>
      <c r="E1" s="5" t="s">
        <v>2</v>
      </c>
    </row>
    <row r="2" s="5" customFormat="1" ht="14.25">
      <c r="A2" s="6" t="s">
        <v>945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946</v>
      </c>
      <c r="B4" s="135">
        <v>13.9</v>
      </c>
      <c r="C4" s="64"/>
      <c r="D4" s="103">
        <f>C4*1</f>
        <v>0</v>
      </c>
      <c r="E4" s="114">
        <f>(B4+D4)*$D$1</f>
        <v>908.2260000000001</v>
      </c>
      <c r="F4" s="79">
        <v>908</v>
      </c>
      <c r="G4" s="14">
        <f>-E4+F4</f>
        <v>-0.22600000000011278</v>
      </c>
      <c r="H4" s="74"/>
    </row>
    <row r="5" spans="1:7" s="10" customFormat="1" ht="14.25">
      <c r="A5" s="15" t="s">
        <v>400</v>
      </c>
      <c r="B5" s="63">
        <v>8.51</v>
      </c>
      <c r="C5" s="64"/>
      <c r="D5" s="103">
        <f>C5*1</f>
        <v>0</v>
      </c>
      <c r="E5" s="114">
        <f>(B5+D5)*$D$1</f>
        <v>556.0434</v>
      </c>
      <c r="F5" s="79">
        <v>556</v>
      </c>
      <c r="G5" s="77">
        <f>-E5+F5</f>
        <v>-0.043400000000019645</v>
      </c>
    </row>
    <row r="6" spans="1:8" s="10" customFormat="1" ht="14.25">
      <c r="A6" s="11" t="s">
        <v>942</v>
      </c>
      <c r="B6" s="63">
        <v>11.6</v>
      </c>
      <c r="C6" s="64"/>
      <c r="D6" s="103">
        <f>C6*1</f>
        <v>0</v>
      </c>
      <c r="E6" s="114">
        <f>(B6+D6)*$D$1</f>
        <v>757.944</v>
      </c>
      <c r="F6" s="79">
        <v>758</v>
      </c>
      <c r="G6" s="14">
        <f>-E6+F6</f>
        <v>0.05600000000004002</v>
      </c>
      <c r="H6" s="74"/>
    </row>
    <row r="7" spans="1:8" s="10" customFormat="1" ht="14.25">
      <c r="A7" s="11" t="s">
        <v>897</v>
      </c>
      <c r="B7" s="63">
        <v>15.36</v>
      </c>
      <c r="C7" s="64"/>
      <c r="D7" s="103">
        <f>C7*1</f>
        <v>0</v>
      </c>
      <c r="E7" s="114">
        <f>(B7+D7)*$D$1</f>
        <v>1003.6224</v>
      </c>
      <c r="F7" s="79">
        <v>1003</v>
      </c>
      <c r="G7" s="14">
        <f>-E7+F7</f>
        <v>-0.6223999999999705</v>
      </c>
      <c r="H7" s="74"/>
    </row>
    <row r="8" spans="1:7" s="10" customFormat="1" ht="14.25">
      <c r="A8" s="15" t="s">
        <v>947</v>
      </c>
      <c r="B8" s="63">
        <v>15.93</v>
      </c>
      <c r="C8" s="64"/>
      <c r="D8" s="103">
        <f>C8*1</f>
        <v>0</v>
      </c>
      <c r="E8" s="114">
        <f>(B8+D8)*$D$1</f>
        <v>1040.8662</v>
      </c>
      <c r="F8" s="85">
        <v>1041</v>
      </c>
      <c r="G8" s="77">
        <f>-E8+F8</f>
        <v>0.13380000000006476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 t="s">
        <v>944</v>
      </c>
    </row>
    <row r="13" ht="28.5">
      <c r="A13" s="98" t="s">
        <v>932</v>
      </c>
    </row>
    <row r="14" ht="14.25">
      <c r="B14" s="72"/>
    </row>
    <row r="15" ht="14.25">
      <c r="B15" s="72"/>
    </row>
    <row r="19" spans="4:5" ht="14.25">
      <c r="D19" s="43"/>
      <c r="E19" s="132"/>
    </row>
    <row r="98" spans="4:5" ht="14.25">
      <c r="D98" s="43">
        <f>'480'!G7+'489'!G4</f>
        <v>0.35979999999995016</v>
      </c>
      <c r="E98" t="s">
        <v>770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846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845</v>
      </c>
    </row>
    <row r="168" spans="1:5" ht="14.25">
      <c r="A168" t="s">
        <v>844</v>
      </c>
      <c r="B168">
        <v>0</v>
      </c>
      <c r="D168" s="43">
        <f>'522'!G7</f>
        <v>0.15050000000002228</v>
      </c>
      <c r="E168">
        <v>522</v>
      </c>
    </row>
    <row r="262" spans="4:5" ht="14.25">
      <c r="D262" s="43">
        <f>'435'!G4+'521'!G6</f>
        <v>0.19920000000001892</v>
      </c>
      <c r="E262" t="s">
        <v>839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847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848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840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42081</v>
      </c>
      <c r="C1" s="3" t="s">
        <v>1</v>
      </c>
      <c r="D1" s="4">
        <v>61.33</v>
      </c>
      <c r="E1" s="5" t="s">
        <v>2</v>
      </c>
    </row>
    <row r="2" s="5" customFormat="1" ht="14.25">
      <c r="A2" s="6" t="s">
        <v>365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137</v>
      </c>
      <c r="B4" s="63">
        <v>19.73</v>
      </c>
      <c r="C4" s="63">
        <v>0.08</v>
      </c>
      <c r="D4" s="11">
        <f aca="true" t="shared" si="0" ref="D4:D12">C4/$C$13*$D$13</f>
        <v>0.16194331983805668</v>
      </c>
      <c r="E4" s="11">
        <f aca="true" t="shared" si="1" ref="E4:E12">(B4+D4)*$D$1</f>
        <v>1219.9728838056678</v>
      </c>
      <c r="F4" s="78">
        <f>1253-10</f>
        <v>1243</v>
      </c>
      <c r="G4" s="14">
        <f aca="true" t="shared" si="2" ref="G4:G12">-E4+F4</f>
        <v>23.027116194332166</v>
      </c>
      <c r="H4" s="74" t="s">
        <v>404</v>
      </c>
    </row>
    <row r="5" spans="1:7" s="10" customFormat="1" ht="14.25">
      <c r="A5" s="15" t="s">
        <v>287</v>
      </c>
      <c r="B5" s="63">
        <v>10.89</v>
      </c>
      <c r="C5" s="63">
        <v>0.38</v>
      </c>
      <c r="D5" s="11">
        <f t="shared" si="0"/>
        <v>0.7692307692307692</v>
      </c>
      <c r="E5" s="76">
        <f t="shared" si="1"/>
        <v>715.0606230769231</v>
      </c>
      <c r="F5" s="79">
        <v>743</v>
      </c>
      <c r="G5" s="77">
        <f t="shared" si="2"/>
        <v>27.939376923076907</v>
      </c>
    </row>
    <row r="6" spans="1:7" s="10" customFormat="1" ht="14.25">
      <c r="A6" s="15" t="s">
        <v>104</v>
      </c>
      <c r="B6" s="63">
        <v>17.28</v>
      </c>
      <c r="C6" s="63">
        <v>1.16</v>
      </c>
      <c r="D6" s="11">
        <f t="shared" si="0"/>
        <v>2.3481781376518214</v>
      </c>
      <c r="E6" s="11">
        <f t="shared" si="1"/>
        <v>1203.7961651821863</v>
      </c>
      <c r="F6" s="69">
        <v>1237</v>
      </c>
      <c r="G6" s="14">
        <f t="shared" si="2"/>
        <v>33.203834817813686</v>
      </c>
    </row>
    <row r="7" spans="1:7" s="10" customFormat="1" ht="14.25">
      <c r="A7" s="15" t="s">
        <v>366</v>
      </c>
      <c r="B7" s="63">
        <v>11.5</v>
      </c>
      <c r="C7" s="63">
        <v>0.8</v>
      </c>
      <c r="D7" s="11">
        <f t="shared" si="0"/>
        <v>1.6194331983805668</v>
      </c>
      <c r="E7" s="76">
        <f>(B7+D7)*$D$1</f>
        <v>804.6148380566801</v>
      </c>
      <c r="F7" s="79">
        <v>826</v>
      </c>
      <c r="G7" s="77">
        <f>-E7+F7</f>
        <v>21.385161943319872</v>
      </c>
    </row>
    <row r="8" spans="1:7" s="10" customFormat="1" ht="14.25">
      <c r="A8" s="15" t="s">
        <v>35</v>
      </c>
      <c r="B8" s="63">
        <v>11.81</v>
      </c>
      <c r="C8" s="63">
        <v>0.13</v>
      </c>
      <c r="D8" s="11">
        <f t="shared" si="0"/>
        <v>0.2631578947368421</v>
      </c>
      <c r="E8" s="11">
        <f>(B8+D8)*$D$1</f>
        <v>740.4467736842106</v>
      </c>
      <c r="F8" s="69">
        <v>766</v>
      </c>
      <c r="G8" s="14">
        <f>-E8+F8</f>
        <v>25.553226315789402</v>
      </c>
    </row>
    <row r="9" spans="1:8" s="10" customFormat="1" ht="14.25">
      <c r="A9" s="11" t="s">
        <v>183</v>
      </c>
      <c r="B9" s="63">
        <v>12.99</v>
      </c>
      <c r="C9" s="63">
        <v>0.14</v>
      </c>
      <c r="D9" s="11">
        <f t="shared" si="0"/>
        <v>0.2834008097165992</v>
      </c>
      <c r="E9" s="11">
        <f t="shared" si="1"/>
        <v>814.057671659919</v>
      </c>
      <c r="F9" s="78">
        <f>14+837</f>
        <v>851</v>
      </c>
      <c r="G9" s="14">
        <f t="shared" si="2"/>
        <v>36.94232834008096</v>
      </c>
      <c r="H9" s="74" t="s">
        <v>370</v>
      </c>
    </row>
    <row r="10" spans="1:7" s="10" customFormat="1" ht="14.25">
      <c r="A10" s="15" t="s">
        <v>93</v>
      </c>
      <c r="B10" s="63">
        <v>12.01</v>
      </c>
      <c r="C10" s="63">
        <v>1.51</v>
      </c>
      <c r="D10" s="11">
        <f t="shared" si="0"/>
        <v>3.0566801619433197</v>
      </c>
      <c r="E10" s="76">
        <f t="shared" si="1"/>
        <v>924.0394943319837</v>
      </c>
      <c r="F10" s="79">
        <v>965</v>
      </c>
      <c r="G10" s="77">
        <f t="shared" si="2"/>
        <v>40.96050566801625</v>
      </c>
    </row>
    <row r="11" spans="1:7" s="10" customFormat="1" ht="14.25">
      <c r="A11" s="15" t="s">
        <v>367</v>
      </c>
      <c r="B11" s="63">
        <v>10.54</v>
      </c>
      <c r="C11" s="63">
        <v>0.32</v>
      </c>
      <c r="D11" s="11">
        <f t="shared" si="0"/>
        <v>0.6477732793522267</v>
      </c>
      <c r="E11" s="11">
        <f t="shared" si="1"/>
        <v>686.146135222672</v>
      </c>
      <c r="F11" s="69">
        <v>705</v>
      </c>
      <c r="G11" s="14">
        <f t="shared" si="2"/>
        <v>18.853864777328</v>
      </c>
    </row>
    <row r="12" spans="1:7" s="10" customFormat="1" ht="14.25">
      <c r="A12" s="15" t="s">
        <v>223</v>
      </c>
      <c r="B12" s="63">
        <f>5.71*0.8</f>
        <v>4.5680000000000005</v>
      </c>
      <c r="C12" s="63">
        <v>0.42</v>
      </c>
      <c r="D12" s="11">
        <f t="shared" si="0"/>
        <v>0.8502024291497974</v>
      </c>
      <c r="E12" s="76">
        <f t="shared" si="1"/>
        <v>332.29835497975705</v>
      </c>
      <c r="F12" s="79">
        <v>496</v>
      </c>
      <c r="G12" s="77">
        <f t="shared" si="2"/>
        <v>163.70164502024295</v>
      </c>
    </row>
    <row r="13" spans="1:7" s="25" customFormat="1" ht="14.25">
      <c r="A13" s="24"/>
      <c r="B13" s="24"/>
      <c r="C13" s="24">
        <f>SUM(C4:C12)</f>
        <v>4.94</v>
      </c>
      <c r="D13" s="24">
        <v>10</v>
      </c>
      <c r="E13" s="24"/>
      <c r="F13" s="24"/>
      <c r="G13" s="24"/>
    </row>
    <row r="16" ht="30.75">
      <c r="A16" s="26"/>
    </row>
    <row r="17" ht="30.75">
      <c r="A17" s="26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42533</v>
      </c>
      <c r="C1" s="3" t="s">
        <v>1</v>
      </c>
      <c r="D1" s="4">
        <v>66.02</v>
      </c>
      <c r="E1" s="5" t="s">
        <v>2</v>
      </c>
    </row>
    <row r="2" s="5" customFormat="1" ht="14.25">
      <c r="A2" s="6" t="s">
        <v>949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950</v>
      </c>
      <c r="B4" s="135">
        <v>52.05</v>
      </c>
      <c r="C4" s="64"/>
      <c r="D4" s="103">
        <f>C4*1</f>
        <v>0</v>
      </c>
      <c r="E4" s="114">
        <f>(B4+D4)*$D$1</f>
        <v>3436.3409999999994</v>
      </c>
      <c r="F4" s="79">
        <v>3436</v>
      </c>
      <c r="G4" s="14">
        <f>-E4+F4</f>
        <v>-0.34099999999943975</v>
      </c>
      <c r="H4" s="74"/>
    </row>
    <row r="5" spans="1:7" s="10" customFormat="1" ht="14.25">
      <c r="A5" s="15" t="s">
        <v>497</v>
      </c>
      <c r="B5" s="63">
        <v>16.14</v>
      </c>
      <c r="C5" s="64"/>
      <c r="D5" s="103">
        <f>C5*1</f>
        <v>0</v>
      </c>
      <c r="E5" s="114">
        <f>(B5+D5)*$D$1</f>
        <v>1065.5628</v>
      </c>
      <c r="F5" s="79">
        <v>1066</v>
      </c>
      <c r="G5" s="77">
        <f>-E5+F5</f>
        <v>0.4372000000000753</v>
      </c>
    </row>
    <row r="6" spans="1:8" s="10" customFormat="1" ht="14.25">
      <c r="A6" s="11" t="s">
        <v>795</v>
      </c>
      <c r="B6" s="63">
        <v>24</v>
      </c>
      <c r="C6" s="64"/>
      <c r="D6" s="103">
        <f>C6*1</f>
        <v>0</v>
      </c>
      <c r="E6" s="114">
        <f>(B6+D6)*$D$1</f>
        <v>1584.48</v>
      </c>
      <c r="F6" s="79">
        <v>1585</v>
      </c>
      <c r="G6" s="14">
        <f>-E6+F6</f>
        <v>0.5199999999999818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ht="14.25">
      <c r="B12" s="72"/>
    </row>
    <row r="13" ht="14.25">
      <c r="B13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770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846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845</v>
      </c>
    </row>
    <row r="166" spans="1:5" ht="14.25">
      <c r="A166" t="s">
        <v>844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839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847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848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840</v>
      </c>
    </row>
  </sheetData>
  <sheetProtection/>
  <printOptions/>
  <pageMargins left="0.7" right="0.7" top="0.75" bottom="0.75" header="0.3" footer="0.3"/>
  <pageSetup orientation="portrait" paperSize="9"/>
</worksheet>
</file>

<file path=xl/worksheets/sheet2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49"/>
  <sheetViews>
    <sheetView zoomScale="90" zoomScaleNormal="90"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42533</v>
      </c>
      <c r="C1" s="3" t="s">
        <v>1</v>
      </c>
      <c r="D1" s="4">
        <v>66.02</v>
      </c>
      <c r="E1" s="5" t="s">
        <v>2</v>
      </c>
    </row>
    <row r="2" s="5" customFormat="1" ht="14.25">
      <c r="A2" s="6" t="s">
        <v>949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194</v>
      </c>
      <c r="B4" s="135">
        <v>12.95</v>
      </c>
      <c r="C4" s="64"/>
      <c r="D4" s="103">
        <f>C4*1</f>
        <v>0</v>
      </c>
      <c r="E4" s="114">
        <f>(B4+D4)*$D$1</f>
        <v>854.959</v>
      </c>
      <c r="F4" s="79">
        <v>855</v>
      </c>
      <c r="G4" s="14">
        <f>-E4+F4</f>
        <v>0.04100000000005366</v>
      </c>
      <c r="H4" s="74"/>
    </row>
    <row r="5" spans="1:7" s="10" customFormat="1" ht="14.25">
      <c r="A5" s="15" t="s">
        <v>234</v>
      </c>
      <c r="B5" s="135">
        <v>5.86</v>
      </c>
      <c r="C5" s="64"/>
      <c r="D5" s="103">
        <f>C5*1</f>
        <v>0</v>
      </c>
      <c r="E5" s="114">
        <f>(B5+D5)*$D$1</f>
        <v>386.8772</v>
      </c>
      <c r="F5" s="79">
        <v>387</v>
      </c>
      <c r="G5" s="77">
        <f>-E5+F5</f>
        <v>0.12279999999998381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28.5">
      <c r="A10" s="98"/>
    </row>
    <row r="11" ht="14.25">
      <c r="B11" s="72"/>
    </row>
    <row r="12" ht="14.25">
      <c r="B12" s="72"/>
    </row>
    <row r="16" spans="4:5" ht="14.25">
      <c r="D16" s="43"/>
      <c r="E16" s="132"/>
    </row>
    <row r="95" spans="4:5" ht="14.25">
      <c r="D95" s="43">
        <f>'480'!G7+'489'!G4</f>
        <v>0.35979999999995016</v>
      </c>
      <c r="E95" t="s">
        <v>770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846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845</v>
      </c>
    </row>
    <row r="165" spans="1:5" ht="14.25">
      <c r="A165" t="s">
        <v>844</v>
      </c>
      <c r="B165">
        <v>0</v>
      </c>
      <c r="D165" s="43">
        <f>'522'!G7</f>
        <v>0.15050000000002228</v>
      </c>
      <c r="E165">
        <v>522</v>
      </c>
    </row>
    <row r="259" spans="4:5" ht="14.25">
      <c r="D259" s="43">
        <f>'435'!G4+'521'!G6</f>
        <v>0.19920000000001892</v>
      </c>
      <c r="E259" t="s">
        <v>839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847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848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840</v>
      </c>
    </row>
  </sheetData>
  <sheetProtection/>
  <printOptions/>
  <pageMargins left="0.7" right="0.7" top="0.75" bottom="0.75" header="0.3" footer="0.3"/>
  <pageSetup orientation="portrait" paperSize="9"/>
</worksheet>
</file>

<file path=xl/worksheets/sheet2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="90" zoomScaleNormal="90"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42540</v>
      </c>
      <c r="C1" s="3" t="s">
        <v>1</v>
      </c>
      <c r="D1" s="4">
        <v>65.4</v>
      </c>
      <c r="E1" s="5" t="s">
        <v>2</v>
      </c>
    </row>
    <row r="2" s="5" customFormat="1" ht="14.25">
      <c r="A2" s="6" t="s">
        <v>951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760</v>
      </c>
      <c r="B4" s="135">
        <v>26.97</v>
      </c>
      <c r="C4" s="64"/>
      <c r="D4" s="103">
        <f>C4*1</f>
        <v>0</v>
      </c>
      <c r="E4" s="114">
        <f>(B4+D4)*$D$1</f>
        <v>1763.838</v>
      </c>
      <c r="F4" s="79">
        <v>1764</v>
      </c>
      <c r="G4" s="14">
        <f>-E4+F4</f>
        <v>0.16200000000003456</v>
      </c>
      <c r="H4" s="74"/>
    </row>
    <row r="5" spans="1:7" s="10" customFormat="1" ht="14.25">
      <c r="A5" s="15" t="s">
        <v>138</v>
      </c>
      <c r="B5" s="63">
        <v>14.8</v>
      </c>
      <c r="C5" s="64"/>
      <c r="D5" s="103">
        <f>C5*1</f>
        <v>0</v>
      </c>
      <c r="E5" s="114">
        <f>(B5+D5)*$D$1</f>
        <v>967.9200000000002</v>
      </c>
      <c r="F5" s="79">
        <v>968</v>
      </c>
      <c r="G5" s="77">
        <f>-E5+F5</f>
        <v>0.07999999999981355</v>
      </c>
    </row>
    <row r="6" spans="1:8" s="10" customFormat="1" ht="14.25">
      <c r="A6" s="11" t="s">
        <v>953</v>
      </c>
      <c r="B6" s="63">
        <v>64.93</v>
      </c>
      <c r="C6" s="64"/>
      <c r="D6" s="103">
        <f>C6*1</f>
        <v>0</v>
      </c>
      <c r="E6" s="114">
        <f>(B6+D6)*$D$1</f>
        <v>4246.4220000000005</v>
      </c>
      <c r="F6" s="79">
        <v>4246</v>
      </c>
      <c r="G6" s="14">
        <f>-E6+F6</f>
        <v>-0.4220000000004802</v>
      </c>
      <c r="H6" s="74"/>
    </row>
    <row r="7" spans="1:8" s="10" customFormat="1" ht="14.25">
      <c r="A7" s="11" t="s">
        <v>535</v>
      </c>
      <c r="B7" s="63">
        <v>13.96</v>
      </c>
      <c r="C7" s="64"/>
      <c r="D7" s="103">
        <f>C7*1</f>
        <v>0</v>
      </c>
      <c r="E7" s="114">
        <f>(B7+D7)*$D$1</f>
        <v>912.9840000000002</v>
      </c>
      <c r="F7" s="137">
        <v>913</v>
      </c>
      <c r="G7" s="14">
        <f>-E7+F7</f>
        <v>0.015999999999849024</v>
      </c>
      <c r="H7" s="74"/>
    </row>
    <row r="8" spans="1:7" s="10" customFormat="1" ht="14.25">
      <c r="A8" s="15" t="s">
        <v>506</v>
      </c>
      <c r="B8" s="63">
        <v>23.43</v>
      </c>
      <c r="C8" s="64"/>
      <c r="D8" s="103">
        <f>C8*1</f>
        <v>0</v>
      </c>
      <c r="E8" s="114">
        <f>(B8+D8)*$D$1</f>
        <v>1532.3220000000001</v>
      </c>
      <c r="F8" s="85">
        <v>1533</v>
      </c>
      <c r="G8" s="77">
        <f>-E8+F8</f>
        <v>0.6779999999998836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 t="s">
        <v>952</v>
      </c>
    </row>
    <row r="13" ht="28.5">
      <c r="A13" s="98" t="s">
        <v>932</v>
      </c>
    </row>
    <row r="14" ht="14.25">
      <c r="B14" s="72"/>
    </row>
    <row r="15" ht="14.25">
      <c r="B15" s="72"/>
    </row>
    <row r="19" spans="4:5" ht="14.25">
      <c r="D19" s="43"/>
      <c r="E19" s="132"/>
    </row>
    <row r="98" spans="4:5" ht="14.25">
      <c r="D98" s="43">
        <f>'480'!G7+'489'!G4</f>
        <v>0.35979999999995016</v>
      </c>
      <c r="E98" t="s">
        <v>770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846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845</v>
      </c>
    </row>
    <row r="168" spans="1:5" ht="14.25">
      <c r="A168" t="s">
        <v>844</v>
      </c>
      <c r="B168">
        <v>0</v>
      </c>
      <c r="D168" s="43">
        <f>'522'!G7</f>
        <v>0.15050000000002228</v>
      </c>
      <c r="E168">
        <v>522</v>
      </c>
    </row>
    <row r="262" spans="4:5" ht="14.25">
      <c r="D262" s="43">
        <f>'435'!G4+'521'!G6</f>
        <v>0.19920000000001892</v>
      </c>
      <c r="E262" t="s">
        <v>839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847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848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840</v>
      </c>
    </row>
  </sheetData>
  <sheetProtection/>
  <printOptions/>
  <pageMargins left="0.7" right="0.7" top="0.75" bottom="0.75" header="0.3" footer="0.3"/>
  <pageSetup orientation="portrait" paperSize="9"/>
</worksheet>
</file>

<file path=xl/worksheets/sheet2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42540</v>
      </c>
      <c r="C1" s="3" t="s">
        <v>1</v>
      </c>
      <c r="D1" s="4">
        <v>65.4</v>
      </c>
      <c r="E1" s="5" t="s">
        <v>2</v>
      </c>
    </row>
    <row r="2" s="5" customFormat="1" ht="14.25">
      <c r="A2" s="6" t="s">
        <v>951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139</v>
      </c>
      <c r="B4" s="135">
        <v>5.66</v>
      </c>
      <c r="C4" s="64"/>
      <c r="D4" s="103">
        <f aca="true" t="shared" si="0" ref="D4:D10">C4*1</f>
        <v>0</v>
      </c>
      <c r="E4" s="114">
        <f aca="true" t="shared" si="1" ref="E4:E10">(B4+D4)*$D$1</f>
        <v>370.16400000000004</v>
      </c>
      <c r="F4" s="79">
        <v>370</v>
      </c>
      <c r="G4" s="14">
        <f aca="true" t="shared" si="2" ref="G4:G10">-E4+F4</f>
        <v>-0.1640000000000441</v>
      </c>
      <c r="H4" s="74"/>
    </row>
    <row r="5" spans="1:7" s="10" customFormat="1" ht="14.25">
      <c r="A5" s="15" t="s">
        <v>351</v>
      </c>
      <c r="B5" s="63">
        <v>10.73</v>
      </c>
      <c r="C5" s="64"/>
      <c r="D5" s="103">
        <f t="shared" si="0"/>
        <v>0</v>
      </c>
      <c r="E5" s="114">
        <f t="shared" si="1"/>
        <v>701.7420000000001</v>
      </c>
      <c r="F5" s="79">
        <v>702</v>
      </c>
      <c r="G5" s="77">
        <f t="shared" si="2"/>
        <v>0.2579999999999245</v>
      </c>
    </row>
    <row r="6" spans="1:8" s="10" customFormat="1" ht="14.25">
      <c r="A6" s="11" t="s">
        <v>905</v>
      </c>
      <c r="B6" s="63">
        <v>17.2</v>
      </c>
      <c r="C6" s="64"/>
      <c r="D6" s="103">
        <f t="shared" si="0"/>
        <v>0</v>
      </c>
      <c r="E6" s="114">
        <f t="shared" si="1"/>
        <v>1124.88</v>
      </c>
      <c r="F6" s="79">
        <v>1125</v>
      </c>
      <c r="G6" s="14">
        <f t="shared" si="2"/>
        <v>0.11999999999989086</v>
      </c>
      <c r="H6" s="74"/>
    </row>
    <row r="7" spans="1:8" s="10" customFormat="1" ht="14.25">
      <c r="A7" s="11" t="s">
        <v>121</v>
      </c>
      <c r="B7" s="63">
        <v>5.85</v>
      </c>
      <c r="C7" s="64"/>
      <c r="D7" s="103">
        <f t="shared" si="0"/>
        <v>0</v>
      </c>
      <c r="E7" s="114">
        <f t="shared" si="1"/>
        <v>382.59000000000003</v>
      </c>
      <c r="F7" s="79">
        <v>371</v>
      </c>
      <c r="G7" s="14">
        <f t="shared" si="2"/>
        <v>-11.590000000000032</v>
      </c>
      <c r="H7" s="74"/>
    </row>
    <row r="8" spans="1:8" s="10" customFormat="1" ht="14.25">
      <c r="A8" s="11" t="s">
        <v>227</v>
      </c>
      <c r="B8" s="135">
        <v>6</v>
      </c>
      <c r="C8" s="64"/>
      <c r="D8" s="103">
        <f t="shared" si="0"/>
        <v>0</v>
      </c>
      <c r="E8" s="114">
        <f t="shared" si="1"/>
        <v>392.40000000000003</v>
      </c>
      <c r="F8" s="79">
        <v>362</v>
      </c>
      <c r="G8" s="14">
        <f t="shared" si="2"/>
        <v>-30.400000000000034</v>
      </c>
      <c r="H8" s="74"/>
    </row>
    <row r="9" spans="1:7" s="10" customFormat="1" ht="14.25">
      <c r="A9" s="15" t="s">
        <v>431</v>
      </c>
      <c r="B9" s="63">
        <v>6.392</v>
      </c>
      <c r="C9" s="64"/>
      <c r="D9" s="103">
        <f t="shared" si="0"/>
        <v>0</v>
      </c>
      <c r="E9" s="114">
        <f t="shared" si="1"/>
        <v>418.0368000000001</v>
      </c>
      <c r="F9" s="79">
        <v>418</v>
      </c>
      <c r="G9" s="77">
        <f t="shared" si="2"/>
        <v>-0.036800000000084765</v>
      </c>
    </row>
    <row r="10" spans="1:8" s="10" customFormat="1" ht="14.25">
      <c r="A10" s="11" t="s">
        <v>954</v>
      </c>
      <c r="B10" s="63">
        <v>78.08</v>
      </c>
      <c r="C10" s="64"/>
      <c r="D10" s="103">
        <f t="shared" si="0"/>
        <v>0</v>
      </c>
      <c r="E10" s="114">
        <f t="shared" si="1"/>
        <v>5106.432000000001</v>
      </c>
      <c r="F10" s="79">
        <v>5176</v>
      </c>
      <c r="G10" s="14">
        <f t="shared" si="2"/>
        <v>69.5679999999993</v>
      </c>
      <c r="H10" s="74"/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 t="s">
        <v>952</v>
      </c>
    </row>
    <row r="15" ht="28.5">
      <c r="A15" s="98" t="s">
        <v>932</v>
      </c>
    </row>
    <row r="16" ht="14.25">
      <c r="B16" s="72"/>
    </row>
    <row r="17" ht="14.25">
      <c r="B17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770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846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845</v>
      </c>
    </row>
    <row r="170" spans="1:5" ht="14.25">
      <c r="A170" t="s">
        <v>844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839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847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848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840</v>
      </c>
    </row>
  </sheetData>
  <sheetProtection/>
  <printOptions/>
  <pageMargins left="0.7" right="0.7" top="0.75" bottom="0.75" header="0.3" footer="0.3"/>
  <pageSetup orientation="portrait" paperSize="9"/>
</worksheet>
</file>

<file path=xl/worksheets/sheet2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5" sqref="A15:A16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42543</v>
      </c>
      <c r="C1" s="3" t="s">
        <v>1</v>
      </c>
      <c r="D1" s="4">
        <v>64.52</v>
      </c>
      <c r="E1" s="5" t="s">
        <v>2</v>
      </c>
    </row>
    <row r="2" s="5" customFormat="1" ht="14.25">
      <c r="A2" s="6" t="s">
        <v>960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961</v>
      </c>
      <c r="B4" s="135">
        <f>19.18*0.9</f>
        <v>17.262</v>
      </c>
      <c r="C4" s="64"/>
      <c r="D4" s="103">
        <f aca="true" t="shared" si="0" ref="D4:D11">C4*1</f>
        <v>0</v>
      </c>
      <c r="E4" s="114">
        <f aca="true" t="shared" si="1" ref="E4:E11">(B4+D4)*$D$1</f>
        <v>1113.74424</v>
      </c>
      <c r="F4" s="137">
        <v>1114</v>
      </c>
      <c r="G4" s="14">
        <f aca="true" t="shared" si="2" ref="G4:G11">-E4+F4</f>
        <v>0.2557600000000093</v>
      </c>
      <c r="H4" s="74"/>
    </row>
    <row r="5" spans="1:7" s="10" customFormat="1" ht="14.25">
      <c r="A5" s="15" t="s">
        <v>121</v>
      </c>
      <c r="B5" s="135">
        <f>10.03*0.9</f>
        <v>9.027</v>
      </c>
      <c r="C5" s="64"/>
      <c r="D5" s="103">
        <f t="shared" si="0"/>
        <v>0</v>
      </c>
      <c r="E5" s="114">
        <f t="shared" si="1"/>
        <v>582.4220399999999</v>
      </c>
      <c r="F5" s="85">
        <v>583</v>
      </c>
      <c r="G5" s="77">
        <f t="shared" si="2"/>
        <v>0.5779600000000755</v>
      </c>
    </row>
    <row r="6" spans="1:8" s="10" customFormat="1" ht="14.25">
      <c r="A6" s="11" t="s">
        <v>51</v>
      </c>
      <c r="B6" s="63">
        <f>11.5*0.9</f>
        <v>10.35</v>
      </c>
      <c r="C6" s="64"/>
      <c r="D6" s="103">
        <f t="shared" si="0"/>
        <v>0</v>
      </c>
      <c r="E6" s="114">
        <f t="shared" si="1"/>
        <v>667.7819999999999</v>
      </c>
      <c r="F6" s="137">
        <v>668</v>
      </c>
      <c r="G6" s="14">
        <f t="shared" si="2"/>
        <v>0.21800000000007458</v>
      </c>
      <c r="H6" s="74"/>
    </row>
    <row r="7" spans="1:8" s="10" customFormat="1" ht="14.25">
      <c r="A7" s="11" t="s">
        <v>758</v>
      </c>
      <c r="B7" s="63">
        <f>39.04*0.9</f>
        <v>35.136</v>
      </c>
      <c r="C7" s="64"/>
      <c r="D7" s="103">
        <f t="shared" si="0"/>
        <v>0</v>
      </c>
      <c r="E7" s="114">
        <f t="shared" si="1"/>
        <v>2266.97472</v>
      </c>
      <c r="F7" s="137">
        <v>2267</v>
      </c>
      <c r="G7" s="14">
        <f t="shared" si="2"/>
        <v>0.025279999999838765</v>
      </c>
      <c r="H7" s="74"/>
    </row>
    <row r="8" spans="1:8" s="10" customFormat="1" ht="14.25">
      <c r="A8" s="11" t="s">
        <v>909</v>
      </c>
      <c r="B8" s="135">
        <f>13.48*0.9</f>
        <v>12.132000000000001</v>
      </c>
      <c r="C8" s="64"/>
      <c r="D8" s="103">
        <f t="shared" si="0"/>
        <v>0</v>
      </c>
      <c r="E8" s="114">
        <f t="shared" si="1"/>
        <v>782.7566400000001</v>
      </c>
      <c r="F8" s="138">
        <v>783</v>
      </c>
      <c r="G8" s="14">
        <f t="shared" si="2"/>
        <v>0.24335999999993874</v>
      </c>
      <c r="H8" s="74"/>
    </row>
    <row r="9" spans="1:8" s="10" customFormat="1" ht="14.25">
      <c r="A9" s="11" t="s">
        <v>962</v>
      </c>
      <c r="B9" s="135">
        <f>4.25*0.9</f>
        <v>3.825</v>
      </c>
      <c r="C9" s="64"/>
      <c r="D9" s="103">
        <f t="shared" si="0"/>
        <v>0</v>
      </c>
      <c r="E9" s="114">
        <f t="shared" si="1"/>
        <v>246.789</v>
      </c>
      <c r="F9" s="79">
        <v>247</v>
      </c>
      <c r="G9" s="14">
        <f t="shared" si="2"/>
        <v>0.21100000000001273</v>
      </c>
      <c r="H9" s="74"/>
    </row>
    <row r="10" spans="1:7" s="10" customFormat="1" ht="14.25">
      <c r="A10" s="15" t="s">
        <v>963</v>
      </c>
      <c r="B10" s="63">
        <f>14.4*0.9</f>
        <v>12.96</v>
      </c>
      <c r="C10" s="64"/>
      <c r="D10" s="103">
        <f t="shared" si="0"/>
        <v>0</v>
      </c>
      <c r="E10" s="114">
        <f t="shared" si="1"/>
        <v>836.1792</v>
      </c>
      <c r="F10" s="85">
        <v>836</v>
      </c>
      <c r="G10" s="77">
        <f t="shared" si="2"/>
        <v>-0.1792000000000371</v>
      </c>
    </row>
    <row r="11" spans="1:8" s="10" customFormat="1" ht="14.25">
      <c r="A11" s="11" t="s">
        <v>497</v>
      </c>
      <c r="B11" s="63">
        <f>25.69*0.9</f>
        <v>23.121000000000002</v>
      </c>
      <c r="C11" s="64"/>
      <c r="D11" s="103">
        <f t="shared" si="0"/>
        <v>0</v>
      </c>
      <c r="E11" s="114">
        <f t="shared" si="1"/>
        <v>1491.76692</v>
      </c>
      <c r="F11" s="137">
        <v>1492</v>
      </c>
      <c r="G11" s="14">
        <f t="shared" si="2"/>
        <v>0.23307999999997264</v>
      </c>
      <c r="H11" s="74"/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28.5">
      <c r="A16" s="98"/>
    </row>
    <row r="17" ht="14.25">
      <c r="B17" s="72"/>
    </row>
    <row r="18" ht="14.25">
      <c r="B18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770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846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845</v>
      </c>
    </row>
    <row r="171" spans="1:5" ht="14.25">
      <c r="A171" t="s">
        <v>844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839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847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848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840</v>
      </c>
    </row>
  </sheetData>
  <sheetProtection/>
  <printOptions/>
  <pageMargins left="0.7" right="0.7" top="0.75" bottom="0.75" header="0.3" footer="0.3"/>
  <pageSetup orientation="portrait" paperSize="9"/>
</worksheet>
</file>

<file path=xl/worksheets/sheet2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A14" sqref="A14:A15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42547</v>
      </c>
      <c r="C1" s="3" t="s">
        <v>1</v>
      </c>
      <c r="D1" s="4">
        <v>66.32</v>
      </c>
      <c r="E1" s="5" t="s">
        <v>2</v>
      </c>
    </row>
    <row r="2" s="5" customFormat="1" ht="14.25">
      <c r="A2" s="6" t="s">
        <v>965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497</v>
      </c>
      <c r="B4" s="135">
        <f>7.18*0.9</f>
        <v>6.462</v>
      </c>
      <c r="C4" s="64"/>
      <c r="D4" s="103">
        <f aca="true" t="shared" si="0" ref="D4:D10">C4*1</f>
        <v>0</v>
      </c>
      <c r="E4" s="114">
        <f>(B4+D4)*$D$1</f>
        <v>428.55983999999995</v>
      </c>
      <c r="F4" s="137">
        <v>429</v>
      </c>
      <c r="G4" s="14">
        <f aca="true" t="shared" si="1" ref="G4:G10">-E4+F4</f>
        <v>0.4401600000000485</v>
      </c>
      <c r="H4" s="74"/>
    </row>
    <row r="5" spans="1:7" s="10" customFormat="1" ht="14.25">
      <c r="A5" s="15" t="s">
        <v>953</v>
      </c>
      <c r="B5" s="135">
        <f>29.76*0.9</f>
        <v>26.784000000000002</v>
      </c>
      <c r="C5" s="64"/>
      <c r="D5" s="103">
        <f t="shared" si="0"/>
        <v>0</v>
      </c>
      <c r="E5" s="114">
        <f aca="true" t="shared" si="2" ref="E5:E10">(B5+D5)*$D$1</f>
        <v>1776.31488</v>
      </c>
      <c r="F5" s="79">
        <v>1777</v>
      </c>
      <c r="G5" s="77">
        <f t="shared" si="1"/>
        <v>0.6851200000000972</v>
      </c>
    </row>
    <row r="6" spans="1:8" s="10" customFormat="1" ht="14.25">
      <c r="A6" s="11" t="s">
        <v>963</v>
      </c>
      <c r="B6" s="63">
        <f>5.4*0.9</f>
        <v>4.86</v>
      </c>
      <c r="C6" s="64"/>
      <c r="D6" s="103">
        <f t="shared" si="0"/>
        <v>0</v>
      </c>
      <c r="E6" s="114">
        <f t="shared" si="2"/>
        <v>322.3152</v>
      </c>
      <c r="F6" s="137">
        <v>322</v>
      </c>
      <c r="G6" s="14">
        <f t="shared" si="1"/>
        <v>-0.31520000000000437</v>
      </c>
      <c r="H6" s="74"/>
    </row>
    <row r="7" spans="1:8" s="10" customFormat="1" ht="14.25">
      <c r="A7" s="11" t="s">
        <v>442</v>
      </c>
      <c r="B7" s="63">
        <f>3.81*0.9</f>
        <v>3.4290000000000003</v>
      </c>
      <c r="C7" s="64"/>
      <c r="D7" s="103">
        <f t="shared" si="0"/>
        <v>0</v>
      </c>
      <c r="E7" s="114">
        <f t="shared" si="2"/>
        <v>227.41128</v>
      </c>
      <c r="F7" s="137">
        <v>227</v>
      </c>
      <c r="G7" s="14">
        <f t="shared" si="1"/>
        <v>-0.411280000000005</v>
      </c>
      <c r="H7" s="74"/>
    </row>
    <row r="8" spans="1:8" s="10" customFormat="1" ht="15" thickBot="1">
      <c r="A8" s="11" t="s">
        <v>227</v>
      </c>
      <c r="B8" s="135">
        <f>16.63*0.9</f>
        <v>14.966999999999999</v>
      </c>
      <c r="C8" s="64"/>
      <c r="D8" s="103">
        <f t="shared" si="0"/>
        <v>0</v>
      </c>
      <c r="E8" s="114">
        <f t="shared" si="2"/>
        <v>992.6114399999998</v>
      </c>
      <c r="F8" s="108">
        <v>993</v>
      </c>
      <c r="G8" s="14">
        <f t="shared" si="1"/>
        <v>0.3885600000002114</v>
      </c>
      <c r="H8" s="74"/>
    </row>
    <row r="9" spans="1:8" s="10" customFormat="1" ht="14.25">
      <c r="A9" s="11" t="s">
        <v>758</v>
      </c>
      <c r="B9" s="135">
        <f>51.38*0.9</f>
        <v>46.242000000000004</v>
      </c>
      <c r="C9" s="64"/>
      <c r="D9" s="103">
        <f t="shared" si="0"/>
        <v>0</v>
      </c>
      <c r="E9" s="114">
        <f t="shared" si="2"/>
        <v>3066.76944</v>
      </c>
      <c r="F9" s="79">
        <v>3067</v>
      </c>
      <c r="G9" s="14">
        <f t="shared" si="1"/>
        <v>0.23055999999996857</v>
      </c>
      <c r="H9" s="74"/>
    </row>
    <row r="10" spans="1:7" s="10" customFormat="1" ht="14.25">
      <c r="A10" s="15" t="s">
        <v>738</v>
      </c>
      <c r="B10" s="63">
        <f>16.65*0.9</f>
        <v>14.985</v>
      </c>
      <c r="C10" s="64"/>
      <c r="D10" s="103">
        <f t="shared" si="0"/>
        <v>0</v>
      </c>
      <c r="E10" s="114">
        <f t="shared" si="2"/>
        <v>993.8051999999999</v>
      </c>
      <c r="F10" s="79">
        <v>994</v>
      </c>
      <c r="G10" s="77">
        <f t="shared" si="1"/>
        <v>0.19480000000010023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28.5">
      <c r="A15" s="98"/>
    </row>
    <row r="16" ht="14.25">
      <c r="B16" s="72"/>
    </row>
    <row r="17" ht="14.25">
      <c r="B17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770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846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845</v>
      </c>
    </row>
    <row r="170" spans="1:5" ht="14.25">
      <c r="A170" t="s">
        <v>844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839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847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848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840</v>
      </c>
    </row>
  </sheetData>
  <sheetProtection/>
  <printOptions/>
  <pageMargins left="0.7" right="0.7" top="0.75" bottom="0.75" header="0.3" footer="0.3"/>
  <pageSetup orientation="portrait" paperSize="9"/>
</worksheet>
</file>

<file path=xl/worksheets/sheet2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A10" sqref="A10:A11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42547</v>
      </c>
      <c r="C1" s="3" t="s">
        <v>1</v>
      </c>
      <c r="D1" s="4">
        <v>66.32</v>
      </c>
      <c r="E1" s="5" t="s">
        <v>2</v>
      </c>
    </row>
    <row r="2" s="5" customFormat="1" ht="14.25">
      <c r="A2" s="6" t="s">
        <v>965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88</v>
      </c>
      <c r="B4" s="135">
        <f>26.04*0.9</f>
        <v>23.436</v>
      </c>
      <c r="C4" s="64"/>
      <c r="D4" s="103">
        <f>C4*1</f>
        <v>0</v>
      </c>
      <c r="E4" s="114">
        <f>(B4+D4)*$D$1</f>
        <v>1554.27552</v>
      </c>
      <c r="F4" s="137">
        <v>1554</v>
      </c>
      <c r="G4" s="14">
        <f>-E4+F4</f>
        <v>-0.27551999999991494</v>
      </c>
      <c r="H4" s="74"/>
    </row>
    <row r="5" spans="1:7" s="10" customFormat="1" ht="14.25">
      <c r="A5" s="15" t="s">
        <v>506</v>
      </c>
      <c r="B5" s="135">
        <f>133.34*0.9</f>
        <v>120.006</v>
      </c>
      <c r="C5" s="64"/>
      <c r="D5" s="103">
        <f>C5*1</f>
        <v>0</v>
      </c>
      <c r="E5" s="114">
        <f>(B5+D5)*$D$1</f>
        <v>7958.797919999999</v>
      </c>
      <c r="F5" s="85">
        <v>7959</v>
      </c>
      <c r="G5" s="77">
        <f>-E5+F5</f>
        <v>0.20208000000093307</v>
      </c>
    </row>
    <row r="6" spans="1:8" s="10" customFormat="1" ht="14.25">
      <c r="A6" s="11" t="s">
        <v>966</v>
      </c>
      <c r="B6" s="63">
        <f>11.02*0.9</f>
        <v>9.918</v>
      </c>
      <c r="C6" s="64"/>
      <c r="D6" s="103">
        <f>C6*1</f>
        <v>0</v>
      </c>
      <c r="E6" s="114">
        <f>(B6+D6)*$D$1</f>
        <v>657.7617599999999</v>
      </c>
      <c r="F6" s="137">
        <v>658</v>
      </c>
      <c r="G6" s="14">
        <f>-E6+F6</f>
        <v>0.23824000000013257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ht="14.25">
      <c r="B12" s="72"/>
    </row>
    <row r="13" ht="14.25">
      <c r="B13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770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846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845</v>
      </c>
    </row>
    <row r="166" spans="1:5" ht="14.25">
      <c r="A166" t="s">
        <v>844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839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847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848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840</v>
      </c>
    </row>
  </sheetData>
  <sheetProtection/>
  <printOptions/>
  <pageMargins left="0.7" right="0.7" top="0.75" bottom="0.75" header="0.3" footer="0.3"/>
  <pageSetup orientation="portrait" paperSize="9"/>
</worksheet>
</file>

<file path=xl/worksheets/sheet2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A14" sqref="A14:IV15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42551</v>
      </c>
      <c r="C1" s="3" t="s">
        <v>1</v>
      </c>
      <c r="D1" s="4">
        <v>64.5</v>
      </c>
      <c r="E1" s="5" t="s">
        <v>2</v>
      </c>
    </row>
    <row r="2" s="5" customFormat="1" ht="14.25">
      <c r="A2" s="6" t="s">
        <v>969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970</v>
      </c>
      <c r="B4" s="135">
        <f>40.63*0.9</f>
        <v>36.567</v>
      </c>
      <c r="C4" s="64"/>
      <c r="D4" s="103">
        <f aca="true" t="shared" si="0" ref="D4:D10">C4*1</f>
        <v>0</v>
      </c>
      <c r="E4" s="114">
        <f>(B4+D4)*$D$1</f>
        <v>2358.5715</v>
      </c>
      <c r="F4" s="137">
        <v>2359</v>
      </c>
      <c r="G4" s="14">
        <f aca="true" t="shared" si="1" ref="G4:G10">-E4+F4</f>
        <v>0.42849999999998545</v>
      </c>
      <c r="H4" s="74"/>
    </row>
    <row r="5" spans="1:7" s="10" customFormat="1" ht="14.25">
      <c r="A5" s="15" t="s">
        <v>971</v>
      </c>
      <c r="B5" s="135">
        <f>4.95*0.9</f>
        <v>4.455</v>
      </c>
      <c r="C5" s="64"/>
      <c r="D5" s="103">
        <f t="shared" si="0"/>
        <v>0</v>
      </c>
      <c r="E5" s="114">
        <f aca="true" t="shared" si="2" ref="E5:E10">(B5+D5)*$D$1</f>
        <v>287.3475</v>
      </c>
      <c r="F5" s="79">
        <v>287</v>
      </c>
      <c r="G5" s="77">
        <f t="shared" si="1"/>
        <v>-0.347500000000025</v>
      </c>
    </row>
    <row r="6" spans="1:8" s="10" customFormat="1" ht="14.25">
      <c r="A6" s="11" t="s">
        <v>449</v>
      </c>
      <c r="B6" s="63">
        <f>15*0.9</f>
        <v>13.5</v>
      </c>
      <c r="C6" s="64"/>
      <c r="D6" s="103">
        <f t="shared" si="0"/>
        <v>0</v>
      </c>
      <c r="E6" s="114">
        <f t="shared" si="2"/>
        <v>870.75</v>
      </c>
      <c r="F6" s="137">
        <v>872</v>
      </c>
      <c r="G6" s="14">
        <f t="shared" si="1"/>
        <v>1.25</v>
      </c>
      <c r="H6" s="74"/>
    </row>
    <row r="7" spans="1:8" s="10" customFormat="1" ht="14.25">
      <c r="A7" s="11" t="s">
        <v>938</v>
      </c>
      <c r="B7" s="63">
        <f>11.01*0.9</f>
        <v>9.909</v>
      </c>
      <c r="C7" s="64"/>
      <c r="D7" s="103">
        <f t="shared" si="0"/>
        <v>0</v>
      </c>
      <c r="E7" s="114">
        <f t="shared" si="2"/>
        <v>639.1305000000001</v>
      </c>
      <c r="F7" s="79">
        <v>639</v>
      </c>
      <c r="G7" s="14">
        <f t="shared" si="1"/>
        <v>-0.13050000000009732</v>
      </c>
      <c r="H7" s="74"/>
    </row>
    <row r="8" spans="1:8" s="10" customFormat="1" ht="14.25">
      <c r="A8" s="11" t="s">
        <v>758</v>
      </c>
      <c r="B8" s="135">
        <f>26.86*0.9</f>
        <v>24.174</v>
      </c>
      <c r="C8" s="64"/>
      <c r="D8" s="103">
        <f t="shared" si="0"/>
        <v>0</v>
      </c>
      <c r="E8" s="114">
        <f t="shared" si="2"/>
        <v>1559.223</v>
      </c>
      <c r="F8" s="85">
        <v>1559</v>
      </c>
      <c r="G8" s="14">
        <f>-E8+F8</f>
        <v>-0.22299999999995634</v>
      </c>
      <c r="H8" s="74"/>
    </row>
    <row r="9" spans="1:8" s="10" customFormat="1" ht="14.25">
      <c r="A9" s="11" t="s">
        <v>506</v>
      </c>
      <c r="B9" s="135">
        <f>23.43*0.9</f>
        <v>21.087</v>
      </c>
      <c r="C9" s="64"/>
      <c r="D9" s="103">
        <f t="shared" si="0"/>
        <v>0</v>
      </c>
      <c r="E9" s="114">
        <f t="shared" si="2"/>
        <v>1360.1115</v>
      </c>
      <c r="F9" s="137">
        <v>1360</v>
      </c>
      <c r="G9" s="14">
        <f>-E9+F9</f>
        <v>-0.11149999999997817</v>
      </c>
      <c r="H9" s="74"/>
    </row>
    <row r="10" spans="1:7" s="10" customFormat="1" ht="14.25">
      <c r="A10" s="15" t="s">
        <v>972</v>
      </c>
      <c r="B10" s="63">
        <f>16.14*0.9</f>
        <v>14.526000000000002</v>
      </c>
      <c r="C10" s="64"/>
      <c r="D10" s="103">
        <f t="shared" si="0"/>
        <v>0</v>
      </c>
      <c r="E10" s="114">
        <f t="shared" si="2"/>
        <v>936.9270000000001</v>
      </c>
      <c r="F10" s="137">
        <v>937</v>
      </c>
      <c r="G10" s="77">
        <f t="shared" si="1"/>
        <v>0.0729999999998654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28.5">
      <c r="A15" s="98"/>
    </row>
    <row r="16" ht="14.25">
      <c r="B16" s="72"/>
    </row>
    <row r="17" ht="14.25">
      <c r="B17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770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846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845</v>
      </c>
    </row>
    <row r="170" spans="1:5" ht="14.25">
      <c r="A170" t="s">
        <v>844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839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847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848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840</v>
      </c>
    </row>
  </sheetData>
  <sheetProtection/>
  <printOptions/>
  <pageMargins left="0.7" right="0.7" top="0.75" bottom="0.75" header="0.3" footer="0.3"/>
  <pageSetup orientation="portrait" paperSize="9"/>
</worksheet>
</file>

<file path=xl/worksheets/sheet2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42551</v>
      </c>
      <c r="C1" s="3" t="s">
        <v>1</v>
      </c>
      <c r="D1" s="4">
        <v>64.5</v>
      </c>
      <c r="E1" s="5" t="s">
        <v>2</v>
      </c>
    </row>
    <row r="2" s="5" customFormat="1" ht="14.25">
      <c r="A2" s="6" t="s">
        <v>969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552</v>
      </c>
      <c r="B4" s="135">
        <f>88.26*0.9</f>
        <v>79.43400000000001</v>
      </c>
      <c r="C4" s="64"/>
      <c r="D4" s="103">
        <f>C4*1</f>
        <v>0</v>
      </c>
      <c r="E4" s="114">
        <f>(B4+D4)*$D$1</f>
        <v>5123.493</v>
      </c>
      <c r="F4" s="85">
        <v>5120</v>
      </c>
      <c r="G4" s="14">
        <f>-E4+F4</f>
        <v>-3.493000000000393</v>
      </c>
      <c r="H4" s="74"/>
    </row>
    <row r="5" spans="1:7" s="10" customFormat="1" ht="14.25">
      <c r="A5" s="15" t="s">
        <v>953</v>
      </c>
      <c r="B5" s="135">
        <f>47.75*0.9</f>
        <v>42.975</v>
      </c>
      <c r="C5" s="64"/>
      <c r="D5" s="103">
        <f>C5*1</f>
        <v>0</v>
      </c>
      <c r="E5" s="114">
        <f>(B5+D5)*$D$1</f>
        <v>2771.8875000000003</v>
      </c>
      <c r="F5" s="85">
        <v>2772</v>
      </c>
      <c r="G5" s="77">
        <f>-E5+F5</f>
        <v>0.11249999999972715</v>
      </c>
    </row>
    <row r="6" spans="1:8" s="10" customFormat="1" ht="14.25">
      <c r="A6" s="11" t="s">
        <v>34</v>
      </c>
      <c r="B6" s="63">
        <f>26*0.9</f>
        <v>23.400000000000002</v>
      </c>
      <c r="C6" s="64"/>
      <c r="D6" s="103">
        <f>C6*1</f>
        <v>0</v>
      </c>
      <c r="E6" s="114">
        <f>(B6+D6)*$D$1</f>
        <v>1509.3000000000002</v>
      </c>
      <c r="F6" s="79">
        <v>1509</v>
      </c>
      <c r="G6" s="14">
        <f>-E6+F6</f>
        <v>-0.3000000000001819</v>
      </c>
      <c r="H6" s="74"/>
    </row>
    <row r="7" spans="1:8" s="10" customFormat="1" ht="14.25">
      <c r="A7" s="11" t="s">
        <v>525</v>
      </c>
      <c r="B7" s="63">
        <f>81.47*0.9</f>
        <v>73.32300000000001</v>
      </c>
      <c r="C7" s="64"/>
      <c r="D7" s="103">
        <f>C7*1</f>
        <v>0</v>
      </c>
      <c r="E7" s="114">
        <f>(B7+D7)*$D$1</f>
        <v>4729.333500000001</v>
      </c>
      <c r="F7" s="79">
        <v>4729</v>
      </c>
      <c r="G7" s="14">
        <f>-E7+F7</f>
        <v>-0.3335000000006403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770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846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845</v>
      </c>
    </row>
    <row r="167" spans="1:5" ht="14.25">
      <c r="A167" t="s">
        <v>844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839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847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848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840</v>
      </c>
    </row>
  </sheetData>
  <sheetProtection/>
  <printOptions/>
  <pageMargins left="0.7" right="0.7" top="0.75" bottom="0.75" header="0.3" footer="0.3"/>
  <pageSetup orientation="portrait" paperSize="9"/>
</worksheet>
</file>

<file path=xl/worksheets/sheet2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42555</v>
      </c>
      <c r="C1" s="3" t="s">
        <v>1</v>
      </c>
      <c r="D1" s="4">
        <v>64.52</v>
      </c>
      <c r="E1" s="5" t="s">
        <v>2</v>
      </c>
    </row>
    <row r="2" s="5" customFormat="1" ht="14.25">
      <c r="A2" s="6" t="s">
        <v>974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525</v>
      </c>
      <c r="B4" s="135">
        <f>5.39*0.9</f>
        <v>4.851</v>
      </c>
      <c r="C4" s="64"/>
      <c r="D4" s="103">
        <f>C4*1</f>
        <v>0</v>
      </c>
      <c r="E4" s="114">
        <f>(B4+D4)*$D$1</f>
        <v>312.98652</v>
      </c>
      <c r="F4" s="85">
        <v>313</v>
      </c>
      <c r="G4" s="14">
        <f>-E4+F4</f>
        <v>0.01348000000001548</v>
      </c>
      <c r="H4" s="74"/>
    </row>
    <row r="5" spans="1:7" s="10" customFormat="1" ht="14.25">
      <c r="A5" s="15" t="s">
        <v>185</v>
      </c>
      <c r="B5" s="135">
        <f>2.99*0.9</f>
        <v>2.6910000000000003</v>
      </c>
      <c r="C5" s="64"/>
      <c r="D5" s="103">
        <f>C5*1</f>
        <v>0</v>
      </c>
      <c r="E5" s="114">
        <f>(B5+D5)*$D$1</f>
        <v>173.62332</v>
      </c>
      <c r="F5" s="85">
        <v>174</v>
      </c>
      <c r="G5" s="77">
        <f>-E5+F5</f>
        <v>0.37667999999999324</v>
      </c>
    </row>
    <row r="6" spans="1:8" s="10" customFormat="1" ht="14.25">
      <c r="A6" s="11" t="s">
        <v>975</v>
      </c>
      <c r="B6" s="63">
        <f>10.85*0.9</f>
        <v>9.765</v>
      </c>
      <c r="C6" s="64"/>
      <c r="D6" s="103">
        <f>C6*1</f>
        <v>0</v>
      </c>
      <c r="E6" s="114">
        <f>(B6+D6)*$D$1</f>
        <v>630.0378</v>
      </c>
      <c r="F6" s="79">
        <v>630</v>
      </c>
      <c r="G6" s="14">
        <f>-E6+F6</f>
        <v>-0.03779999999994743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ht="14.25">
      <c r="B12" s="72"/>
    </row>
    <row r="13" ht="14.25">
      <c r="B13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770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846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845</v>
      </c>
    </row>
    <row r="166" spans="1:5" ht="14.25">
      <c r="A166" t="s">
        <v>844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839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847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848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840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4.25">
      <c r="A2" s="6" t="s">
        <v>371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355</v>
      </c>
      <c r="B4" s="63">
        <v>51.65</v>
      </c>
      <c r="C4" s="64">
        <v>1.43</v>
      </c>
      <c r="D4" s="11">
        <f>C4/$C$8*$D$8</f>
        <v>2.8657314629258512</v>
      </c>
      <c r="E4" s="11">
        <f>(B4+D4)*$D$1</f>
        <v>3354.8981142284565</v>
      </c>
      <c r="F4" s="78">
        <v>3358</v>
      </c>
      <c r="G4" s="14">
        <f>-E4+F4</f>
        <v>3.1018857715434933</v>
      </c>
      <c r="H4" s="74"/>
    </row>
    <row r="5" spans="1:7" s="10" customFormat="1" ht="14.25">
      <c r="A5" s="15" t="s">
        <v>183</v>
      </c>
      <c r="B5" s="63">
        <v>24.156</v>
      </c>
      <c r="C5" s="64">
        <v>0.82</v>
      </c>
      <c r="D5" s="11">
        <f>C5/$C$8*$D$8</f>
        <v>1.6432865731462922</v>
      </c>
      <c r="E5" s="76">
        <f>(B5+D5)*$D$1</f>
        <v>1587.6880957114226</v>
      </c>
      <c r="F5" s="79">
        <v>1565</v>
      </c>
      <c r="G5" s="77">
        <f>-E5+F5</f>
        <v>-22.688095711422648</v>
      </c>
    </row>
    <row r="6" spans="1:7" s="10" customFormat="1" ht="14.25">
      <c r="A6" s="15" t="s">
        <v>268</v>
      </c>
      <c r="B6" s="12">
        <v>13.97</v>
      </c>
      <c r="C6" s="12">
        <v>1.05</v>
      </c>
      <c r="D6" s="11">
        <f>C6/$C$8*$D$8</f>
        <v>2.104208416833667</v>
      </c>
      <c r="E6" s="11">
        <f>(B6+D6)*$D$1</f>
        <v>989.2067859719439</v>
      </c>
      <c r="F6" s="69">
        <v>984</v>
      </c>
      <c r="G6" s="14">
        <f>-E6+F6</f>
        <v>-5.206785971943873</v>
      </c>
    </row>
    <row r="7" spans="1:7" s="10" customFormat="1" ht="14.25">
      <c r="A7" s="15" t="s">
        <v>10</v>
      </c>
      <c r="B7" s="24"/>
      <c r="C7" s="12">
        <v>1.69</v>
      </c>
      <c r="D7" s="11">
        <f>C7/$C$8*$D$8</f>
        <v>3.386773547094188</v>
      </c>
      <c r="E7" s="24"/>
      <c r="F7" s="24"/>
      <c r="G7" s="24"/>
    </row>
    <row r="8" spans="1:7" s="25" customFormat="1" ht="14.25">
      <c r="A8" s="24"/>
      <c r="B8" s="24"/>
      <c r="C8" s="24">
        <f>SUM(C4:C7)</f>
        <v>4.99</v>
      </c>
      <c r="D8" s="24">
        <v>10</v>
      </c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2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42558</v>
      </c>
      <c r="C1" s="3" t="s">
        <v>1</v>
      </c>
      <c r="D1" s="4">
        <v>65.08</v>
      </c>
      <c r="E1" s="5" t="s">
        <v>2</v>
      </c>
    </row>
    <row r="2" s="5" customFormat="1" ht="14.25">
      <c r="A2" s="6" t="s">
        <v>977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978</v>
      </c>
      <c r="B4" s="135">
        <v>29.74</v>
      </c>
      <c r="C4" s="64"/>
      <c r="D4" s="103">
        <f>C4*1</f>
        <v>0</v>
      </c>
      <c r="E4" s="114">
        <f>(B4+D4)*$D$1</f>
        <v>1935.4791999999998</v>
      </c>
      <c r="F4" s="85">
        <v>1935</v>
      </c>
      <c r="G4" s="14">
        <f>-E4+F4</f>
        <v>-0.47919999999976426</v>
      </c>
      <c r="H4" s="74"/>
    </row>
    <row r="5" spans="1:7" s="10" customFormat="1" ht="14.25">
      <c r="A5" s="15" t="s">
        <v>409</v>
      </c>
      <c r="B5" s="135">
        <v>31.03</v>
      </c>
      <c r="C5" s="64"/>
      <c r="D5" s="103">
        <f>C5*1</f>
        <v>0</v>
      </c>
      <c r="E5" s="114">
        <f>(B5+D5)*$D$1</f>
        <v>2019.4324</v>
      </c>
      <c r="F5" s="106">
        <f>1860+160</f>
        <v>2020</v>
      </c>
      <c r="G5" s="77">
        <f>-E5+F5</f>
        <v>0.567600000000084</v>
      </c>
    </row>
    <row r="6" spans="1:8" s="10" customFormat="1" ht="14.25">
      <c r="A6" s="11" t="s">
        <v>497</v>
      </c>
      <c r="B6" s="63">
        <v>18.99</v>
      </c>
      <c r="C6" s="64"/>
      <c r="D6" s="103">
        <f>C6*1</f>
        <v>0</v>
      </c>
      <c r="E6" s="114">
        <f>(B6+D6)*$D$1</f>
        <v>1235.8691999999999</v>
      </c>
      <c r="F6" s="79">
        <v>1236</v>
      </c>
      <c r="G6" s="14">
        <f>-E6+F6</f>
        <v>0.1308000000001357</v>
      </c>
      <c r="H6" s="74"/>
    </row>
    <row r="7" spans="1:8" s="10" customFormat="1" ht="14.25">
      <c r="A7" s="11" t="s">
        <v>979</v>
      </c>
      <c r="B7" s="63">
        <v>34.87</v>
      </c>
      <c r="C7" s="64"/>
      <c r="D7" s="103">
        <f>C7*1</f>
        <v>0</v>
      </c>
      <c r="E7" s="114">
        <f>(B7+D7)*$D$1</f>
        <v>2269.3396</v>
      </c>
      <c r="F7" s="79">
        <v>2269</v>
      </c>
      <c r="G7" s="14">
        <f>-E7+F7</f>
        <v>-0.3395999999997912</v>
      </c>
      <c r="H7" s="74"/>
    </row>
    <row r="8" spans="1:7" s="25" customFormat="1" ht="14.25">
      <c r="A8" s="24"/>
      <c r="B8" s="24"/>
      <c r="C8" s="24"/>
      <c r="D8" s="24"/>
      <c r="E8" s="24"/>
      <c r="F8" s="105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770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846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845</v>
      </c>
    </row>
    <row r="167" spans="1:5" ht="14.25">
      <c r="A167" t="s">
        <v>844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839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847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848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840</v>
      </c>
    </row>
  </sheetData>
  <sheetProtection/>
  <printOptions/>
  <pageMargins left="0.7" right="0.7" top="0.75" bottom="0.75" header="0.3" footer="0.3"/>
  <pageSetup orientation="portrait" paperSize="9"/>
</worksheet>
</file>

<file path=xl/worksheets/sheet2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42558</v>
      </c>
      <c r="C1" s="3" t="s">
        <v>1</v>
      </c>
      <c r="D1" s="4">
        <v>65.08</v>
      </c>
      <c r="E1" s="5" t="s">
        <v>2</v>
      </c>
    </row>
    <row r="2" s="5" customFormat="1" ht="14.25">
      <c r="A2" s="6" t="s">
        <v>977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758</v>
      </c>
      <c r="B4" s="135">
        <v>36.24</v>
      </c>
      <c r="C4" s="64"/>
      <c r="D4" s="103">
        <f>C4*1</f>
        <v>0</v>
      </c>
      <c r="E4" s="114">
        <f>(B4+D4)*$D$1</f>
        <v>2358.4992</v>
      </c>
      <c r="F4" s="79">
        <v>2358</v>
      </c>
      <c r="G4" s="14">
        <f>-E4+F4</f>
        <v>-0.4992000000002008</v>
      </c>
      <c r="H4" s="74"/>
    </row>
    <row r="5" spans="1:7" s="10" customFormat="1" ht="14.25">
      <c r="A5" s="15" t="s">
        <v>234</v>
      </c>
      <c r="B5" s="135">
        <v>15</v>
      </c>
      <c r="C5" s="64"/>
      <c r="D5" s="103">
        <f>C5*1</f>
        <v>0</v>
      </c>
      <c r="E5" s="114">
        <f>(B5+D5)*$D$1</f>
        <v>976.1999999999999</v>
      </c>
      <c r="F5" s="79">
        <v>976</v>
      </c>
      <c r="G5" s="77">
        <f>-E5+F5</f>
        <v>-0.1999999999999318</v>
      </c>
    </row>
    <row r="6" spans="1:8" s="10" customFormat="1" ht="14.25">
      <c r="A6" s="11" t="s">
        <v>194</v>
      </c>
      <c r="B6" s="63">
        <v>11.01</v>
      </c>
      <c r="C6" s="64"/>
      <c r="D6" s="103">
        <f>C6*1</f>
        <v>0</v>
      </c>
      <c r="E6" s="114">
        <f>(B6+D6)*$D$1</f>
        <v>716.5308</v>
      </c>
      <c r="F6" s="79">
        <v>717</v>
      </c>
      <c r="G6" s="14">
        <f>-E6+F6</f>
        <v>0.4692000000000007</v>
      </c>
      <c r="H6" s="74"/>
    </row>
    <row r="7" spans="1:8" s="10" customFormat="1" ht="14.25">
      <c r="A7" s="11" t="s">
        <v>980</v>
      </c>
      <c r="B7" s="63">
        <v>32</v>
      </c>
      <c r="C7" s="64"/>
      <c r="D7" s="103">
        <f>C7*1</f>
        <v>0</v>
      </c>
      <c r="E7" s="114">
        <f>(B7+D7)*$D$1</f>
        <v>2082.56</v>
      </c>
      <c r="F7" s="79">
        <v>2083</v>
      </c>
      <c r="G7" s="14">
        <f>-E7+F7</f>
        <v>0.44000000000005457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770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846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845</v>
      </c>
    </row>
    <row r="167" spans="1:5" ht="14.25">
      <c r="A167" t="s">
        <v>844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839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847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848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840</v>
      </c>
    </row>
  </sheetData>
  <sheetProtection/>
  <printOptions/>
  <pageMargins left="0.7" right="0.7" top="0.75" bottom="0.75" header="0.3" footer="0.3"/>
  <pageSetup orientation="portrait" paperSize="9"/>
</worksheet>
</file>

<file path=xl/worksheets/sheet2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90"/>
  <sheetViews>
    <sheetView zoomScalePageLayoutView="0" workbookViewId="0" topLeftCell="A4">
      <selection activeCell="A16" sqref="A16:IV1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42562</v>
      </c>
      <c r="C1" s="3" t="s">
        <v>1</v>
      </c>
      <c r="D1" s="4">
        <v>64.76</v>
      </c>
      <c r="E1" s="5" t="s">
        <v>2</v>
      </c>
    </row>
    <row r="2" s="5" customFormat="1" ht="14.25">
      <c r="A2" s="6" t="s">
        <v>984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525</v>
      </c>
      <c r="B4" s="135">
        <v>22.3</v>
      </c>
      <c r="C4" s="64"/>
      <c r="D4" s="103">
        <f aca="true" t="shared" si="0" ref="D4:D12">C4*1</f>
        <v>0</v>
      </c>
      <c r="E4" s="114">
        <f aca="true" t="shared" si="1" ref="E4:E12">(B4+D4)*$D$1</f>
        <v>1444.1480000000001</v>
      </c>
      <c r="F4" s="79">
        <v>1444</v>
      </c>
      <c r="G4" s="14">
        <f aca="true" t="shared" si="2" ref="G4:G12">-E4+F4</f>
        <v>-0.14800000000013824</v>
      </c>
      <c r="H4" s="74"/>
    </row>
    <row r="5" spans="1:7" s="10" customFormat="1" ht="14.25">
      <c r="A5" s="15" t="s">
        <v>188</v>
      </c>
      <c r="B5" s="135">
        <v>18.67</v>
      </c>
      <c r="C5" s="64"/>
      <c r="D5" s="103">
        <f t="shared" si="0"/>
        <v>0</v>
      </c>
      <c r="E5" s="114">
        <f t="shared" si="1"/>
        <v>1209.0692000000001</v>
      </c>
      <c r="F5" s="85">
        <v>1209</v>
      </c>
      <c r="G5" s="77">
        <f t="shared" si="2"/>
        <v>-0.06920000000013715</v>
      </c>
    </row>
    <row r="6" spans="1:8" s="10" customFormat="1" ht="14.25">
      <c r="A6" s="11" t="s">
        <v>758</v>
      </c>
      <c r="B6" s="63">
        <v>20.89</v>
      </c>
      <c r="C6" s="64"/>
      <c r="D6" s="103">
        <f t="shared" si="0"/>
        <v>0</v>
      </c>
      <c r="E6" s="114">
        <f t="shared" si="1"/>
        <v>1352.8364000000001</v>
      </c>
      <c r="F6" s="85">
        <v>1353</v>
      </c>
      <c r="G6" s="14">
        <f t="shared" si="2"/>
        <v>0.1635999999998603</v>
      </c>
      <c r="H6" s="74"/>
    </row>
    <row r="7" spans="1:8" s="10" customFormat="1" ht="14.25">
      <c r="A7" s="11" t="s">
        <v>35</v>
      </c>
      <c r="B7" s="63">
        <v>22.78</v>
      </c>
      <c r="C7" s="64"/>
      <c r="D7" s="103">
        <f t="shared" si="0"/>
        <v>0</v>
      </c>
      <c r="E7" s="114">
        <f t="shared" si="1"/>
        <v>1475.2328000000002</v>
      </c>
      <c r="F7" s="79">
        <v>1475</v>
      </c>
      <c r="G7" s="14">
        <f t="shared" si="2"/>
        <v>-0.23280000000022483</v>
      </c>
      <c r="H7" s="74"/>
    </row>
    <row r="8" spans="1:8" s="10" customFormat="1" ht="14.25">
      <c r="A8" s="11" t="s">
        <v>723</v>
      </c>
      <c r="B8" s="135">
        <v>26.75</v>
      </c>
      <c r="C8" s="64"/>
      <c r="D8" s="103">
        <f t="shared" si="0"/>
        <v>0</v>
      </c>
      <c r="E8" s="114">
        <f t="shared" si="1"/>
        <v>1732.3300000000002</v>
      </c>
      <c r="F8" s="85">
        <v>1732</v>
      </c>
      <c r="G8" s="14">
        <f t="shared" si="2"/>
        <v>-0.3300000000001546</v>
      </c>
      <c r="H8" s="74"/>
    </row>
    <row r="9" spans="1:7" s="10" customFormat="1" ht="14.25">
      <c r="A9" s="15" t="s">
        <v>898</v>
      </c>
      <c r="B9" s="63">
        <v>6.27</v>
      </c>
      <c r="C9" s="64"/>
      <c r="D9" s="103">
        <f t="shared" si="0"/>
        <v>0</v>
      </c>
      <c r="E9" s="114">
        <f t="shared" si="1"/>
        <v>406.0452</v>
      </c>
      <c r="F9" s="85">
        <v>406</v>
      </c>
      <c r="G9" s="77">
        <f t="shared" si="2"/>
        <v>-0.045200000000022555</v>
      </c>
    </row>
    <row r="10" spans="1:8" s="10" customFormat="1" ht="14.25">
      <c r="A10" s="11" t="s">
        <v>979</v>
      </c>
      <c r="B10" s="63">
        <v>11.46</v>
      </c>
      <c r="C10" s="64"/>
      <c r="D10" s="103">
        <f t="shared" si="0"/>
        <v>0</v>
      </c>
      <c r="E10" s="114">
        <f t="shared" si="1"/>
        <v>742.1496000000001</v>
      </c>
      <c r="F10" s="79">
        <v>742</v>
      </c>
      <c r="G10" s="14">
        <f t="shared" si="2"/>
        <v>-0.14960000000007767</v>
      </c>
      <c r="H10" s="74"/>
    </row>
    <row r="11" spans="1:8" s="10" customFormat="1" ht="14.25">
      <c r="A11" s="11" t="s">
        <v>506</v>
      </c>
      <c r="B11" s="63">
        <v>3.23</v>
      </c>
      <c r="C11" s="64"/>
      <c r="D11" s="103">
        <f t="shared" si="0"/>
        <v>0</v>
      </c>
      <c r="E11" s="114">
        <f t="shared" si="1"/>
        <v>209.1748</v>
      </c>
      <c r="F11" s="79">
        <v>209</v>
      </c>
      <c r="G11" s="14">
        <f t="shared" si="2"/>
        <v>-0.17480000000000473</v>
      </c>
      <c r="H11" s="74"/>
    </row>
    <row r="12" spans="1:8" s="10" customFormat="1" ht="14.25">
      <c r="A12" s="11" t="s">
        <v>415</v>
      </c>
      <c r="B12" s="63">
        <v>15.4</v>
      </c>
      <c r="C12" s="64"/>
      <c r="D12" s="103">
        <f t="shared" si="0"/>
        <v>0</v>
      </c>
      <c r="E12" s="114">
        <f t="shared" si="1"/>
        <v>997.3040000000001</v>
      </c>
      <c r="F12" s="79">
        <v>997</v>
      </c>
      <c r="G12" s="14">
        <f t="shared" si="2"/>
        <v>-0.3040000000000873</v>
      </c>
      <c r="H12" s="74"/>
    </row>
    <row r="13" spans="1:7" s="25" customFormat="1" ht="14.25">
      <c r="A13" s="24"/>
      <c r="B13" s="24"/>
      <c r="C13" s="24"/>
      <c r="D13" s="24"/>
      <c r="E13" s="24"/>
      <c r="F13" s="24"/>
      <c r="G13" s="24"/>
    </row>
    <row r="15" ht="28.5">
      <c r="A15" s="98"/>
    </row>
    <row r="16" ht="28.5">
      <c r="A16" s="98"/>
    </row>
    <row r="17" ht="28.5">
      <c r="A17" s="98"/>
    </row>
    <row r="18" ht="14.25">
      <c r="B18" s="72"/>
    </row>
    <row r="19" ht="14.25">
      <c r="B19" s="72"/>
    </row>
    <row r="23" spans="4:5" ht="14.25">
      <c r="D23" s="43"/>
      <c r="E23" s="132"/>
    </row>
    <row r="34" spans="4:5" ht="14.25">
      <c r="D34" s="43">
        <f>B34+C34+'303'!G8+'313'!G7+'323'!G8+'345'!G5+'382'!G8+'383'!G8+'401'!G7+'426'!G6+'441'!G6+'457'!G5+'483'!G6+'500'!G4+'505'!G4+'531'!G13+'564'!G7</f>
        <v>0.10936026540684907</v>
      </c>
      <c r="E34" s="132" t="s">
        <v>988</v>
      </c>
    </row>
    <row r="102" spans="4:5" ht="14.25">
      <c r="D102" s="43">
        <f>'539'!G12+'564'!G9</f>
        <v>0.21879999999998745</v>
      </c>
      <c r="E102" t="s">
        <v>993</v>
      </c>
    </row>
    <row r="119" spans="4:5" ht="14.25">
      <c r="D119" s="43">
        <f>'562'!G7+'564'!G10</f>
        <v>-0.48919999999986885</v>
      </c>
      <c r="E119" t="s">
        <v>992</v>
      </c>
    </row>
    <row r="130" spans="4:5" ht="14.25">
      <c r="D130" s="43">
        <f>B130+C130+'309'!G4+'316'!G4+'319'!G4+'339'!G9+'340'!G4+'372'!G7+'381'!G4+'391'!G7+'404'!G6+'411'!G4+'412'!G8+'416'!G4+'429'!G4+'485'!G4+'522'!G5</f>
        <v>4.579371965812413</v>
      </c>
      <c r="E130" s="132" t="s">
        <v>846</v>
      </c>
    </row>
    <row r="135" spans="4:5" ht="14.25">
      <c r="D135" s="43">
        <f>B135+C135+'325'!G9+'328'!G5+'344'!G9+'378'!G7+'384'!G6+'387'!G4+'391'!G9+'399'!G4+'441'!G4+'522'!G4</f>
        <v>-1.887614562767908</v>
      </c>
      <c r="E135" s="132" t="s">
        <v>845</v>
      </c>
    </row>
    <row r="172" spans="1:5" ht="14.25">
      <c r="A172" t="s">
        <v>844</v>
      </c>
      <c r="B172">
        <v>0</v>
      </c>
      <c r="D172" s="43">
        <f>'522'!G7</f>
        <v>0.15050000000002228</v>
      </c>
      <c r="E172">
        <v>522</v>
      </c>
    </row>
    <row r="184" spans="4:5" ht="14.25">
      <c r="D184" s="43">
        <f>'469'!G6+'564'!G8</f>
        <v>0.0795999999995729</v>
      </c>
      <c r="E184" t="s">
        <v>991</v>
      </c>
    </row>
    <row r="191" spans="4:5" ht="14.25">
      <c r="D191" s="43">
        <f>'388'!G4+'413'!G5+'427'!G5+'428'!G6+'560'!G7+'561'!G4+'564'!G4</f>
        <v>0.6078799999989428</v>
      </c>
      <c r="E191" t="s">
        <v>990</v>
      </c>
    </row>
    <row r="260" spans="4:5" ht="14.25">
      <c r="D260" s="43">
        <f>B260+C260+'306'!G6+'344'!G5+'348'!G9+'394'!G4+'395'!G6+'397'!G4+'487'!G4+'564'!G5</f>
        <v>0.2569838709675878</v>
      </c>
      <c r="E260" s="132" t="s">
        <v>989</v>
      </c>
    </row>
    <row r="266" spans="4:5" ht="14.25">
      <c r="D266" s="43">
        <f>'435'!G4+'521'!G6</f>
        <v>0.19920000000001892</v>
      </c>
      <c r="E266" t="s">
        <v>839</v>
      </c>
    </row>
    <row r="292" spans="4:5" ht="14.25">
      <c r="D292" s="43">
        <f>B292+C292+'344'!G7+'442'!G5+'475'!G12+'511'!G5+'517'!G8+'564'!G12</f>
        <v>0.18759999999952015</v>
      </c>
      <c r="E292" t="s">
        <v>987</v>
      </c>
    </row>
    <row r="324" spans="4:5" ht="14.25">
      <c r="D324" s="43">
        <f>B324+C324+'339'!G6+'359'!G7+'362'!G8+'422'!G4+'425'!G7+'470'!G6+'479'!G7+'514'!G6+'522'!G6</f>
        <v>-0.18308000000028812</v>
      </c>
      <c r="E324" t="s">
        <v>847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848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840</v>
      </c>
    </row>
    <row r="375" spans="4:5" ht="14.25">
      <c r="D375" s="43">
        <f>'381'!G5+'411'!G5+'419'!G6+'468'!G4+'506'!G7+'511'!G6+'528'!G4+'531'!G6+'554'!G8+'558'!G5+'559'!G9+'564'!G11</f>
        <v>0.12918000000126995</v>
      </c>
      <c r="E375" t="s">
        <v>986</v>
      </c>
    </row>
    <row r="390" spans="4:5" ht="14.25">
      <c r="D390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90" t="s">
        <v>985</v>
      </c>
    </row>
  </sheetData>
  <sheetProtection/>
  <printOptions/>
  <pageMargins left="0.7" right="0.7" top="0.75" bottom="0.75" header="0.3" footer="0.3"/>
  <pageSetup orientation="portrait" paperSize="9"/>
</worksheet>
</file>

<file path=xl/worksheets/sheet2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5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42564</v>
      </c>
      <c r="C1" s="3" t="s">
        <v>1</v>
      </c>
      <c r="D1" s="4">
        <v>64.52</v>
      </c>
      <c r="E1" s="5" t="s">
        <v>2</v>
      </c>
    </row>
    <row r="2" s="5" customFormat="1" ht="14.25">
      <c r="A2" s="6" t="s">
        <v>994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189</v>
      </c>
      <c r="B4" s="135">
        <v>14.79</v>
      </c>
      <c r="C4" s="64"/>
      <c r="D4" s="103">
        <f>C4*1</f>
        <v>0</v>
      </c>
      <c r="E4" s="114">
        <f>(B4+D4)*$D$1</f>
        <v>954.2507999999999</v>
      </c>
      <c r="F4" s="79">
        <v>954</v>
      </c>
      <c r="G4" s="14">
        <f>-E4+F4</f>
        <v>-0.25079999999991287</v>
      </c>
      <c r="H4" s="74"/>
    </row>
    <row r="5" spans="1:7" s="10" customFormat="1" ht="14.25">
      <c r="A5" s="15" t="s">
        <v>938</v>
      </c>
      <c r="B5" s="135">
        <v>16.96</v>
      </c>
      <c r="C5" s="64"/>
      <c r="D5" s="103">
        <f>C5*1</f>
        <v>0</v>
      </c>
      <c r="E5" s="114">
        <f>(B5+D5)*$D$1</f>
        <v>1094.2592</v>
      </c>
      <c r="F5" s="85">
        <v>1094</v>
      </c>
      <c r="G5" s="77">
        <f>-E5+F5</f>
        <v>-0.25919999999996435</v>
      </c>
    </row>
    <row r="6" spans="1:8" s="10" customFormat="1" ht="14.25">
      <c r="A6" s="11" t="s">
        <v>953</v>
      </c>
      <c r="B6" s="63">
        <v>10.83</v>
      </c>
      <c r="C6" s="64"/>
      <c r="D6" s="103">
        <f>C6*1</f>
        <v>0</v>
      </c>
      <c r="E6" s="114">
        <f>(B6+D6)*$D$1</f>
        <v>698.7515999999999</v>
      </c>
      <c r="F6" s="79">
        <v>699</v>
      </c>
      <c r="G6" s="14">
        <f>-E6+F6</f>
        <v>0.24840000000006057</v>
      </c>
      <c r="H6" s="74"/>
    </row>
    <row r="7" spans="1:8" s="10" customFormat="1" ht="14.25">
      <c r="A7" s="11" t="s">
        <v>723</v>
      </c>
      <c r="B7" s="63">
        <v>5.59</v>
      </c>
      <c r="C7" s="64"/>
      <c r="D7" s="103">
        <f>C7*1</f>
        <v>0</v>
      </c>
      <c r="E7" s="114">
        <f>(B7+D7)*$D$1</f>
        <v>360.66679999999997</v>
      </c>
      <c r="F7" s="79">
        <v>361</v>
      </c>
      <c r="G7" s="14">
        <f>-E7+F7</f>
        <v>0.33320000000003347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988</v>
      </c>
    </row>
    <row r="97" spans="4:5" ht="14.25">
      <c r="D97" s="43">
        <f>'539'!G12+'564'!G9</f>
        <v>0.21879999999998745</v>
      </c>
      <c r="E97" t="s">
        <v>993</v>
      </c>
    </row>
    <row r="114" spans="4:5" ht="14.25">
      <c r="D114" s="43">
        <f>'562'!G7+'564'!G10</f>
        <v>-0.48919999999986885</v>
      </c>
      <c r="E114" t="s">
        <v>992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846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845</v>
      </c>
    </row>
    <row r="167" spans="1:5" ht="14.25">
      <c r="A167" t="s">
        <v>844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991</v>
      </c>
    </row>
    <row r="186" spans="4:5" ht="14.25">
      <c r="D186" s="43">
        <f>'388'!G4+'413'!G5+'427'!G5+'428'!G6+'560'!G7+'561'!G4+'564'!G4</f>
        <v>0.6078799999989428</v>
      </c>
      <c r="E186" t="s">
        <v>990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989</v>
      </c>
    </row>
    <row r="261" spans="4:5" ht="14.25">
      <c r="D261" s="43">
        <f>'435'!G4+'521'!G6</f>
        <v>0.19920000000001892</v>
      </c>
      <c r="E261" t="s">
        <v>839</v>
      </c>
    </row>
    <row r="287" spans="4:5" ht="14.25">
      <c r="D287" s="43">
        <f>B287+C287+'344'!G7+'442'!G5+'475'!G12+'511'!G5+'517'!G8+'564'!G12</f>
        <v>0.18759999999952015</v>
      </c>
      <c r="E287" t="s">
        <v>987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847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848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840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986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985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5"/>
  <sheetViews>
    <sheetView zoomScalePageLayoutView="0" workbookViewId="0" topLeftCell="A1">
      <selection activeCell="A10" sqref="A10:A11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42568</v>
      </c>
      <c r="C1" s="3" t="s">
        <v>1</v>
      </c>
      <c r="D1" s="4">
        <v>64.01</v>
      </c>
      <c r="E1" s="5" t="s">
        <v>2</v>
      </c>
    </row>
    <row r="2" s="5" customFormat="1" ht="14.25">
      <c r="A2" s="6" t="s">
        <v>998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758</v>
      </c>
      <c r="B4" s="135">
        <v>27.7</v>
      </c>
      <c r="C4" s="64"/>
      <c r="D4" s="103">
        <f>C4*1</f>
        <v>0</v>
      </c>
      <c r="E4" s="114">
        <f>(B4+D4)*$D$1</f>
        <v>1773.077</v>
      </c>
      <c r="F4" s="79">
        <v>1773</v>
      </c>
      <c r="G4" s="14">
        <f>-E4+F4</f>
        <v>-0.07699999999999818</v>
      </c>
      <c r="H4" s="74"/>
    </row>
    <row r="5" spans="1:7" s="10" customFormat="1" ht="14.25">
      <c r="A5" s="15" t="s">
        <v>950</v>
      </c>
      <c r="B5" s="135">
        <v>65.28</v>
      </c>
      <c r="C5" s="64"/>
      <c r="D5" s="103">
        <f>C5*1</f>
        <v>0</v>
      </c>
      <c r="E5" s="114">
        <f>(B5+D5)*$D$1</f>
        <v>4178.572800000001</v>
      </c>
      <c r="F5" s="79">
        <v>4179</v>
      </c>
      <c r="G5" s="77">
        <f>-E5+F5</f>
        <v>0.4271999999991749</v>
      </c>
    </row>
    <row r="6" spans="1:8" s="10" customFormat="1" ht="14.25">
      <c r="A6" s="11" t="s">
        <v>953</v>
      </c>
      <c r="B6" s="63">
        <v>48.19</v>
      </c>
      <c r="C6" s="64"/>
      <c r="D6" s="103">
        <f>C6*1</f>
        <v>0</v>
      </c>
      <c r="E6" s="114">
        <f>(B6+D6)*$D$1</f>
        <v>3084.6419</v>
      </c>
      <c r="F6" s="79">
        <v>3084</v>
      </c>
      <c r="G6" s="14">
        <f>-E6+F6</f>
        <v>-0.6419000000000779</v>
      </c>
      <c r="H6" s="74"/>
    </row>
    <row r="7" spans="1:8" s="10" customFormat="1" ht="14.25">
      <c r="A7" s="11" t="s">
        <v>24</v>
      </c>
      <c r="B7" s="63">
        <v>3.69</v>
      </c>
      <c r="C7" s="64"/>
      <c r="D7" s="103">
        <f>C7*1</f>
        <v>0</v>
      </c>
      <c r="E7" s="114">
        <f>(B7+D7)*$D$1</f>
        <v>236.19690000000003</v>
      </c>
      <c r="F7" s="85">
        <v>236</v>
      </c>
      <c r="G7" s="14">
        <f>-E7+F7</f>
        <v>-0.19690000000002783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988</v>
      </c>
    </row>
    <row r="97" spans="4:5" ht="14.25">
      <c r="D97" s="43">
        <f>'539'!G12+'564'!G9</f>
        <v>0.21879999999998745</v>
      </c>
      <c r="E97" t="s">
        <v>993</v>
      </c>
    </row>
    <row r="114" spans="4:5" ht="14.25">
      <c r="D114" s="43">
        <f>'562'!G7+'564'!G10</f>
        <v>-0.48919999999986885</v>
      </c>
      <c r="E114" t="s">
        <v>992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846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845</v>
      </c>
    </row>
    <row r="167" spans="1:5" ht="14.25">
      <c r="A167" t="s">
        <v>844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991</v>
      </c>
    </row>
    <row r="186" spans="4:5" ht="14.25">
      <c r="D186" s="43">
        <f>'388'!G4+'413'!G5+'427'!G5+'428'!G6+'560'!G7+'561'!G4+'564'!G4</f>
        <v>0.6078799999989428</v>
      </c>
      <c r="E186" t="s">
        <v>990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989</v>
      </c>
    </row>
    <row r="261" spans="4:5" ht="14.25">
      <c r="D261" s="43">
        <f>'435'!G4+'521'!G6</f>
        <v>0.19920000000001892</v>
      </c>
      <c r="E261" t="s">
        <v>839</v>
      </c>
    </row>
    <row r="287" spans="4:5" ht="14.25">
      <c r="D287" s="43">
        <f>B287+C287+'344'!G7+'442'!G5+'475'!G12+'511'!G5+'517'!G8+'564'!G12</f>
        <v>0.18759999999952015</v>
      </c>
      <c r="E287" t="s">
        <v>987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847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848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840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986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985</v>
      </c>
    </row>
  </sheetData>
  <sheetProtection/>
  <printOptions/>
  <pageMargins left="0.7" right="0.7" top="0.75" bottom="0.75" header="0.3" footer="0.3"/>
  <pageSetup orientation="portrait" paperSize="9"/>
</worksheet>
</file>

<file path=xl/worksheets/sheet2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3"/>
  <sheetViews>
    <sheetView zoomScalePageLayoutView="0" workbookViewId="0" topLeftCell="A1">
      <selection activeCell="A8" sqref="A8:A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42568</v>
      </c>
      <c r="C1" s="3" t="s">
        <v>1</v>
      </c>
      <c r="D1" s="4">
        <v>64.01</v>
      </c>
      <c r="E1" s="5" t="s">
        <v>2</v>
      </c>
    </row>
    <row r="2" s="5" customFormat="1" ht="14.25">
      <c r="A2" s="6" t="s">
        <v>998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410</v>
      </c>
      <c r="B4" s="135">
        <v>43.05</v>
      </c>
      <c r="C4" s="64"/>
      <c r="D4" s="103">
        <f>C4*1</f>
        <v>0</v>
      </c>
      <c r="E4" s="114">
        <f>(B4+D4)*$D$1</f>
        <v>2755.6305</v>
      </c>
      <c r="F4" s="79">
        <v>2756</v>
      </c>
      <c r="G4" s="14">
        <f>-E4+F4</f>
        <v>0.369499999999789</v>
      </c>
      <c r="H4" s="74"/>
    </row>
    <row r="5" spans="1:7" s="10" customFormat="1" ht="14.25">
      <c r="A5" s="15" t="s">
        <v>506</v>
      </c>
      <c r="B5" s="135">
        <v>95.64</v>
      </c>
      <c r="C5" s="64"/>
      <c r="D5" s="103">
        <f>C5*1</f>
        <v>0</v>
      </c>
      <c r="E5" s="114">
        <f>(B5+D5)*$D$1</f>
        <v>6121.916400000001</v>
      </c>
      <c r="F5" s="85">
        <f>5000+122+1000</f>
        <v>6122</v>
      </c>
      <c r="G5" s="77">
        <f>-E5+F5</f>
        <v>0.08359999999902357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28.5">
      <c r="A10" s="98"/>
    </row>
    <row r="11" ht="14.25">
      <c r="B11" s="72"/>
    </row>
    <row r="12" ht="14.25">
      <c r="B12" s="72"/>
    </row>
    <row r="16" spans="4:5" ht="14.25">
      <c r="D16" s="43"/>
      <c r="E16" s="132"/>
    </row>
    <row r="27" spans="4:5" ht="14.25">
      <c r="D27" s="43">
        <f>B27+C27+'303'!G8+'313'!G7+'323'!G8+'345'!G5+'382'!G8+'383'!G8+'401'!G7+'426'!G6+'441'!G6+'457'!G5+'483'!G6+'500'!G4+'505'!G4+'531'!G13+'564'!G7</f>
        <v>0.10936026540684907</v>
      </c>
      <c r="E27" s="132" t="s">
        <v>988</v>
      </c>
    </row>
    <row r="95" spans="4:5" ht="14.25">
      <c r="D95" s="43">
        <f>'539'!G12+'564'!G9</f>
        <v>0.21879999999998745</v>
      </c>
      <c r="E95" t="s">
        <v>993</v>
      </c>
    </row>
    <row r="112" spans="4:5" ht="14.25">
      <c r="D112" s="43">
        <f>'562'!G7+'564'!G10</f>
        <v>-0.48919999999986885</v>
      </c>
      <c r="E112" t="s">
        <v>992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846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845</v>
      </c>
    </row>
    <row r="165" spans="1:5" ht="14.25">
      <c r="A165" t="s">
        <v>844</v>
      </c>
      <c r="B165">
        <v>0</v>
      </c>
      <c r="D165" s="43">
        <f>'522'!G7</f>
        <v>0.15050000000002228</v>
      </c>
      <c r="E165">
        <v>522</v>
      </c>
    </row>
    <row r="177" spans="4:5" ht="14.25">
      <c r="D177" s="43">
        <f>'469'!G6+'564'!G8</f>
        <v>0.0795999999995729</v>
      </c>
      <c r="E177" t="s">
        <v>991</v>
      </c>
    </row>
    <row r="184" spans="4:5" ht="14.25">
      <c r="D184" s="43">
        <f>'388'!G4+'413'!G5+'427'!G5+'428'!G6+'560'!G7+'561'!G4+'564'!G4</f>
        <v>0.6078799999989428</v>
      </c>
      <c r="E184" t="s">
        <v>990</v>
      </c>
    </row>
    <row r="253" spans="4:5" ht="14.25">
      <c r="D253" s="43">
        <f>B253+C253+'306'!G6+'344'!G5+'348'!G9+'394'!G4+'395'!G6+'397'!G4+'487'!G4+'564'!G5</f>
        <v>0.2569838709675878</v>
      </c>
      <c r="E253" s="132" t="s">
        <v>989</v>
      </c>
    </row>
    <row r="259" spans="4:5" ht="14.25">
      <c r="D259" s="43">
        <f>'435'!G4+'521'!G6</f>
        <v>0.19920000000001892</v>
      </c>
      <c r="E259" t="s">
        <v>839</v>
      </c>
    </row>
    <row r="285" spans="4:5" ht="14.25">
      <c r="D285" s="43">
        <f>B285+C285+'344'!G7+'442'!G5+'475'!G12+'511'!G5+'517'!G8+'564'!G12</f>
        <v>0.18759999999952015</v>
      </c>
      <c r="E285" t="s">
        <v>987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847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848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840</v>
      </c>
    </row>
    <row r="368" spans="4:5" ht="14.25">
      <c r="D368" s="43">
        <f>'381'!G5+'411'!G5+'419'!G6+'468'!G4+'506'!G7+'511'!G6+'528'!G4+'531'!G6+'554'!G8+'558'!G5+'559'!G9+'564'!G11</f>
        <v>0.12918000000126995</v>
      </c>
      <c r="E368" t="s">
        <v>986</v>
      </c>
    </row>
    <row r="383" spans="4:5" ht="14.25">
      <c r="D383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3" t="s">
        <v>985</v>
      </c>
    </row>
  </sheetData>
  <sheetProtection/>
  <printOptions/>
  <pageMargins left="0.7" right="0.7" top="0.75" bottom="0.75" header="0.3" footer="0.3"/>
  <pageSetup orientation="portrait" paperSize="9"/>
</worksheet>
</file>

<file path=xl/worksheets/sheet26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4"/>
  <sheetViews>
    <sheetView zoomScalePageLayoutView="0" workbookViewId="0" topLeftCell="A1">
      <selection activeCell="A9" sqref="A9:A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42568</v>
      </c>
      <c r="C1" s="3" t="s">
        <v>1</v>
      </c>
      <c r="D1" s="4">
        <v>64.01</v>
      </c>
      <c r="E1" s="5" t="s">
        <v>2</v>
      </c>
    </row>
    <row r="2" s="5" customFormat="1" ht="14.25">
      <c r="A2" s="6" t="s">
        <v>998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135">
        <v>22.74</v>
      </c>
      <c r="C4" s="64"/>
      <c r="D4" s="103">
        <f>C4*1</f>
        <v>0</v>
      </c>
      <c r="E4" s="114">
        <f>(B4+D4)*$D$1</f>
        <v>1455.5874000000001</v>
      </c>
      <c r="F4" s="79">
        <v>2032</v>
      </c>
      <c r="G4" s="14">
        <f>-E4+F4</f>
        <v>576.4125999999999</v>
      </c>
      <c r="H4" s="74"/>
    </row>
    <row r="5" spans="1:7" s="10" customFormat="1" ht="14.25">
      <c r="A5" s="15" t="s">
        <v>651</v>
      </c>
      <c r="B5" s="135">
        <v>8.96</v>
      </c>
      <c r="C5" s="64"/>
      <c r="D5" s="103">
        <f>C5*1</f>
        <v>0</v>
      </c>
      <c r="E5" s="114">
        <f>(B5+D5)*$D$1</f>
        <v>573.5296000000001</v>
      </c>
      <c r="F5" s="85"/>
      <c r="G5" s="77">
        <f>-E5+F5</f>
        <v>-573.5296000000001</v>
      </c>
    </row>
    <row r="6" spans="1:8" s="10" customFormat="1" ht="14.25">
      <c r="A6" s="11" t="s">
        <v>961</v>
      </c>
      <c r="B6" s="63">
        <v>5.31</v>
      </c>
      <c r="C6" s="64"/>
      <c r="D6" s="103">
        <f>C6*1</f>
        <v>0</v>
      </c>
      <c r="E6" s="114">
        <f>(B6+D6)*$D$1</f>
        <v>339.8931</v>
      </c>
      <c r="F6" s="79">
        <v>340</v>
      </c>
      <c r="G6" s="14">
        <f>-E6+F6</f>
        <v>0.106899999999996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ht="14.25">
      <c r="B12" s="72"/>
    </row>
    <row r="13" ht="14.25">
      <c r="B13" s="72"/>
    </row>
    <row r="17" spans="4:5" ht="14.25">
      <c r="D17" s="43"/>
      <c r="E17" s="132"/>
    </row>
    <row r="28" spans="4:5" ht="14.25">
      <c r="D28" s="43">
        <f>B28+C28+'303'!G8+'313'!G7+'323'!G8+'345'!G5+'382'!G8+'383'!G8+'401'!G7+'426'!G6+'441'!G6+'457'!G5+'483'!G6+'500'!G4+'505'!G4+'531'!G13+'564'!G7</f>
        <v>0.10936026540684907</v>
      </c>
      <c r="E28" s="132" t="s">
        <v>988</v>
      </c>
    </row>
    <row r="96" spans="4:5" ht="14.25">
      <c r="D96" s="43">
        <f>'539'!G12+'564'!G9</f>
        <v>0.21879999999998745</v>
      </c>
      <c r="E96" t="s">
        <v>993</v>
      </c>
    </row>
    <row r="113" spans="4:5" ht="14.25">
      <c r="D113" s="43">
        <f>'562'!G7+'564'!G10</f>
        <v>-0.48919999999986885</v>
      </c>
      <c r="E113" t="s">
        <v>992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846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845</v>
      </c>
    </row>
    <row r="166" spans="1:5" ht="14.25">
      <c r="A166" t="s">
        <v>844</v>
      </c>
      <c r="B166">
        <v>0</v>
      </c>
      <c r="D166" s="43">
        <f>'522'!G7</f>
        <v>0.15050000000002228</v>
      </c>
      <c r="E166">
        <v>522</v>
      </c>
    </row>
    <row r="178" spans="4:5" ht="14.25">
      <c r="D178" s="43">
        <f>'469'!G6+'564'!G8</f>
        <v>0.0795999999995729</v>
      </c>
      <c r="E178" t="s">
        <v>991</v>
      </c>
    </row>
    <row r="185" spans="4:5" ht="14.25">
      <c r="D185" s="43">
        <f>'388'!G4+'413'!G5+'427'!G5+'428'!G6+'560'!G7+'561'!G4+'564'!G4</f>
        <v>0.6078799999989428</v>
      </c>
      <c r="E185" t="s">
        <v>990</v>
      </c>
    </row>
    <row r="254" spans="4:5" ht="14.25">
      <c r="D254" s="43">
        <f>B254+C254+'306'!G6+'344'!G5+'348'!G9+'394'!G4+'395'!G6+'397'!G4+'487'!G4+'564'!G5</f>
        <v>0.2569838709675878</v>
      </c>
      <c r="E254" s="132" t="s">
        <v>989</v>
      </c>
    </row>
    <row r="260" spans="4:5" ht="14.25">
      <c r="D260" s="43">
        <f>'435'!G4+'521'!G6</f>
        <v>0.19920000000001892</v>
      </c>
      <c r="E260" t="s">
        <v>839</v>
      </c>
    </row>
    <row r="286" spans="4:5" ht="14.25">
      <c r="D286" s="43">
        <f>B286+C286+'344'!G7+'442'!G5+'475'!G12+'511'!G5+'517'!G8+'564'!G12</f>
        <v>0.18759999999952015</v>
      </c>
      <c r="E286" t="s">
        <v>987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847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848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840</v>
      </c>
    </row>
    <row r="369" spans="4:5" ht="14.25">
      <c r="D369" s="43">
        <f>'381'!G5+'411'!G5+'419'!G6+'468'!G4+'506'!G7+'511'!G6+'528'!G4+'531'!G6+'554'!G8+'558'!G5+'559'!G9+'564'!G11</f>
        <v>0.12918000000126995</v>
      </c>
      <c r="E369" t="s">
        <v>986</v>
      </c>
    </row>
    <row r="384" spans="4:5" ht="14.25">
      <c r="D384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4" t="s">
        <v>985</v>
      </c>
    </row>
  </sheetData>
  <sheetProtection/>
  <printOptions/>
  <pageMargins left="0.7" right="0.7" top="0.75" bottom="0.75" header="0.3" footer="0.3"/>
  <pageSetup orientation="portrait" paperSize="9"/>
</worksheet>
</file>

<file path=xl/worksheets/sheet2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6"/>
  <sheetViews>
    <sheetView zoomScalePageLayoutView="0" workbookViewId="0" topLeftCell="A1">
      <selection activeCell="A11" sqref="A11:A12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42576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1000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34</v>
      </c>
      <c r="B4" s="10">
        <f>28.63*0.9</f>
        <v>25.767</v>
      </c>
      <c r="C4" s="64"/>
      <c r="D4" s="103">
        <f>C4*1</f>
        <v>0</v>
      </c>
      <c r="E4" s="114">
        <f>(B4+D4)*$D$1</f>
        <v>1687.7385</v>
      </c>
      <c r="F4" s="79">
        <f>1050+638</f>
        <v>1688</v>
      </c>
      <c r="G4" s="14">
        <f>-E4+F4</f>
        <v>0.2615000000000691</v>
      </c>
      <c r="H4" s="74"/>
    </row>
    <row r="5" spans="1:8" s="10" customFormat="1" ht="14.25">
      <c r="A5" s="11" t="s">
        <v>480</v>
      </c>
      <c r="B5" s="135">
        <f>2.8*0.9</f>
        <v>2.52</v>
      </c>
      <c r="C5" s="64"/>
      <c r="D5" s="103">
        <f>C5*1</f>
        <v>0</v>
      </c>
      <c r="E5" s="114">
        <f>(B5+D5)*$D$1</f>
        <v>165.06</v>
      </c>
      <c r="F5" s="79">
        <v>165</v>
      </c>
      <c r="G5" s="14">
        <f>-E5+F5</f>
        <v>-0.060000000000002274</v>
      </c>
      <c r="H5" s="74"/>
    </row>
    <row r="6" spans="1:7" s="10" customFormat="1" ht="14.25">
      <c r="A6" s="15" t="s">
        <v>851</v>
      </c>
      <c r="B6" s="135">
        <f>8.41*0.9</f>
        <v>7.569</v>
      </c>
      <c r="C6" s="64"/>
      <c r="D6" s="103">
        <f>C6*1</f>
        <v>0</v>
      </c>
      <c r="E6" s="114">
        <f>(B6+D6)*$D$1</f>
        <v>495.7695</v>
      </c>
      <c r="F6" s="79">
        <v>496</v>
      </c>
      <c r="G6" s="77">
        <f>-E6+F6</f>
        <v>0.23050000000000637</v>
      </c>
    </row>
    <row r="7" spans="1:8" s="10" customFormat="1" ht="14.25">
      <c r="A7" s="11" t="s">
        <v>1001</v>
      </c>
      <c r="B7" s="135">
        <f>6.14*0.9</f>
        <v>5.526</v>
      </c>
      <c r="C7" s="64"/>
      <c r="D7" s="103">
        <f>C7*1</f>
        <v>0</v>
      </c>
      <c r="E7" s="114">
        <f>(B7+D7)*$D$1</f>
        <v>361.953</v>
      </c>
      <c r="F7" s="79">
        <v>362</v>
      </c>
      <c r="G7" s="14">
        <f>-E7+F7</f>
        <v>0.047000000000025466</v>
      </c>
      <c r="H7" s="74"/>
    </row>
    <row r="8" spans="1:8" s="10" customFormat="1" ht="14.25">
      <c r="A8" s="11" t="s">
        <v>950</v>
      </c>
      <c r="B8" s="63">
        <f>25.46*0.9</f>
        <v>22.914</v>
      </c>
      <c r="C8" s="64"/>
      <c r="D8" s="103">
        <f>C8*1</f>
        <v>0</v>
      </c>
      <c r="E8" s="114">
        <f>(B8+D8)*$D$1</f>
        <v>1500.8670000000002</v>
      </c>
      <c r="F8" s="79">
        <v>1500</v>
      </c>
      <c r="G8" s="14">
        <f>-E8+F8</f>
        <v>-0.8670000000001892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28.5">
      <c r="A13" s="98"/>
    </row>
    <row r="14" ht="14.25">
      <c r="B14" s="72"/>
    </row>
    <row r="15" ht="14.25">
      <c r="B15" s="72"/>
    </row>
    <row r="19" spans="4:5" ht="14.25">
      <c r="D19" s="43"/>
      <c r="E19" s="132"/>
    </row>
    <row r="30" spans="4:5" ht="14.25">
      <c r="D30" s="43">
        <f>B30+C30+'303'!G8+'313'!G7+'323'!G8+'345'!G5+'382'!G8+'383'!G8+'401'!G7+'426'!G6+'441'!G6+'457'!G5+'483'!G6+'500'!G4+'505'!G4+'531'!G13+'564'!G7</f>
        <v>0.10936026540684907</v>
      </c>
      <c r="E30" s="132" t="s">
        <v>988</v>
      </c>
    </row>
    <row r="98" spans="4:5" ht="14.25">
      <c r="D98" s="43">
        <f>'539'!G12+'564'!G9</f>
        <v>0.21879999999998745</v>
      </c>
      <c r="E98" t="s">
        <v>993</v>
      </c>
    </row>
    <row r="115" spans="4:5" ht="14.25">
      <c r="D115" s="43">
        <f>'562'!G7+'564'!G10</f>
        <v>-0.48919999999986885</v>
      </c>
      <c r="E115" t="s">
        <v>992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846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845</v>
      </c>
    </row>
    <row r="168" spans="1:5" ht="14.25">
      <c r="A168" t="s">
        <v>844</v>
      </c>
      <c r="B168">
        <v>0</v>
      </c>
      <c r="D168" s="43">
        <f>'522'!G7</f>
        <v>0.15050000000002228</v>
      </c>
      <c r="E168">
        <v>522</v>
      </c>
    </row>
    <row r="180" spans="4:5" ht="14.25">
      <c r="D180" s="43">
        <f>'469'!G6+'564'!G8</f>
        <v>0.0795999999995729</v>
      </c>
      <c r="E180" t="s">
        <v>991</v>
      </c>
    </row>
    <row r="187" spans="4:5" ht="14.25">
      <c r="D187" s="43">
        <f>'388'!G4+'413'!G5+'427'!G5+'428'!G6+'560'!G7+'561'!G4+'564'!G4</f>
        <v>0.6078799999989428</v>
      </c>
      <c r="E187" t="s">
        <v>990</v>
      </c>
    </row>
    <row r="256" spans="4:5" ht="14.25">
      <c r="D256" s="43">
        <f>B256+C256+'306'!G6+'344'!G5+'348'!G9+'394'!G4+'395'!G6+'397'!G4+'487'!G4+'564'!G5</f>
        <v>0.2569838709675878</v>
      </c>
      <c r="E256" s="132" t="s">
        <v>989</v>
      </c>
    </row>
    <row r="262" spans="4:5" ht="14.25">
      <c r="D262" s="43">
        <f>'435'!G4+'521'!G6</f>
        <v>0.19920000000001892</v>
      </c>
      <c r="E262" t="s">
        <v>839</v>
      </c>
    </row>
    <row r="288" spans="4:5" ht="14.25">
      <c r="D288" s="43">
        <f>B288+C288+'344'!G7+'442'!G5+'475'!G12+'511'!G5+'517'!G8+'564'!G12</f>
        <v>0.18759999999952015</v>
      </c>
      <c r="E288" t="s">
        <v>987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847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848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840</v>
      </c>
    </row>
    <row r="371" spans="4:5" ht="14.25">
      <c r="D371" s="43">
        <f>'381'!G5+'411'!G5+'419'!G6+'468'!G4+'506'!G7+'511'!G6+'528'!G4+'531'!G6+'554'!G8+'558'!G5+'559'!G9+'564'!G11</f>
        <v>0.12918000000126995</v>
      </c>
      <c r="E371" t="s">
        <v>986</v>
      </c>
    </row>
    <row r="386" spans="4:5" ht="14.25">
      <c r="D386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6" t="s">
        <v>985</v>
      </c>
    </row>
  </sheetData>
  <sheetProtection/>
  <printOptions/>
  <pageMargins left="0.7" right="0.7" top="0.75" bottom="0.75" header="0.3" footer="0.3"/>
  <pageSetup orientation="portrait" paperSize="9"/>
</worksheet>
</file>

<file path=xl/worksheets/sheet2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6"/>
  <sheetViews>
    <sheetView zoomScalePageLayoutView="0" workbookViewId="0" topLeftCell="A1">
      <selection activeCell="A11" sqref="A11:A13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42576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1000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135">
        <f>22.79*0.9</f>
        <v>20.511</v>
      </c>
      <c r="C4" s="64"/>
      <c r="D4" s="103">
        <f>C4*1</f>
        <v>0</v>
      </c>
      <c r="E4" s="114">
        <f>(B4+D4)*$D$1</f>
        <v>1343.4705</v>
      </c>
      <c r="F4" s="79">
        <v>1343</v>
      </c>
      <c r="G4" s="14">
        <f>-E4+F4</f>
        <v>-0.4704999999999018</v>
      </c>
      <c r="H4" s="74"/>
    </row>
    <row r="5" spans="1:8" s="10" customFormat="1" ht="14.25">
      <c r="A5" s="11" t="s">
        <v>280</v>
      </c>
      <c r="B5" s="135">
        <f>5.24*0.9</f>
        <v>4.716</v>
      </c>
      <c r="C5" s="64"/>
      <c r="D5" s="103">
        <f>C5*1</f>
        <v>0</v>
      </c>
      <c r="E5" s="114">
        <f>(B5+D5)*$D$1</f>
        <v>308.898</v>
      </c>
      <c r="F5" s="79">
        <v>309</v>
      </c>
      <c r="G5" s="14">
        <f>-E5+F5</f>
        <v>0.10199999999997544</v>
      </c>
      <c r="H5" s="74"/>
    </row>
    <row r="6" spans="1:7" s="10" customFormat="1" ht="14.25">
      <c r="A6" s="15" t="s">
        <v>400</v>
      </c>
      <c r="B6" s="135">
        <f>13.48*0.9</f>
        <v>12.132000000000001</v>
      </c>
      <c r="C6" s="64"/>
      <c r="D6" s="103">
        <f>C6*1</f>
        <v>0</v>
      </c>
      <c r="E6" s="114">
        <f>(B6+D6)*$D$1</f>
        <v>794.6460000000001</v>
      </c>
      <c r="F6" s="79">
        <v>795</v>
      </c>
      <c r="G6" s="77">
        <f>-E6+F6</f>
        <v>0.35399999999992815</v>
      </c>
    </row>
    <row r="7" spans="1:8" s="10" customFormat="1" ht="14.25">
      <c r="A7" s="11" t="s">
        <v>182</v>
      </c>
      <c r="B7" s="63">
        <f>81.01*0.9</f>
        <v>72.909</v>
      </c>
      <c r="C7" s="64"/>
      <c r="D7" s="103">
        <f>C7*1</f>
        <v>0</v>
      </c>
      <c r="E7" s="114">
        <f>(B7+D7)*$D$1</f>
        <v>4775.539500000001</v>
      </c>
      <c r="F7" s="79">
        <v>4800</v>
      </c>
      <c r="G7" s="14">
        <f>-E7+F7</f>
        <v>24.46049999999923</v>
      </c>
      <c r="H7" s="74"/>
    </row>
    <row r="8" spans="1:8" s="10" customFormat="1" ht="14.25">
      <c r="A8" s="11" t="s">
        <v>953</v>
      </c>
      <c r="B8" s="63">
        <f>37.92*0.9</f>
        <v>34.128</v>
      </c>
      <c r="C8" s="64"/>
      <c r="D8" s="103">
        <f>C8*1</f>
        <v>0</v>
      </c>
      <c r="E8" s="114">
        <f>(B8+D8)*$D$1</f>
        <v>2235.384</v>
      </c>
      <c r="F8" s="79">
        <v>2235</v>
      </c>
      <c r="G8" s="14">
        <f>-E8+F8</f>
        <v>-0.38400000000001455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28.5">
      <c r="A13" s="98"/>
    </row>
    <row r="14" ht="14.25">
      <c r="B14" s="72"/>
    </row>
    <row r="15" ht="14.25">
      <c r="B15" s="72"/>
    </row>
    <row r="19" spans="4:5" ht="14.25">
      <c r="D19" s="43"/>
      <c r="E19" s="132"/>
    </row>
    <row r="30" spans="4:5" ht="14.25">
      <c r="D30" s="43">
        <f>B30+C30+'303'!G8+'313'!G7+'323'!G8+'345'!G5+'382'!G8+'383'!G8+'401'!G7+'426'!G6+'441'!G6+'457'!G5+'483'!G6+'500'!G4+'505'!G4+'531'!G13+'564'!G7</f>
        <v>0.10936026540684907</v>
      </c>
      <c r="E30" s="132" t="s">
        <v>988</v>
      </c>
    </row>
    <row r="98" spans="4:5" ht="14.25">
      <c r="D98" s="43">
        <f>'539'!G12+'564'!G9</f>
        <v>0.21879999999998745</v>
      </c>
      <c r="E98" t="s">
        <v>993</v>
      </c>
    </row>
    <row r="115" spans="4:5" ht="14.25">
      <c r="D115" s="43">
        <f>'562'!G7+'564'!G10</f>
        <v>-0.48919999999986885</v>
      </c>
      <c r="E115" t="s">
        <v>992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846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845</v>
      </c>
    </row>
    <row r="168" spans="1:5" ht="14.25">
      <c r="A168" t="s">
        <v>844</v>
      </c>
      <c r="B168">
        <v>0</v>
      </c>
      <c r="D168" s="43">
        <f>'522'!G7</f>
        <v>0.15050000000002228</v>
      </c>
      <c r="E168">
        <v>522</v>
      </c>
    </row>
    <row r="180" spans="4:5" ht="14.25">
      <c r="D180" s="43">
        <f>'469'!G6+'564'!G8</f>
        <v>0.0795999999995729</v>
      </c>
      <c r="E180" t="s">
        <v>991</v>
      </c>
    </row>
    <row r="187" spans="4:5" ht="14.25">
      <c r="D187" s="43">
        <f>'388'!G4+'413'!G5+'427'!G5+'428'!G6+'560'!G7+'561'!G4+'564'!G4</f>
        <v>0.6078799999989428</v>
      </c>
      <c r="E187" t="s">
        <v>990</v>
      </c>
    </row>
    <row r="256" spans="4:5" ht="14.25">
      <c r="D256" s="43">
        <f>B256+C256+'306'!G6+'344'!G5+'348'!G9+'394'!G4+'395'!G6+'397'!G4+'487'!G4+'564'!G5</f>
        <v>0.2569838709675878</v>
      </c>
      <c r="E256" s="132" t="s">
        <v>989</v>
      </c>
    </row>
    <row r="262" spans="4:5" ht="14.25">
      <c r="D262" s="43">
        <f>'435'!G4+'521'!G6</f>
        <v>0.19920000000001892</v>
      </c>
      <c r="E262" t="s">
        <v>839</v>
      </c>
    </row>
    <row r="288" spans="4:5" ht="14.25">
      <c r="D288" s="43">
        <f>B288+C288+'344'!G7+'442'!G5+'475'!G12+'511'!G5+'517'!G8+'564'!G12</f>
        <v>0.18759999999952015</v>
      </c>
      <c r="E288" t="s">
        <v>987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847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848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840</v>
      </c>
    </row>
    <row r="371" spans="4:5" ht="14.25">
      <c r="D371" s="43">
        <f>'381'!G5+'411'!G5+'419'!G6+'468'!G4+'506'!G7+'511'!G6+'528'!G4+'531'!G6+'554'!G8+'558'!G5+'559'!G9+'564'!G11</f>
        <v>0.12918000000126995</v>
      </c>
      <c r="E371" t="s">
        <v>986</v>
      </c>
    </row>
    <row r="386" spans="4:5" ht="14.25">
      <c r="D386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6" t="s">
        <v>985</v>
      </c>
    </row>
  </sheetData>
  <sheetProtection/>
  <printOptions/>
  <pageMargins left="0.7" right="0.7" top="0.75" bottom="0.75" header="0.3" footer="0.3"/>
  <pageSetup orientation="portrait" paperSize="9"/>
</worksheet>
</file>

<file path=xl/worksheets/sheet2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7"/>
  <sheetViews>
    <sheetView zoomScalePageLayoutView="0" workbookViewId="0" topLeftCell="A1">
      <selection activeCell="A12" sqref="A12:A13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42576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1000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850</v>
      </c>
      <c r="B4" s="135">
        <f>16.09*0.9</f>
        <v>14.481</v>
      </c>
      <c r="C4" s="64"/>
      <c r="D4" s="103">
        <f aca="true" t="shared" si="0" ref="D4:D9">C4*1</f>
        <v>0</v>
      </c>
      <c r="E4" s="114">
        <f aca="true" t="shared" si="1" ref="E4:E9">(B4+D4)*$D$1</f>
        <v>948.5055</v>
      </c>
      <c r="F4" s="79">
        <v>949</v>
      </c>
      <c r="G4" s="14">
        <f aca="true" t="shared" si="2" ref="G4:G9">-E4+F4</f>
        <v>0.49450000000001637</v>
      </c>
      <c r="H4" s="74"/>
    </row>
    <row r="5" spans="1:8" s="10" customFormat="1" ht="14.25">
      <c r="A5" s="11" t="s">
        <v>738</v>
      </c>
      <c r="B5" s="135">
        <f>11.47*0.9</f>
        <v>10.323</v>
      </c>
      <c r="C5" s="64"/>
      <c r="D5" s="103">
        <f t="shared" si="0"/>
        <v>0</v>
      </c>
      <c r="E5" s="114">
        <f t="shared" si="1"/>
        <v>676.1565</v>
      </c>
      <c r="F5" s="79">
        <v>676</v>
      </c>
      <c r="G5" s="14">
        <f t="shared" si="2"/>
        <v>-0.15650000000005093</v>
      </c>
      <c r="H5" s="74"/>
    </row>
    <row r="6" spans="1:7" s="10" customFormat="1" ht="14.25">
      <c r="A6" s="15" t="s">
        <v>1002</v>
      </c>
      <c r="B6" s="135">
        <f>10.56*0.9</f>
        <v>9.504000000000001</v>
      </c>
      <c r="C6" s="64"/>
      <c r="D6" s="103">
        <f t="shared" si="0"/>
        <v>0</v>
      </c>
      <c r="E6" s="114">
        <f t="shared" si="1"/>
        <v>622.5120000000001</v>
      </c>
      <c r="F6" s="79">
        <v>623</v>
      </c>
      <c r="G6" s="77">
        <f t="shared" si="2"/>
        <v>0.4879999999999427</v>
      </c>
    </row>
    <row r="7" spans="1:8" s="10" customFormat="1" ht="14.25">
      <c r="A7" s="11" t="s">
        <v>188</v>
      </c>
      <c r="B7" s="63">
        <f>27.19*0.9</f>
        <v>24.471</v>
      </c>
      <c r="C7" s="64"/>
      <c r="D7" s="103">
        <f t="shared" si="0"/>
        <v>0</v>
      </c>
      <c r="E7" s="114">
        <f t="shared" si="1"/>
        <v>1602.8505</v>
      </c>
      <c r="F7" s="79">
        <f>1503+100</f>
        <v>1603</v>
      </c>
      <c r="G7" s="14">
        <f t="shared" si="2"/>
        <v>0.14949999999998909</v>
      </c>
      <c r="H7" s="74"/>
    </row>
    <row r="8" spans="1:8" s="10" customFormat="1" ht="14.25">
      <c r="A8" s="11" t="s">
        <v>410</v>
      </c>
      <c r="B8" s="63">
        <f>10.191*0.9</f>
        <v>9.1719</v>
      </c>
      <c r="C8" s="64"/>
      <c r="D8" s="103">
        <f t="shared" si="0"/>
        <v>0</v>
      </c>
      <c r="E8" s="114">
        <f t="shared" si="1"/>
        <v>600.75945</v>
      </c>
      <c r="F8" s="79">
        <v>600</v>
      </c>
      <c r="G8" s="14">
        <f t="shared" si="2"/>
        <v>-0.7594500000000153</v>
      </c>
      <c r="H8" s="74"/>
    </row>
    <row r="9" spans="1:8" s="10" customFormat="1" ht="14.25">
      <c r="A9" s="11" t="s">
        <v>1003</v>
      </c>
      <c r="B9" s="63">
        <f>7*0.9</f>
        <v>6.3</v>
      </c>
      <c r="C9" s="64"/>
      <c r="D9" s="103">
        <f t="shared" si="0"/>
        <v>0</v>
      </c>
      <c r="E9" s="114">
        <f t="shared" si="1"/>
        <v>412.65</v>
      </c>
      <c r="F9" s="79">
        <v>413</v>
      </c>
      <c r="G9" s="14">
        <f t="shared" si="2"/>
        <v>0.35000000000002274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28.5">
      <c r="A14" s="98" t="s">
        <v>416</v>
      </c>
    </row>
    <row r="15" spans="1:2" ht="14.25">
      <c r="A15" s="11" t="s">
        <v>1003</v>
      </c>
      <c r="B15" s="72" t="s">
        <v>1004</v>
      </c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988</v>
      </c>
    </row>
    <row r="99" spans="4:5" ht="14.25">
      <c r="D99" s="43">
        <f>'539'!G12+'564'!G9</f>
        <v>0.21879999999998745</v>
      </c>
      <c r="E99" t="s">
        <v>993</v>
      </c>
    </row>
    <row r="116" spans="4:5" ht="14.25">
      <c r="D116" s="43">
        <f>'562'!G7+'564'!G10</f>
        <v>-0.48919999999986885</v>
      </c>
      <c r="E116" t="s">
        <v>992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846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845</v>
      </c>
    </row>
    <row r="169" spans="1:5" ht="14.25">
      <c r="A169" t="s">
        <v>844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991</v>
      </c>
    </row>
    <row r="188" spans="4:5" ht="14.25">
      <c r="D188" s="43">
        <f>'388'!G4+'413'!G5+'427'!G5+'428'!G6+'560'!G7+'561'!G4+'564'!G4</f>
        <v>0.6078799999989428</v>
      </c>
      <c r="E188" t="s">
        <v>990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989</v>
      </c>
    </row>
    <row r="263" spans="4:5" ht="14.25">
      <c r="D263" s="43">
        <f>'435'!G4+'521'!G6</f>
        <v>0.19920000000001892</v>
      </c>
      <c r="E263" t="s">
        <v>839</v>
      </c>
    </row>
    <row r="289" spans="4:5" ht="14.25">
      <c r="D289" s="43">
        <f>B289+C289+'344'!G7+'442'!G5+'475'!G12+'511'!G5+'517'!G8+'564'!G12</f>
        <v>0.18759999999952015</v>
      </c>
      <c r="E289" t="s">
        <v>987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847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848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840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986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985</v>
      </c>
    </row>
  </sheetData>
  <sheetProtection/>
  <hyperlinks>
    <hyperlink ref="B15" r:id="rId1" display="http://ru.iherb.com/PEAKfresh-USA-Produce-Bags-Reusable-10-12-x-16-Bags-with-Twist-Ties/44160"/>
  </hyperlink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4.25">
      <c r="A2" s="6" t="s">
        <v>371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228</v>
      </c>
      <c r="B4" s="63">
        <v>17.28</v>
      </c>
      <c r="C4" s="64">
        <v>1.16</v>
      </c>
      <c r="D4" s="11">
        <f aca="true" t="shared" si="0" ref="D4:D11">C4/$C$12*$D$12</f>
        <v>2.338709677419355</v>
      </c>
      <c r="E4" s="11">
        <f aca="true" t="shared" si="1" ref="E4:E11">(B4+D4)*$D$1</f>
        <v>1207.3353935483872</v>
      </c>
      <c r="F4" s="78">
        <v>1182</v>
      </c>
      <c r="G4" s="14">
        <f aca="true" t="shared" si="2" ref="G4:G11">-E4+F4</f>
        <v>-25.335393548387174</v>
      </c>
      <c r="H4" s="74"/>
    </row>
    <row r="5" spans="1:7" s="10" customFormat="1" ht="14.25">
      <c r="A5" s="15" t="s">
        <v>189</v>
      </c>
      <c r="B5" s="63">
        <v>46.04</v>
      </c>
      <c r="C5" s="64">
        <v>0.65</v>
      </c>
      <c r="D5" s="11">
        <f t="shared" si="0"/>
        <v>1.3104838709677422</v>
      </c>
      <c r="E5" s="76">
        <f t="shared" si="1"/>
        <v>2913.948777419355</v>
      </c>
      <c r="F5" s="79">
        <f>2905+15</f>
        <v>2920</v>
      </c>
      <c r="G5" s="77">
        <f t="shared" si="2"/>
        <v>6.051222580645117</v>
      </c>
    </row>
    <row r="6" spans="1:7" s="10" customFormat="1" ht="14.25">
      <c r="A6" s="15" t="s">
        <v>372</v>
      </c>
      <c r="B6" s="12">
        <v>7.06</v>
      </c>
      <c r="C6" s="12">
        <v>0.32</v>
      </c>
      <c r="D6" s="11">
        <f t="shared" si="0"/>
        <v>0.6451612903225807</v>
      </c>
      <c r="E6" s="11">
        <f t="shared" si="1"/>
        <v>474.1756258064516</v>
      </c>
      <c r="F6" s="69">
        <v>455</v>
      </c>
      <c r="G6" s="14">
        <f t="shared" si="2"/>
        <v>-19.175625806451592</v>
      </c>
    </row>
    <row r="7" spans="1:8" s="10" customFormat="1" ht="14.25">
      <c r="A7" s="11" t="s">
        <v>301</v>
      </c>
      <c r="B7" s="63">
        <v>19.96</v>
      </c>
      <c r="C7" s="64">
        <v>0.05</v>
      </c>
      <c r="D7" s="11">
        <f t="shared" si="0"/>
        <v>0.10080645161290326</v>
      </c>
      <c r="E7" s="11">
        <f t="shared" si="1"/>
        <v>1234.5420290322581</v>
      </c>
      <c r="F7" s="78">
        <v>1228</v>
      </c>
      <c r="G7" s="14">
        <f t="shared" si="2"/>
        <v>-6.542029032258142</v>
      </c>
      <c r="H7" s="74"/>
    </row>
    <row r="8" spans="1:7" s="10" customFormat="1" ht="14.25">
      <c r="A8" s="15" t="s">
        <v>33</v>
      </c>
      <c r="B8" s="63">
        <v>7.5</v>
      </c>
      <c r="C8" s="64">
        <v>0.29</v>
      </c>
      <c r="D8" s="11">
        <f t="shared" si="0"/>
        <v>0.5846774193548387</v>
      </c>
      <c r="E8" s="76">
        <f t="shared" si="1"/>
        <v>497.53104838709675</v>
      </c>
      <c r="F8" s="79">
        <v>498</v>
      </c>
      <c r="G8" s="77">
        <f t="shared" si="2"/>
        <v>0.46895161290325404</v>
      </c>
    </row>
    <row r="9" spans="1:7" s="10" customFormat="1" ht="14.25">
      <c r="A9" s="15" t="s">
        <v>116</v>
      </c>
      <c r="B9" s="12">
        <v>32.84</v>
      </c>
      <c r="C9" s="12">
        <v>1.44</v>
      </c>
      <c r="D9" s="11">
        <f t="shared" si="0"/>
        <v>2.903225806451613</v>
      </c>
      <c r="E9" s="11">
        <f t="shared" si="1"/>
        <v>2199.638116129033</v>
      </c>
      <c r="F9" s="69">
        <f>2189+9</f>
        <v>2198</v>
      </c>
      <c r="G9" s="14">
        <f t="shared" si="2"/>
        <v>-1.6381161290328237</v>
      </c>
    </row>
    <row r="10" spans="1:8" s="10" customFormat="1" ht="14.25">
      <c r="A10" s="11" t="s">
        <v>373</v>
      </c>
      <c r="B10" s="63">
        <v>9.49</v>
      </c>
      <c r="C10" s="64">
        <v>0.16</v>
      </c>
      <c r="D10" s="11">
        <f t="shared" si="0"/>
        <v>0.32258064516129037</v>
      </c>
      <c r="E10" s="11">
        <f t="shared" si="1"/>
        <v>603.8662129032258</v>
      </c>
      <c r="F10" s="78">
        <v>601</v>
      </c>
      <c r="G10" s="14">
        <f t="shared" si="2"/>
        <v>-2.866212903225801</v>
      </c>
      <c r="H10" s="74"/>
    </row>
    <row r="11" spans="1:7" s="10" customFormat="1" ht="14.25">
      <c r="A11" s="15" t="s">
        <v>230</v>
      </c>
      <c r="B11" s="63">
        <v>15.55</v>
      </c>
      <c r="C11" s="64">
        <v>0.89</v>
      </c>
      <c r="D11" s="11">
        <f t="shared" si="0"/>
        <v>1.7943548387096777</v>
      </c>
      <c r="E11" s="76">
        <f t="shared" si="1"/>
        <v>1067.3715967741934</v>
      </c>
      <c r="F11" s="79">
        <v>1025</v>
      </c>
      <c r="G11" s="77">
        <f t="shared" si="2"/>
        <v>-42.37159677419345</v>
      </c>
    </row>
    <row r="12" spans="1:7" s="25" customFormat="1" ht="14.25">
      <c r="A12" s="24"/>
      <c r="B12" s="24"/>
      <c r="C12" s="24">
        <f>SUM(C4:C11)</f>
        <v>4.959999999999999</v>
      </c>
      <c r="D12" s="24">
        <v>10</v>
      </c>
      <c r="E12" s="24"/>
      <c r="F12" s="24"/>
      <c r="G12" s="24"/>
    </row>
    <row r="17" ht="36.75" customHeight="1">
      <c r="A17" s="27"/>
    </row>
    <row r="18" ht="14.25">
      <c r="A18" s="27"/>
    </row>
    <row r="19" ht="14.2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2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91"/>
  <sheetViews>
    <sheetView zoomScalePageLayoutView="0" workbookViewId="0" topLeftCell="A1">
      <selection activeCell="A16" sqref="A16:A1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42578</v>
      </c>
      <c r="C1" s="3" t="s">
        <v>1</v>
      </c>
      <c r="D1" s="4">
        <v>66.9</v>
      </c>
      <c r="E1" s="5" t="s">
        <v>2</v>
      </c>
    </row>
    <row r="2" s="5" customFormat="1" ht="14.25">
      <c r="A2" s="6" t="s">
        <v>1010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336</v>
      </c>
      <c r="B4" s="135">
        <f>12.95*0.9</f>
        <v>11.655</v>
      </c>
      <c r="C4" s="64"/>
      <c r="D4" s="103">
        <f aca="true" t="shared" si="0" ref="D4:D13">C4*1</f>
        <v>0</v>
      </c>
      <c r="E4" s="114">
        <f aca="true" t="shared" si="1" ref="E4:E13">(B4+D4)*$D$1</f>
        <v>779.7195</v>
      </c>
      <c r="F4" s="79">
        <v>780</v>
      </c>
      <c r="G4" s="14">
        <f aca="true" t="shared" si="2" ref="G4:G13">-E4+F4</f>
        <v>0.2804999999999609</v>
      </c>
      <c r="H4" s="74"/>
    </row>
    <row r="5" spans="1:8" s="10" customFormat="1" ht="14.25">
      <c r="A5" s="11" t="s">
        <v>35</v>
      </c>
      <c r="B5" s="135">
        <f>12.95*0.9</f>
        <v>11.655</v>
      </c>
      <c r="C5" s="64"/>
      <c r="D5" s="103">
        <f t="shared" si="0"/>
        <v>0</v>
      </c>
      <c r="E5" s="114">
        <f t="shared" si="1"/>
        <v>779.7195</v>
      </c>
      <c r="F5" s="79">
        <v>780</v>
      </c>
      <c r="G5" s="14">
        <f t="shared" si="2"/>
        <v>0.2804999999999609</v>
      </c>
      <c r="H5" s="74"/>
    </row>
    <row r="6" spans="1:7" s="10" customFormat="1" ht="14.25">
      <c r="A6" s="15" t="s">
        <v>120</v>
      </c>
      <c r="B6" s="135">
        <f>26.1*0.9</f>
        <v>23.490000000000002</v>
      </c>
      <c r="C6" s="64"/>
      <c r="D6" s="103">
        <f t="shared" si="0"/>
        <v>0</v>
      </c>
      <c r="E6" s="114">
        <f t="shared" si="1"/>
        <v>1571.4810000000002</v>
      </c>
      <c r="F6" s="79">
        <v>1571</v>
      </c>
      <c r="G6" s="77">
        <f t="shared" si="2"/>
        <v>-0.4810000000002219</v>
      </c>
    </row>
    <row r="7" spans="1:8" s="10" customFormat="1" ht="14.25">
      <c r="A7" s="11" t="s">
        <v>795</v>
      </c>
      <c r="B7" s="63">
        <f>24.99*0.9</f>
        <v>22.491</v>
      </c>
      <c r="C7" s="64"/>
      <c r="D7" s="103">
        <f t="shared" si="0"/>
        <v>0</v>
      </c>
      <c r="E7" s="114">
        <f t="shared" si="1"/>
        <v>1504.6479000000002</v>
      </c>
      <c r="F7" s="79">
        <v>1510</v>
      </c>
      <c r="G7" s="14">
        <f t="shared" si="2"/>
        <v>5.352099999999837</v>
      </c>
      <c r="H7" s="74"/>
    </row>
    <row r="8" spans="1:8" s="10" customFormat="1" ht="14.25">
      <c r="A8" s="11" t="s">
        <v>505</v>
      </c>
      <c r="B8" s="63">
        <f>8.99*0.9</f>
        <v>8.091000000000001</v>
      </c>
      <c r="C8" s="64"/>
      <c r="D8" s="103">
        <f t="shared" si="0"/>
        <v>0</v>
      </c>
      <c r="E8" s="114">
        <f t="shared" si="1"/>
        <v>541.2879000000001</v>
      </c>
      <c r="F8" s="79">
        <v>541</v>
      </c>
      <c r="G8" s="14">
        <f t="shared" si="2"/>
        <v>-0.2879000000001497</v>
      </c>
      <c r="H8" s="74"/>
    </row>
    <row r="9" spans="1:8" s="10" customFormat="1" ht="14.25">
      <c r="A9" s="11" t="s">
        <v>449</v>
      </c>
      <c r="B9" s="135">
        <f>22*0.9</f>
        <v>19.8</v>
      </c>
      <c r="C9" s="64"/>
      <c r="D9" s="103">
        <f t="shared" si="0"/>
        <v>0</v>
      </c>
      <c r="E9" s="114">
        <f t="shared" si="1"/>
        <v>1324.6200000000001</v>
      </c>
      <c r="F9" s="85">
        <v>1324</v>
      </c>
      <c r="G9" s="14">
        <f t="shared" si="2"/>
        <v>-0.6200000000001182</v>
      </c>
      <c r="H9" s="74"/>
    </row>
    <row r="10" spans="1:8" s="10" customFormat="1" ht="14.25">
      <c r="A10" s="11" t="s">
        <v>851</v>
      </c>
      <c r="B10" s="135">
        <f>19.83*0.9</f>
        <v>17.846999999999998</v>
      </c>
      <c r="C10" s="64"/>
      <c r="D10" s="103">
        <f t="shared" si="0"/>
        <v>0</v>
      </c>
      <c r="E10" s="114">
        <f t="shared" si="1"/>
        <v>1193.9642999999999</v>
      </c>
      <c r="F10" s="79">
        <v>1194</v>
      </c>
      <c r="G10" s="14">
        <f t="shared" si="2"/>
        <v>0.035700000000133514</v>
      </c>
      <c r="H10" s="74"/>
    </row>
    <row r="11" spans="1:7" s="10" customFormat="1" ht="14.25">
      <c r="A11" s="15" t="s">
        <v>227</v>
      </c>
      <c r="B11" s="135">
        <f>15.94*0.9</f>
        <v>14.346</v>
      </c>
      <c r="C11" s="64"/>
      <c r="D11" s="103">
        <f t="shared" si="0"/>
        <v>0</v>
      </c>
      <c r="E11" s="114">
        <f t="shared" si="1"/>
        <v>959.7474000000001</v>
      </c>
      <c r="F11" s="136">
        <v>960</v>
      </c>
      <c r="G11" s="77">
        <f t="shared" si="2"/>
        <v>0.2525999999999158</v>
      </c>
    </row>
    <row r="12" spans="1:8" s="10" customFormat="1" ht="14.25">
      <c r="A12" s="11" t="s">
        <v>315</v>
      </c>
      <c r="B12" s="63">
        <f>11.63*0.9</f>
        <v>10.467</v>
      </c>
      <c r="C12" s="64"/>
      <c r="D12" s="103">
        <f t="shared" si="0"/>
        <v>0</v>
      </c>
      <c r="E12" s="114">
        <f t="shared" si="1"/>
        <v>700.2423000000001</v>
      </c>
      <c r="F12" s="79">
        <v>700</v>
      </c>
      <c r="G12" s="14">
        <f t="shared" si="2"/>
        <v>-0.24230000000011387</v>
      </c>
      <c r="H12" s="74"/>
    </row>
    <row r="13" spans="1:8" s="10" customFormat="1" ht="14.25">
      <c r="A13" s="11" t="s">
        <v>194</v>
      </c>
      <c r="B13" s="63">
        <f>13.48*0.9</f>
        <v>12.132000000000001</v>
      </c>
      <c r="C13" s="64"/>
      <c r="D13" s="103">
        <f t="shared" si="0"/>
        <v>0</v>
      </c>
      <c r="E13" s="114">
        <f t="shared" si="1"/>
        <v>811.6308000000001</v>
      </c>
      <c r="F13" s="79">
        <v>811</v>
      </c>
      <c r="G13" s="14">
        <f t="shared" si="2"/>
        <v>-0.6308000000001357</v>
      </c>
      <c r="H13" s="74"/>
    </row>
    <row r="14" spans="1:7" s="25" customFormat="1" ht="14.25">
      <c r="A14" s="24"/>
      <c r="B14" s="24"/>
      <c r="C14" s="24"/>
      <c r="D14" s="24"/>
      <c r="E14" s="24"/>
      <c r="F14" s="24"/>
      <c r="G14" s="24"/>
    </row>
    <row r="16" ht="28.5">
      <c r="A16" s="98"/>
    </row>
    <row r="17" ht="28.5">
      <c r="A17" s="98"/>
    </row>
    <row r="18" ht="28.5">
      <c r="A18" s="98" t="s">
        <v>416</v>
      </c>
    </row>
    <row r="19" spans="1:2" ht="14.25">
      <c r="A19" s="11" t="s">
        <v>1003</v>
      </c>
      <c r="B19" s="72" t="s">
        <v>1004</v>
      </c>
    </row>
    <row r="20" ht="14.25">
      <c r="B20" s="72"/>
    </row>
    <row r="24" spans="4:5" ht="14.25">
      <c r="D24" s="43"/>
      <c r="E24" s="132"/>
    </row>
    <row r="35" spans="4:5" ht="14.25">
      <c r="D35" s="43">
        <f>B35+C35+'303'!G8+'313'!G7+'323'!G8+'345'!G5+'382'!G8+'383'!G8+'401'!G7+'426'!G6+'441'!G6+'457'!G5+'483'!G6+'500'!G4+'505'!G4+'531'!G13+'564'!G7</f>
        <v>0.10936026540684907</v>
      </c>
      <c r="E35" s="132" t="s">
        <v>988</v>
      </c>
    </row>
    <row r="103" spans="4:5" ht="14.25">
      <c r="D103" s="43">
        <f>'539'!G12+'564'!G9</f>
        <v>0.21879999999998745</v>
      </c>
      <c r="E103" t="s">
        <v>993</v>
      </c>
    </row>
    <row r="120" spans="4:5" ht="14.25">
      <c r="D120" s="43">
        <f>'562'!G7+'564'!G10</f>
        <v>-0.48919999999986885</v>
      </c>
      <c r="E120" t="s">
        <v>992</v>
      </c>
    </row>
    <row r="131" spans="4:5" ht="14.25">
      <c r="D131" s="43">
        <f>B131+C131+'309'!G4+'316'!G4+'319'!G4+'339'!G9+'340'!G4+'372'!G7+'381'!G4+'391'!G7+'404'!G6+'411'!G4+'412'!G8+'416'!G4+'429'!G4+'485'!G4+'522'!G5</f>
        <v>4.579371965812413</v>
      </c>
      <c r="E131" s="132" t="s">
        <v>846</v>
      </c>
    </row>
    <row r="136" spans="4:5" ht="14.25">
      <c r="D136" s="43">
        <f>B136+C136+'325'!G9+'328'!G5+'344'!G9+'378'!G7+'384'!G6+'387'!G4+'391'!G9+'399'!G4+'441'!G4+'522'!G4</f>
        <v>-1.887614562767908</v>
      </c>
      <c r="E136" s="132" t="s">
        <v>845</v>
      </c>
    </row>
    <row r="173" spans="1:5" ht="14.25">
      <c r="A173" t="s">
        <v>844</v>
      </c>
      <c r="B173">
        <v>0</v>
      </c>
      <c r="D173" s="43">
        <f>'522'!G7</f>
        <v>0.15050000000002228</v>
      </c>
      <c r="E173">
        <v>522</v>
      </c>
    </row>
    <row r="185" spans="4:5" ht="14.25">
      <c r="D185" s="43">
        <f>'469'!G6+'564'!G8</f>
        <v>0.0795999999995729</v>
      </c>
      <c r="E185" t="s">
        <v>991</v>
      </c>
    </row>
    <row r="192" spans="4:5" ht="14.25">
      <c r="D192" s="43">
        <f>'388'!G4+'413'!G5+'427'!G5+'428'!G6+'560'!G7+'561'!G4+'564'!G4</f>
        <v>0.6078799999989428</v>
      </c>
      <c r="E192" t="s">
        <v>990</v>
      </c>
    </row>
    <row r="261" spans="4:5" ht="14.25">
      <c r="D261" s="43">
        <f>B261+C261+'306'!G6+'344'!G5+'348'!G9+'394'!G4+'395'!G6+'397'!G4+'487'!G4+'564'!G5</f>
        <v>0.2569838709675878</v>
      </c>
      <c r="E261" s="132" t="s">
        <v>989</v>
      </c>
    </row>
    <row r="267" spans="4:5" ht="14.25">
      <c r="D267" s="43">
        <f>'435'!G4+'521'!G6</f>
        <v>0.19920000000001892</v>
      </c>
      <c r="E267" t="s">
        <v>839</v>
      </c>
    </row>
    <row r="293" spans="4:5" ht="14.25">
      <c r="D293" s="43">
        <f>B293+C293+'344'!G7+'442'!G5+'475'!G12+'511'!G5+'517'!G8+'564'!G12</f>
        <v>0.18759999999952015</v>
      </c>
      <c r="E293" t="s">
        <v>987</v>
      </c>
    </row>
    <row r="325" spans="4:5" ht="14.25">
      <c r="D325" s="43">
        <f>B325+C325+'339'!G6+'359'!G7+'362'!G8+'422'!G4+'425'!G7+'470'!G6+'479'!G7+'514'!G6+'522'!G6</f>
        <v>-0.18308000000028812</v>
      </c>
      <c r="E325" t="s">
        <v>847</v>
      </c>
    </row>
    <row r="355" spans="2:5" ht="14.25">
      <c r="B355">
        <v>0</v>
      </c>
      <c r="D355" s="43">
        <f>'485'!G8+'488'!G6+'489'!G6+'491'!G4+'494'!G6+'495'!G4+'498'!G8+'502'!G5+'504'!G4+'508'!G5+'511'!G4+'514'!G7+'521'!G4+'522'!G8</f>
        <v>0.3647999999984677</v>
      </c>
      <c r="E355" t="s">
        <v>848</v>
      </c>
    </row>
    <row r="357" spans="4:5" ht="14.25">
      <c r="D357" s="43">
        <f>'485'!G8+'488'!G6+'489'!G6+'491'!G4+'494'!G6+'495'!G4+'498'!G8+'502'!G5+'504'!G4+'508'!G5+'511'!G4+'514'!G7+'521'!G4</f>
        <v>-0.41860000000156106</v>
      </c>
      <c r="E357" t="s">
        <v>840</v>
      </c>
    </row>
    <row r="376" spans="4:5" ht="14.25">
      <c r="D376" s="43">
        <f>'381'!G5+'411'!G5+'419'!G6+'468'!G4+'506'!G7+'511'!G6+'528'!G4+'531'!G6+'554'!G8+'558'!G5+'559'!G9+'564'!G11</f>
        <v>0.12918000000126995</v>
      </c>
      <c r="E376" t="s">
        <v>986</v>
      </c>
    </row>
    <row r="391" spans="4:5" ht="14.25">
      <c r="D391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91" t="s">
        <v>985</v>
      </c>
    </row>
  </sheetData>
  <sheetProtection/>
  <hyperlinks>
    <hyperlink ref="B19" r:id="rId1" display="http://ru.iherb.com/PEAKfresh-USA-Produce-Bags-Reusable-10-12-x-16-Bags-with-Twist-Ties/44160"/>
  </hyperlinks>
  <printOptions/>
  <pageMargins left="0.7" right="0.7" top="0.75" bottom="0.75" header="0.3" footer="0.3"/>
  <pageSetup orientation="portrait" paperSize="9"/>
</worksheet>
</file>

<file path=xl/worksheets/sheet2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5"/>
  <sheetViews>
    <sheetView zoomScalePageLayoutView="0" workbookViewId="0" topLeftCell="A1">
      <selection activeCell="A10" sqref="A10:A11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42583</v>
      </c>
      <c r="C1" s="3" t="s">
        <v>1</v>
      </c>
      <c r="D1" s="4">
        <v>66.65</v>
      </c>
      <c r="E1" s="5" t="s">
        <v>2</v>
      </c>
    </row>
    <row r="2" s="5" customFormat="1" ht="14.25">
      <c r="A2" s="6" t="s">
        <v>1014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694</v>
      </c>
      <c r="B4" s="135">
        <f>75.91*0.9</f>
        <v>68.319</v>
      </c>
      <c r="C4" s="64"/>
      <c r="D4" s="103">
        <f>C4*1</f>
        <v>0</v>
      </c>
      <c r="E4" s="114">
        <f>(B4+D4)*$D$1</f>
        <v>4553.4613500000005</v>
      </c>
      <c r="F4" s="79">
        <v>4553</v>
      </c>
      <c r="G4" s="14">
        <f>-E4+F4</f>
        <v>-0.4613500000004933</v>
      </c>
      <c r="H4" s="74"/>
    </row>
    <row r="5" spans="1:8" s="10" customFormat="1" ht="14.25">
      <c r="A5" s="11" t="s">
        <v>971</v>
      </c>
      <c r="B5" s="135">
        <f>17.51*0.9</f>
        <v>15.759000000000002</v>
      </c>
      <c r="C5" s="64"/>
      <c r="D5" s="103">
        <f>C5*1</f>
        <v>0</v>
      </c>
      <c r="E5" s="114">
        <f>(B5+D5)*$D$1</f>
        <v>1050.3373500000002</v>
      </c>
      <c r="F5" s="79">
        <v>1051</v>
      </c>
      <c r="G5" s="14">
        <f>-E5+F5</f>
        <v>0.6626499999997577</v>
      </c>
      <c r="H5" s="74"/>
    </row>
    <row r="6" spans="1:7" s="10" customFormat="1" ht="14.25">
      <c r="A6" s="15" t="s">
        <v>383</v>
      </c>
      <c r="B6" s="135">
        <f>18.45*0.9</f>
        <v>16.605</v>
      </c>
      <c r="C6" s="64"/>
      <c r="D6" s="103">
        <f>C6*1</f>
        <v>0</v>
      </c>
      <c r="E6" s="114">
        <f>(B6+D6)*$D$1</f>
        <v>1106.7232500000002</v>
      </c>
      <c r="F6" s="79">
        <v>1107</v>
      </c>
      <c r="G6" s="77">
        <f>-E6+F6</f>
        <v>0.27674999999976535</v>
      </c>
    </row>
    <row r="7" spans="1:8" s="10" customFormat="1" ht="14.25">
      <c r="A7" s="11" t="s">
        <v>24</v>
      </c>
      <c r="B7" s="63">
        <f>7.98*0.9</f>
        <v>7.182</v>
      </c>
      <c r="C7" s="64"/>
      <c r="D7" s="103">
        <f>C7*1</f>
        <v>0</v>
      </c>
      <c r="E7" s="114">
        <f>(B7+D7)*$D$1</f>
        <v>478.68030000000005</v>
      </c>
      <c r="F7" s="79">
        <v>479</v>
      </c>
      <c r="G7" s="14">
        <f>-E7+F7</f>
        <v>0.3196999999999548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spans="1:2" ht="14.25">
      <c r="A13" s="11"/>
      <c r="B13" s="72"/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988</v>
      </c>
    </row>
    <row r="97" spans="4:5" ht="14.25">
      <c r="D97" s="43">
        <f>'539'!G12+'564'!G9</f>
        <v>0.21879999999998745</v>
      </c>
      <c r="E97" t="s">
        <v>993</v>
      </c>
    </row>
    <row r="114" spans="4:5" ht="14.25">
      <c r="D114" s="43">
        <f>'562'!G7+'564'!G10</f>
        <v>-0.48919999999986885</v>
      </c>
      <c r="E114" t="s">
        <v>992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846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845</v>
      </c>
    </row>
    <row r="167" spans="1:5" ht="14.25">
      <c r="A167" t="s">
        <v>844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991</v>
      </c>
    </row>
    <row r="186" spans="4:5" ht="14.25">
      <c r="D186" s="43">
        <f>'388'!G4+'413'!G5+'427'!G5+'428'!G6+'560'!G7+'561'!G4+'564'!G4</f>
        <v>0.6078799999989428</v>
      </c>
      <c r="E186" t="s">
        <v>990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989</v>
      </c>
    </row>
    <row r="261" spans="4:5" ht="14.25">
      <c r="D261" s="43">
        <f>'435'!G4+'521'!G6</f>
        <v>0.19920000000001892</v>
      </c>
      <c r="E261" t="s">
        <v>839</v>
      </c>
    </row>
    <row r="287" spans="4:5" ht="14.25">
      <c r="D287" s="43">
        <f>B287+C287+'344'!G7+'442'!G5+'475'!G12+'511'!G5+'517'!G8+'564'!G12</f>
        <v>0.18759999999952015</v>
      </c>
      <c r="E287" t="s">
        <v>987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847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848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840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986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985</v>
      </c>
    </row>
  </sheetData>
  <sheetProtection/>
  <printOptions/>
  <pageMargins left="0.7" right="0.7" top="0.75" bottom="0.75" header="0.3" footer="0.3"/>
  <pageSetup orientation="portrait" paperSize="9"/>
</worksheet>
</file>

<file path=xl/worksheets/sheet2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4"/>
  <sheetViews>
    <sheetView zoomScalePageLayoutView="0" workbookViewId="0" topLeftCell="A1">
      <selection activeCell="A9" sqref="A9:A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42583</v>
      </c>
      <c r="C1" s="3" t="s">
        <v>1</v>
      </c>
      <c r="D1" s="4">
        <v>66.65</v>
      </c>
      <c r="E1" s="5" t="s">
        <v>2</v>
      </c>
    </row>
    <row r="2" s="5" customFormat="1" ht="14.25">
      <c r="A2" s="6" t="s">
        <v>1014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228</v>
      </c>
      <c r="B4" s="135">
        <f>46.185*0.9</f>
        <v>41.566500000000005</v>
      </c>
      <c r="C4" s="64"/>
      <c r="D4" s="103">
        <f>C4*1</f>
        <v>0</v>
      </c>
      <c r="E4" s="114">
        <f>(B4+D4)*$D$1</f>
        <v>2770.4072250000004</v>
      </c>
      <c r="F4" s="79">
        <v>2770</v>
      </c>
      <c r="G4" s="14">
        <f>-E4+F4</f>
        <v>-0.40722500000038053</v>
      </c>
      <c r="H4" s="74"/>
    </row>
    <row r="5" spans="1:8" s="10" customFormat="1" ht="14.25">
      <c r="A5" s="11" t="s">
        <v>1015</v>
      </c>
      <c r="B5" s="135">
        <f>52.06*0.9</f>
        <v>46.854000000000006</v>
      </c>
      <c r="C5" s="64"/>
      <c r="D5" s="103">
        <f>C5*1</f>
        <v>0</v>
      </c>
      <c r="E5" s="114">
        <f>(B5+D5)*$D$1</f>
        <v>3122.8191000000006</v>
      </c>
      <c r="F5" s="79">
        <v>3123</v>
      </c>
      <c r="G5" s="14">
        <f>-E5+F5</f>
        <v>0.180899999999383</v>
      </c>
      <c r="H5" s="74"/>
    </row>
    <row r="6" spans="1:7" s="10" customFormat="1" ht="14.25">
      <c r="A6" s="15" t="s">
        <v>51</v>
      </c>
      <c r="B6" s="135">
        <f>20.34*0.9</f>
        <v>18.306</v>
      </c>
      <c r="C6" s="64"/>
      <c r="D6" s="103">
        <f>C6*1</f>
        <v>0</v>
      </c>
      <c r="E6" s="114">
        <f>(B6+D6)*$D$1</f>
        <v>1220.0949000000003</v>
      </c>
      <c r="F6" s="79">
        <v>1220</v>
      </c>
      <c r="G6" s="77">
        <f>-E6+F6</f>
        <v>-0.09490000000027976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spans="1:2" ht="14.25">
      <c r="A12" s="11"/>
      <c r="B12" s="72"/>
    </row>
    <row r="13" ht="14.25">
      <c r="B13" s="72"/>
    </row>
    <row r="17" spans="4:5" ht="14.25">
      <c r="D17" s="43"/>
      <c r="E17" s="132"/>
    </row>
    <row r="28" spans="4:5" ht="14.25">
      <c r="D28" s="43">
        <f>B28+C28+'303'!G8+'313'!G7+'323'!G8+'345'!G5+'382'!G8+'383'!G8+'401'!G7+'426'!G6+'441'!G6+'457'!G5+'483'!G6+'500'!G4+'505'!G4+'531'!G13+'564'!G7</f>
        <v>0.10936026540684907</v>
      </c>
      <c r="E28" s="132" t="s">
        <v>988</v>
      </c>
    </row>
    <row r="96" spans="4:5" ht="14.25">
      <c r="D96" s="43">
        <f>'539'!G12+'564'!G9</f>
        <v>0.21879999999998745</v>
      </c>
      <c r="E96" t="s">
        <v>993</v>
      </c>
    </row>
    <row r="113" spans="4:5" ht="14.25">
      <c r="D113" s="43">
        <f>'562'!G7+'564'!G10</f>
        <v>-0.48919999999986885</v>
      </c>
      <c r="E113" t="s">
        <v>992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846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845</v>
      </c>
    </row>
    <row r="166" spans="1:5" ht="14.25">
      <c r="A166" t="s">
        <v>844</v>
      </c>
      <c r="B166">
        <v>0</v>
      </c>
      <c r="D166" s="43">
        <f>'522'!G7</f>
        <v>0.15050000000002228</v>
      </c>
      <c r="E166">
        <v>522</v>
      </c>
    </row>
    <row r="178" spans="4:5" ht="14.25">
      <c r="D178" s="43">
        <f>'469'!G6+'564'!G8</f>
        <v>0.0795999999995729</v>
      </c>
      <c r="E178" t="s">
        <v>991</v>
      </c>
    </row>
    <row r="185" spans="4:5" ht="14.25">
      <c r="D185" s="43">
        <f>'388'!G4+'413'!G5+'427'!G5+'428'!G6+'560'!G7+'561'!G4+'564'!G4</f>
        <v>0.6078799999989428</v>
      </c>
      <c r="E185" t="s">
        <v>990</v>
      </c>
    </row>
    <row r="254" spans="4:5" ht="14.25">
      <c r="D254" s="43">
        <f>B254+C254+'306'!G6+'344'!G5+'348'!G9+'394'!G4+'395'!G6+'397'!G4+'487'!G4+'564'!G5</f>
        <v>0.2569838709675878</v>
      </c>
      <c r="E254" s="132" t="s">
        <v>989</v>
      </c>
    </row>
    <row r="260" spans="4:5" ht="14.25">
      <c r="D260" s="43">
        <f>'435'!G4+'521'!G6</f>
        <v>0.19920000000001892</v>
      </c>
      <c r="E260" t="s">
        <v>839</v>
      </c>
    </row>
    <row r="286" spans="4:5" ht="14.25">
      <c r="D286" s="43">
        <f>B286+C286+'344'!G7+'442'!G5+'475'!G12+'511'!G5+'517'!G8+'564'!G12</f>
        <v>0.18759999999952015</v>
      </c>
      <c r="E286" t="s">
        <v>987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847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848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840</v>
      </c>
    </row>
    <row r="369" spans="4:5" ht="14.25">
      <c r="D369" s="43">
        <f>'381'!G5+'411'!G5+'419'!G6+'468'!G4+'506'!G7+'511'!G6+'528'!G4+'531'!G6+'554'!G8+'558'!G5+'559'!G9+'564'!G11</f>
        <v>0.12918000000126995</v>
      </c>
      <c r="E369" t="s">
        <v>986</v>
      </c>
    </row>
    <row r="384" spans="4:5" ht="14.25">
      <c r="D384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4" t="s">
        <v>985</v>
      </c>
    </row>
  </sheetData>
  <sheetProtection/>
  <printOptions/>
  <pageMargins left="0.7" right="0.7" top="0.75" bottom="0.75" header="0.3" footer="0.3"/>
  <pageSetup orientation="portrait" paperSize="9"/>
</worksheet>
</file>

<file path=xl/worksheets/sheet2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5"/>
  <sheetViews>
    <sheetView zoomScalePageLayoutView="0" workbookViewId="0" topLeftCell="A1">
      <selection activeCell="A10" sqref="A10:A11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42585</v>
      </c>
      <c r="C1" s="3" t="s">
        <v>1</v>
      </c>
      <c r="D1" s="4">
        <v>67.45</v>
      </c>
      <c r="E1" s="5" t="s">
        <v>2</v>
      </c>
    </row>
    <row r="2" s="5" customFormat="1" ht="14.25">
      <c r="A2" s="6" t="s">
        <v>1020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1021</v>
      </c>
      <c r="B4" s="135">
        <v>14.51</v>
      </c>
      <c r="C4" s="64"/>
      <c r="D4" s="103">
        <f>C4*1</f>
        <v>0</v>
      </c>
      <c r="E4" s="114">
        <f>(B4+D4)*$D$1</f>
        <v>978.6995000000001</v>
      </c>
      <c r="F4" s="85">
        <v>979</v>
      </c>
      <c r="G4" s="14">
        <f>-E4+F4</f>
        <v>0.3004999999999427</v>
      </c>
      <c r="H4" s="74"/>
    </row>
    <row r="5" spans="1:8" s="10" customFormat="1" ht="14.25">
      <c r="A5" s="11" t="s">
        <v>366</v>
      </c>
      <c r="B5" s="135">
        <v>43.1</v>
      </c>
      <c r="C5" s="64"/>
      <c r="D5" s="103">
        <f>C5*1</f>
        <v>0</v>
      </c>
      <c r="E5" s="114">
        <f>(B5+D5)*$D$1</f>
        <v>2907.0950000000003</v>
      </c>
      <c r="F5" s="79">
        <v>2907</v>
      </c>
      <c r="G5" s="14">
        <f>-E5+F5</f>
        <v>-0.09500000000025466</v>
      </c>
      <c r="H5" s="74"/>
    </row>
    <row r="6" spans="1:7" s="10" customFormat="1" ht="14.25">
      <c r="A6" s="15" t="s">
        <v>482</v>
      </c>
      <c r="B6" s="135">
        <v>31.99</v>
      </c>
      <c r="C6" s="64"/>
      <c r="D6" s="103">
        <f>C6*1</f>
        <v>0</v>
      </c>
      <c r="E6" s="114">
        <f>(B6+D6)*$D$1</f>
        <v>2157.7255</v>
      </c>
      <c r="F6" s="79">
        <v>2158</v>
      </c>
      <c r="G6" s="77">
        <f>-E6+F6</f>
        <v>0.2744999999999891</v>
      </c>
    </row>
    <row r="7" spans="1:8" s="10" customFormat="1" ht="14.25">
      <c r="A7" s="11" t="s">
        <v>1022</v>
      </c>
      <c r="B7" s="63">
        <v>55.97</v>
      </c>
      <c r="C7" s="64"/>
      <c r="D7" s="103">
        <f>C7*1</f>
        <v>0</v>
      </c>
      <c r="E7" s="114">
        <f>(B7+D7)*$D$1</f>
        <v>3775.1765</v>
      </c>
      <c r="F7" s="85">
        <v>3775</v>
      </c>
      <c r="G7" s="14">
        <f>-E7+F7</f>
        <v>-0.17650000000003274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 t="s">
        <v>538</v>
      </c>
    </row>
    <row r="13" spans="1:2" ht="14.25">
      <c r="A13" s="71" t="s">
        <v>1021</v>
      </c>
      <c r="B13" s="72" t="s">
        <v>1023</v>
      </c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988</v>
      </c>
    </row>
    <row r="97" spans="4:5" ht="14.25">
      <c r="D97" s="43">
        <f>'539'!G12+'564'!G9</f>
        <v>0.21879999999998745</v>
      </c>
      <c r="E97" t="s">
        <v>993</v>
      </c>
    </row>
    <row r="114" spans="4:5" ht="14.25">
      <c r="D114" s="43">
        <f>'562'!G7+'564'!G10</f>
        <v>-0.48919999999986885</v>
      </c>
      <c r="E114" t="s">
        <v>992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846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845</v>
      </c>
    </row>
    <row r="167" spans="1:5" ht="14.25">
      <c r="A167" t="s">
        <v>844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991</v>
      </c>
    </row>
    <row r="186" spans="4:5" ht="14.25">
      <c r="D186" s="43">
        <f>'388'!G4+'413'!G5+'427'!G5+'428'!G6+'560'!G7+'561'!G4+'564'!G4</f>
        <v>0.6078799999989428</v>
      </c>
      <c r="E186" t="s">
        <v>990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989</v>
      </c>
    </row>
    <row r="261" spans="4:5" ht="14.25">
      <c r="D261" s="43">
        <f>'435'!G4+'521'!G6</f>
        <v>0.19920000000001892</v>
      </c>
      <c r="E261" t="s">
        <v>839</v>
      </c>
    </row>
    <row r="287" spans="4:5" ht="14.25">
      <c r="D287" s="43">
        <f>B287+C287+'344'!G7+'442'!G5+'475'!G12+'511'!G5+'517'!G8+'564'!G12</f>
        <v>0.18759999999952015</v>
      </c>
      <c r="E287" t="s">
        <v>987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847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848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840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986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985</v>
      </c>
    </row>
  </sheetData>
  <sheetProtection/>
  <hyperlinks>
    <hyperlink ref="B13" r:id="rId1" display="http://ru.iherb.com/Acure-Organics-Cell-Stimulating-Facial-Mask-1-75-oz-50-ml/40499"/>
  </hyperlinks>
  <printOptions/>
  <pageMargins left="0.7" right="0.7" top="0.75" bottom="0.75" header="0.3" footer="0.3"/>
  <pageSetup orientation="portrait" paperSize="9"/>
</worksheet>
</file>

<file path=xl/worksheets/sheet2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9"/>
  <sheetViews>
    <sheetView zoomScalePageLayoutView="0" workbookViewId="0" topLeftCell="A1">
      <selection activeCell="A14" sqref="A14:A1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42585</v>
      </c>
      <c r="C1" s="3" t="s">
        <v>1</v>
      </c>
      <c r="D1" s="4">
        <v>67.45</v>
      </c>
      <c r="E1" s="5" t="s">
        <v>2</v>
      </c>
    </row>
    <row r="2" s="5" customFormat="1" ht="14.25">
      <c r="A2" s="6" t="s">
        <v>1020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1024</v>
      </c>
      <c r="B4" s="135">
        <v>15.36</v>
      </c>
      <c r="C4" s="64"/>
      <c r="D4" s="103">
        <f aca="true" t="shared" si="0" ref="D4:D11">C4*1</f>
        <v>0</v>
      </c>
      <c r="E4" s="114">
        <f aca="true" t="shared" si="1" ref="E4:E11">(B4+D4)*$D$1</f>
        <v>1036.032</v>
      </c>
      <c r="F4" s="79">
        <v>1036</v>
      </c>
      <c r="G4" s="14">
        <f aca="true" t="shared" si="2" ref="G4:G11">-E4+F4</f>
        <v>-0.03199999999992542</v>
      </c>
      <c r="H4" s="74"/>
    </row>
    <row r="5" spans="1:8" s="10" customFormat="1" ht="14.25">
      <c r="A5" s="11" t="s">
        <v>121</v>
      </c>
      <c r="B5" s="135">
        <v>11.77</v>
      </c>
      <c r="C5" s="64"/>
      <c r="D5" s="103">
        <f t="shared" si="0"/>
        <v>0</v>
      </c>
      <c r="E5" s="114">
        <f t="shared" si="1"/>
        <v>793.8865</v>
      </c>
      <c r="F5" s="79">
        <v>794</v>
      </c>
      <c r="G5" s="14">
        <f t="shared" si="2"/>
        <v>0.11350000000004457</v>
      </c>
      <c r="H5" s="74"/>
    </row>
    <row r="6" spans="1:7" s="10" customFormat="1" ht="14.25">
      <c r="A6" s="15" t="s">
        <v>980</v>
      </c>
      <c r="B6" s="135">
        <v>10.943999999999999</v>
      </c>
      <c r="C6" s="64"/>
      <c r="D6" s="103">
        <f t="shared" si="0"/>
        <v>0</v>
      </c>
      <c r="E6" s="114">
        <f t="shared" si="1"/>
        <v>738.1727999999999</v>
      </c>
      <c r="F6" s="79">
        <v>738</v>
      </c>
      <c r="G6" s="77">
        <f t="shared" si="2"/>
        <v>-0.17279999999993834</v>
      </c>
    </row>
    <row r="7" spans="1:8" s="10" customFormat="1" ht="14.25">
      <c r="A7" s="11" t="s">
        <v>65</v>
      </c>
      <c r="B7" s="63">
        <v>40.63</v>
      </c>
      <c r="C7" s="64"/>
      <c r="D7" s="103">
        <f t="shared" si="0"/>
        <v>0</v>
      </c>
      <c r="E7" s="114">
        <f t="shared" si="1"/>
        <v>2740.4935000000005</v>
      </c>
      <c r="F7" s="79">
        <v>2740</v>
      </c>
      <c r="G7" s="14">
        <f t="shared" si="2"/>
        <v>-0.49350000000049477</v>
      </c>
      <c r="H7" s="74"/>
    </row>
    <row r="8" spans="1:8" s="10" customFormat="1" ht="14.25">
      <c r="A8" s="11" t="s">
        <v>431</v>
      </c>
      <c r="B8" s="63">
        <v>19.44</v>
      </c>
      <c r="C8" s="64"/>
      <c r="D8" s="103">
        <f t="shared" si="0"/>
        <v>0</v>
      </c>
      <c r="E8" s="114">
        <f t="shared" si="1"/>
        <v>1311.228</v>
      </c>
      <c r="F8" s="79">
        <v>1311</v>
      </c>
      <c r="G8" s="14">
        <f t="shared" si="2"/>
        <v>-0.22800000000006548</v>
      </c>
      <c r="H8" s="74"/>
    </row>
    <row r="9" spans="1:8" s="10" customFormat="1" ht="14.25">
      <c r="A9" s="11" t="s">
        <v>961</v>
      </c>
      <c r="B9" s="63">
        <v>7.99</v>
      </c>
      <c r="C9" s="64"/>
      <c r="D9" s="103">
        <f>C9*1</f>
        <v>0</v>
      </c>
      <c r="E9" s="114">
        <f>(B9+D9)*$D$1</f>
        <v>538.9255</v>
      </c>
      <c r="F9" s="85">
        <v>539</v>
      </c>
      <c r="G9" s="14">
        <f>-E9+F9</f>
        <v>0.07449999999994361</v>
      </c>
      <c r="H9" s="74"/>
    </row>
    <row r="10" spans="1:8" s="10" customFormat="1" ht="14.25">
      <c r="A10" s="11" t="s">
        <v>188</v>
      </c>
      <c r="B10" s="63">
        <v>17.58</v>
      </c>
      <c r="C10" s="64"/>
      <c r="D10" s="103">
        <f>C10*1</f>
        <v>0</v>
      </c>
      <c r="E10" s="114">
        <f>(B10+D10)*$D$1</f>
        <v>1185.771</v>
      </c>
      <c r="F10" s="79">
        <v>1186</v>
      </c>
      <c r="G10" s="14">
        <f>-E10+F10</f>
        <v>0.22900000000004184</v>
      </c>
      <c r="H10" s="74"/>
    </row>
    <row r="11" spans="1:8" s="10" customFormat="1" ht="14.25">
      <c r="A11" s="11" t="s">
        <v>142</v>
      </c>
      <c r="B11">
        <v>7.95</v>
      </c>
      <c r="C11" s="64"/>
      <c r="D11" s="103">
        <f t="shared" si="0"/>
        <v>0</v>
      </c>
      <c r="E11" s="114">
        <f t="shared" si="1"/>
        <v>536.2275000000001</v>
      </c>
      <c r="F11" s="79">
        <v>536</v>
      </c>
      <c r="G11" s="14">
        <f t="shared" si="2"/>
        <v>-0.2275000000000773</v>
      </c>
      <c r="H11" s="74"/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28.5">
      <c r="A16" s="98" t="s">
        <v>416</v>
      </c>
    </row>
    <row r="17" spans="1:2" ht="14.25">
      <c r="A17" s="71" t="s">
        <v>961</v>
      </c>
      <c r="B17" s="72" t="s">
        <v>1030</v>
      </c>
    </row>
    <row r="18" spans="1:2" ht="14.25">
      <c r="A18" s="71" t="s">
        <v>188</v>
      </c>
      <c r="B18" s="72" t="s">
        <v>1031</v>
      </c>
    </row>
    <row r="22" spans="4:5" ht="14.25">
      <c r="D22" s="43"/>
      <c r="E22" s="132"/>
    </row>
    <row r="33" spans="4:5" ht="14.25">
      <c r="D33" s="43">
        <f>B33+C33+'303'!G8+'313'!G7+'323'!G8+'345'!G5+'382'!G8+'383'!G8+'401'!G7+'426'!G6+'441'!G6+'457'!G5+'483'!G6+'500'!G4+'505'!G4+'531'!G13+'564'!G7</f>
        <v>0.10936026540684907</v>
      </c>
      <c r="E33" s="132" t="s">
        <v>988</v>
      </c>
    </row>
    <row r="101" spans="4:5" ht="14.25">
      <c r="D101" s="43">
        <f>'539'!G12+'564'!G9</f>
        <v>0.21879999999998745</v>
      </c>
      <c r="E101" t="s">
        <v>993</v>
      </c>
    </row>
    <row r="118" spans="4:5" ht="14.25">
      <c r="D118" s="43">
        <f>'562'!G7+'564'!G10</f>
        <v>-0.48919999999986885</v>
      </c>
      <c r="E118" t="s">
        <v>992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846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845</v>
      </c>
    </row>
    <row r="171" spans="1:5" ht="14.25">
      <c r="A171" t="s">
        <v>844</v>
      </c>
      <c r="B171">
        <v>0</v>
      </c>
      <c r="D171" s="43">
        <f>'522'!G7</f>
        <v>0.15050000000002228</v>
      </c>
      <c r="E171">
        <v>522</v>
      </c>
    </row>
    <row r="183" spans="4:5" ht="14.25">
      <c r="D183" s="43">
        <f>'469'!G6+'564'!G8</f>
        <v>0.0795999999995729</v>
      </c>
      <c r="E183" t="s">
        <v>991</v>
      </c>
    </row>
    <row r="190" spans="4:5" ht="14.25">
      <c r="D190" s="43">
        <f>'388'!G4+'413'!G5+'427'!G5+'428'!G6+'560'!G7+'561'!G4+'564'!G4</f>
        <v>0.6078799999989428</v>
      </c>
      <c r="E190" t="s">
        <v>990</v>
      </c>
    </row>
    <row r="259" spans="4:5" ht="14.25">
      <c r="D259" s="43">
        <f>B259+C259+'306'!G6+'344'!G5+'348'!G9+'394'!G4+'395'!G6+'397'!G4+'487'!G4+'564'!G5</f>
        <v>0.2569838709675878</v>
      </c>
      <c r="E259" s="132" t="s">
        <v>989</v>
      </c>
    </row>
    <row r="265" spans="4:5" ht="14.25">
      <c r="D265" s="43">
        <f>'435'!G4+'521'!G6</f>
        <v>0.19920000000001892</v>
      </c>
      <c r="E265" t="s">
        <v>839</v>
      </c>
    </row>
    <row r="291" spans="4:5" ht="14.25">
      <c r="D291" s="43">
        <f>B291+C291+'344'!G7+'442'!G5+'475'!G12+'511'!G5+'517'!G8+'564'!G12</f>
        <v>0.18759999999952015</v>
      </c>
      <c r="E291" t="s">
        <v>987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847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848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840</v>
      </c>
    </row>
    <row r="374" spans="4:5" ht="14.25">
      <c r="D374" s="43">
        <f>'381'!G5+'411'!G5+'419'!G6+'468'!G4+'506'!G7+'511'!G6+'528'!G4+'531'!G6+'554'!G8+'558'!G5+'559'!G9+'564'!G11</f>
        <v>0.12918000000126995</v>
      </c>
      <c r="E374" t="s">
        <v>986</v>
      </c>
    </row>
    <row r="389" spans="4:5" ht="14.25">
      <c r="D389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9" t="s">
        <v>985</v>
      </c>
    </row>
  </sheetData>
  <sheetProtection/>
  <hyperlinks>
    <hyperlink ref="B17" r:id="rId1" display="http://www.iherb.com/Source-Naturals-Psyllium-Husk-Powder-12-oz-340-g/1446"/>
    <hyperlink ref="B18" r:id="rId2" display="http://www.iherb.com/California-Gold-Nutrition-Organic-Maca-500-mg-90-Veggie-Caps/61634"/>
  </hyperlinks>
  <printOptions/>
  <pageMargins left="0.7" right="0.7" top="0.75" bottom="0.75" header="0.3" footer="0.3"/>
  <pageSetup orientation="portrait" paperSize="9"/>
</worksheet>
</file>

<file path=xl/worksheets/sheet2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6"/>
  <sheetViews>
    <sheetView zoomScalePageLayoutView="0" workbookViewId="0" topLeftCell="A1">
      <selection activeCell="A11" sqref="A11:A1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42592</v>
      </c>
      <c r="C1" s="3" t="s">
        <v>1</v>
      </c>
      <c r="D1" s="4">
        <v>65.39</v>
      </c>
      <c r="E1" s="5" t="s">
        <v>2</v>
      </c>
    </row>
    <row r="2" s="5" customFormat="1" ht="14.25">
      <c r="A2" s="6" t="s">
        <v>1032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383</v>
      </c>
      <c r="B4" s="135">
        <v>25.192</v>
      </c>
      <c r="C4" s="64"/>
      <c r="D4" s="103">
        <f>C4*1</f>
        <v>0</v>
      </c>
      <c r="E4" s="114">
        <f>(B4+D4)*$D$1</f>
        <v>1647.30488</v>
      </c>
      <c r="F4" s="79">
        <v>1647</v>
      </c>
      <c r="G4" s="14">
        <f>-E4+F4</f>
        <v>-0.3048799999999119</v>
      </c>
      <c r="H4" s="74"/>
    </row>
    <row r="5" spans="1:8" s="10" customFormat="1" ht="14.25">
      <c r="A5" s="11" t="s">
        <v>1021</v>
      </c>
      <c r="B5" s="135">
        <v>8.49</v>
      </c>
      <c r="C5" s="64"/>
      <c r="D5" s="103">
        <f>C5*1</f>
        <v>0</v>
      </c>
      <c r="E5" s="114">
        <f>(B5+D5)*$D$1</f>
        <v>555.1611</v>
      </c>
      <c r="F5" s="79">
        <v>555</v>
      </c>
      <c r="G5" s="14">
        <f>-E5+F5</f>
        <v>-0.1611000000000331</v>
      </c>
      <c r="H5" s="74"/>
    </row>
    <row r="6" spans="1:7" s="10" customFormat="1" ht="14.25">
      <c r="A6" s="15" t="s">
        <v>381</v>
      </c>
      <c r="B6" s="135">
        <v>50.384</v>
      </c>
      <c r="C6" s="64"/>
      <c r="D6" s="103">
        <f>C6*1</f>
        <v>0</v>
      </c>
      <c r="E6" s="114">
        <f>(B6+D6)*$D$1</f>
        <v>3294.60976</v>
      </c>
      <c r="F6" s="79">
        <v>3295</v>
      </c>
      <c r="G6" s="77">
        <f>-E6+F6</f>
        <v>0.3902400000001762</v>
      </c>
    </row>
    <row r="7" spans="1:8" s="10" customFormat="1" ht="14.25">
      <c r="A7" s="11" t="s">
        <v>183</v>
      </c>
      <c r="B7" s="63">
        <v>11.912999999999998</v>
      </c>
      <c r="C7" s="64"/>
      <c r="D7" s="103">
        <f>C7*1</f>
        <v>0</v>
      </c>
      <c r="E7" s="114">
        <f>(B7+D7)*$D$1</f>
        <v>778.9910699999999</v>
      </c>
      <c r="F7" s="79">
        <v>779</v>
      </c>
      <c r="G7" s="14">
        <f>-E7+F7</f>
        <v>0.008930000000077598</v>
      </c>
      <c r="H7" s="74"/>
    </row>
    <row r="8" spans="1:8" s="10" customFormat="1" ht="14.25">
      <c r="A8" s="11" t="s">
        <v>911</v>
      </c>
      <c r="B8" s="63">
        <v>11.95</v>
      </c>
      <c r="C8" s="64"/>
      <c r="D8" s="103">
        <f>C8*1</f>
        <v>0</v>
      </c>
      <c r="E8" s="114">
        <f>(B8+D8)*$D$1</f>
        <v>781.4105</v>
      </c>
      <c r="F8" s="79">
        <v>1046</v>
      </c>
      <c r="G8" s="14">
        <f>-E8+F8</f>
        <v>264.58950000000004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28.5">
      <c r="A13" s="98"/>
    </row>
    <row r="14" spans="1:2" ht="28.5">
      <c r="A14" s="98"/>
      <c r="B14" s="72"/>
    </row>
    <row r="15" spans="1:2" ht="28.5">
      <c r="A15" s="98"/>
      <c r="B15" s="72"/>
    </row>
    <row r="19" spans="4:5" ht="14.25">
      <c r="D19" s="43"/>
      <c r="E19" s="132"/>
    </row>
    <row r="30" spans="4:5" ht="14.25">
      <c r="D30" s="43">
        <f>B30+C30+'303'!G8+'313'!G7+'323'!G8+'345'!G5+'382'!G8+'383'!G8+'401'!G7+'426'!G6+'441'!G6+'457'!G5+'483'!G6+'500'!G4+'505'!G4+'531'!G13+'564'!G7</f>
        <v>0.10936026540684907</v>
      </c>
      <c r="E30" s="132" t="s">
        <v>988</v>
      </c>
    </row>
    <row r="98" spans="4:5" ht="14.25">
      <c r="D98" s="43">
        <f>'539'!G12+'564'!G9</f>
        <v>0.21879999999998745</v>
      </c>
      <c r="E98" t="s">
        <v>993</v>
      </c>
    </row>
    <row r="115" spans="4:5" ht="14.25">
      <c r="D115" s="43">
        <f>'562'!G7+'564'!G10</f>
        <v>-0.48919999999986885</v>
      </c>
      <c r="E115" t="s">
        <v>992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846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845</v>
      </c>
    </row>
    <row r="168" spans="1:5" ht="14.25">
      <c r="A168" t="s">
        <v>844</v>
      </c>
      <c r="B168">
        <v>0</v>
      </c>
      <c r="D168" s="43">
        <f>'522'!G7</f>
        <v>0.15050000000002228</v>
      </c>
      <c r="E168">
        <v>522</v>
      </c>
    </row>
    <row r="180" spans="4:5" ht="14.25">
      <c r="D180" s="43">
        <f>'469'!G6+'564'!G8</f>
        <v>0.0795999999995729</v>
      </c>
      <c r="E180" t="s">
        <v>991</v>
      </c>
    </row>
    <row r="187" spans="4:5" ht="14.25">
      <c r="D187" s="43">
        <f>'388'!G4+'413'!G5+'427'!G5+'428'!G6+'560'!G7+'561'!G4+'564'!G4</f>
        <v>0.6078799999989428</v>
      </c>
      <c r="E187" t="s">
        <v>990</v>
      </c>
    </row>
    <row r="256" spans="4:5" ht="14.25">
      <c r="D256" s="43">
        <f>B256+C256+'306'!G6+'344'!G5+'348'!G9+'394'!G4+'395'!G6+'397'!G4+'487'!G4+'564'!G5</f>
        <v>0.2569838709675878</v>
      </c>
      <c r="E256" s="132" t="s">
        <v>989</v>
      </c>
    </row>
    <row r="262" spans="4:5" ht="14.25">
      <c r="D262" s="43">
        <f>'435'!G4+'521'!G6</f>
        <v>0.19920000000001892</v>
      </c>
      <c r="E262" t="s">
        <v>839</v>
      </c>
    </row>
    <row r="288" spans="4:5" ht="14.25">
      <c r="D288" s="43">
        <f>B288+C288+'344'!G7+'442'!G5+'475'!G12+'511'!G5+'517'!G8+'564'!G12</f>
        <v>0.18759999999952015</v>
      </c>
      <c r="E288" t="s">
        <v>987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847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848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840</v>
      </c>
    </row>
    <row r="371" spans="4:5" ht="14.25">
      <c r="D371" s="43">
        <f>'381'!G5+'411'!G5+'419'!G6+'468'!G4+'506'!G7+'511'!G6+'528'!G4+'531'!G6+'554'!G8+'558'!G5+'559'!G9+'564'!G11</f>
        <v>0.12918000000126995</v>
      </c>
      <c r="E371" t="s">
        <v>986</v>
      </c>
    </row>
    <row r="386" spans="4:5" ht="14.25">
      <c r="D386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6" t="s">
        <v>985</v>
      </c>
    </row>
  </sheetData>
  <sheetProtection/>
  <printOptions/>
  <pageMargins left="0.7" right="0.7" top="0.75" bottom="0.75" header="0.3" footer="0.3"/>
  <pageSetup orientation="portrait" paperSize="9"/>
</worksheet>
</file>

<file path=xl/worksheets/sheet2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7"/>
  <sheetViews>
    <sheetView zoomScalePageLayoutView="0" workbookViewId="0" topLeftCell="A1">
      <selection activeCell="A12" sqref="A12:A1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42597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1035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911</v>
      </c>
      <c r="B4" s="135">
        <v>15.99</v>
      </c>
      <c r="C4" s="64"/>
      <c r="D4" s="103">
        <f aca="true" t="shared" si="0" ref="D4:D9">C4*1</f>
        <v>0</v>
      </c>
      <c r="E4" s="114">
        <f aca="true" t="shared" si="1" ref="E4:E9">(B4+D4)*$D$1</f>
        <v>1047.345</v>
      </c>
      <c r="F4" s="79">
        <v>781</v>
      </c>
      <c r="G4" s="14">
        <f aca="true" t="shared" si="2" ref="G4:G9">-E4+F4</f>
        <v>-266.345</v>
      </c>
      <c r="H4" s="74"/>
    </row>
    <row r="5" spans="1:8" s="10" customFormat="1" ht="14.25">
      <c r="A5" s="11" t="s">
        <v>120</v>
      </c>
      <c r="B5" s="135">
        <v>10.2</v>
      </c>
      <c r="C5" s="64"/>
      <c r="D5" s="103">
        <f t="shared" si="0"/>
        <v>0</v>
      </c>
      <c r="E5" s="114">
        <f t="shared" si="1"/>
        <v>668.0999999999999</v>
      </c>
      <c r="F5" s="79">
        <v>668</v>
      </c>
      <c r="G5" s="14">
        <f t="shared" si="2"/>
        <v>-0.09999999999990905</v>
      </c>
      <c r="H5" s="74"/>
    </row>
    <row r="6" spans="1:7" s="10" customFormat="1" ht="14.25">
      <c r="A6" s="15" t="s">
        <v>408</v>
      </c>
      <c r="B6" s="135">
        <v>27.19</v>
      </c>
      <c r="C6" s="64"/>
      <c r="D6" s="103">
        <f t="shared" si="0"/>
        <v>0</v>
      </c>
      <c r="E6" s="114">
        <f t="shared" si="1"/>
        <v>1780.9450000000002</v>
      </c>
      <c r="F6" s="79">
        <v>1781</v>
      </c>
      <c r="G6" s="77">
        <f t="shared" si="2"/>
        <v>0.05499999999983629</v>
      </c>
    </row>
    <row r="7" spans="1:8" s="10" customFormat="1" ht="14.25">
      <c r="A7" s="11" t="s">
        <v>1036</v>
      </c>
      <c r="B7" s="10">
        <v>44.08</v>
      </c>
      <c r="C7" s="64"/>
      <c r="D7" s="103">
        <f t="shared" si="0"/>
        <v>0</v>
      </c>
      <c r="E7" s="114">
        <f t="shared" si="1"/>
        <v>2887.24</v>
      </c>
      <c r="F7" s="79">
        <v>2887</v>
      </c>
      <c r="G7" s="77">
        <f t="shared" si="2"/>
        <v>-0.23999999999978172</v>
      </c>
      <c r="H7" s="74"/>
    </row>
    <row r="8" spans="1:8" s="10" customFormat="1" ht="14.25">
      <c r="A8" s="11" t="s">
        <v>168</v>
      </c>
      <c r="B8" s="63">
        <v>22.19</v>
      </c>
      <c r="C8" s="64"/>
      <c r="D8" s="103">
        <f t="shared" si="0"/>
        <v>0</v>
      </c>
      <c r="E8" s="114">
        <f t="shared" si="1"/>
        <v>1453.4450000000002</v>
      </c>
      <c r="F8" s="79">
        <v>1453</v>
      </c>
      <c r="G8" s="77">
        <f t="shared" si="2"/>
        <v>-0.4450000000001637</v>
      </c>
      <c r="H8" s="74"/>
    </row>
    <row r="9" spans="1:8" s="10" customFormat="1" ht="14.25">
      <c r="A9" s="11" t="s">
        <v>219</v>
      </c>
      <c r="B9" s="63">
        <v>16.73</v>
      </c>
      <c r="C9" s="64"/>
      <c r="D9" s="103">
        <f t="shared" si="0"/>
        <v>0</v>
      </c>
      <c r="E9" s="114">
        <f t="shared" si="1"/>
        <v>1095.815</v>
      </c>
      <c r="F9" s="79">
        <v>1096</v>
      </c>
      <c r="G9" s="77">
        <f t="shared" si="2"/>
        <v>0.18499999999994543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28.5">
      <c r="A14" s="98"/>
    </row>
    <row r="15" spans="1:2" ht="28.5">
      <c r="A15" s="98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988</v>
      </c>
    </row>
    <row r="99" spans="4:5" ht="14.25">
      <c r="D99" s="43">
        <f>'539'!G12+'564'!G9</f>
        <v>0.21879999999998745</v>
      </c>
      <c r="E99" t="s">
        <v>993</v>
      </c>
    </row>
    <row r="116" spans="4:5" ht="14.25">
      <c r="D116" s="43">
        <f>'562'!G7+'564'!G10</f>
        <v>-0.48919999999986885</v>
      </c>
      <c r="E116" t="s">
        <v>992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846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845</v>
      </c>
    </row>
    <row r="169" spans="1:5" ht="14.25">
      <c r="A169" t="s">
        <v>844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991</v>
      </c>
    </row>
    <row r="188" spans="4:5" ht="14.25">
      <c r="D188" s="43">
        <f>'388'!G4+'413'!G5+'427'!G5+'428'!G6+'560'!G7+'561'!G4+'564'!G4</f>
        <v>0.6078799999989428</v>
      </c>
      <c r="E188" t="s">
        <v>990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989</v>
      </c>
    </row>
    <row r="263" spans="4:5" ht="14.25">
      <c r="D263" s="43">
        <f>'435'!G4+'521'!G6</f>
        <v>0.19920000000001892</v>
      </c>
      <c r="E263" t="s">
        <v>839</v>
      </c>
    </row>
    <row r="289" spans="4:5" ht="14.25">
      <c r="D289" s="43">
        <f>B289+C289+'344'!G7+'442'!G5+'475'!G12+'511'!G5+'517'!G8+'564'!G12</f>
        <v>0.18759999999952015</v>
      </c>
      <c r="E289" t="s">
        <v>987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847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848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840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986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985</v>
      </c>
    </row>
  </sheetData>
  <sheetProtection/>
  <printOptions/>
  <pageMargins left="0.7" right="0.7" top="0.75" bottom="0.75" header="0.3" footer="0.3"/>
  <pageSetup orientation="portrait" paperSize="9"/>
</worksheet>
</file>

<file path=xl/worksheets/sheet2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7"/>
  <sheetViews>
    <sheetView zoomScalePageLayoutView="0" workbookViewId="0" topLeftCell="A1">
      <selection activeCell="A12" sqref="A12:A1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42597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1038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757</v>
      </c>
      <c r="B4" s="135">
        <v>20.65</v>
      </c>
      <c r="C4" s="64"/>
      <c r="D4" s="103">
        <f aca="true" t="shared" si="0" ref="D4:D9">C4*1</f>
        <v>0</v>
      </c>
      <c r="E4" s="114">
        <f aca="true" t="shared" si="1" ref="E4:E9">(B4+D4)*$D$1</f>
        <v>1352.5749999999998</v>
      </c>
      <c r="F4" s="79">
        <v>1353</v>
      </c>
      <c r="G4" s="14">
        <f aca="true" t="shared" si="2" ref="G4:G9">-E4+F4</f>
        <v>0.4250000000001819</v>
      </c>
      <c r="H4" s="74"/>
    </row>
    <row r="5" spans="1:8" s="10" customFormat="1" ht="14.25">
      <c r="A5" s="11" t="s">
        <v>980</v>
      </c>
      <c r="B5" s="135">
        <v>8.08</v>
      </c>
      <c r="C5" s="64"/>
      <c r="D5" s="103">
        <f t="shared" si="0"/>
        <v>0</v>
      </c>
      <c r="E5" s="114">
        <f t="shared" si="1"/>
        <v>529.24</v>
      </c>
      <c r="F5" s="85">
        <v>529</v>
      </c>
      <c r="G5" s="14">
        <f t="shared" si="2"/>
        <v>-0.2400000000000091</v>
      </c>
      <c r="H5" s="74"/>
    </row>
    <row r="6" spans="1:7" s="10" customFormat="1" ht="14.25">
      <c r="A6" s="15" t="s">
        <v>1039</v>
      </c>
      <c r="B6" s="135">
        <v>73.16</v>
      </c>
      <c r="C6" s="64"/>
      <c r="D6" s="103">
        <f t="shared" si="0"/>
        <v>0</v>
      </c>
      <c r="E6" s="114">
        <f t="shared" si="1"/>
        <v>4791.98</v>
      </c>
      <c r="F6" s="79">
        <f>4742+50</f>
        <v>4792</v>
      </c>
      <c r="G6" s="77">
        <f t="shared" si="2"/>
        <v>0.020000000000436557</v>
      </c>
    </row>
    <row r="7" spans="1:8" s="10" customFormat="1" ht="14.25">
      <c r="A7" s="11" t="s">
        <v>904</v>
      </c>
      <c r="B7" s="63">
        <v>8.91</v>
      </c>
      <c r="C7" s="64"/>
      <c r="D7" s="103">
        <f t="shared" si="0"/>
        <v>0</v>
      </c>
      <c r="E7" s="114">
        <f t="shared" si="1"/>
        <v>583.605</v>
      </c>
      <c r="F7" s="85">
        <v>584</v>
      </c>
      <c r="G7" s="14">
        <f t="shared" si="2"/>
        <v>0.3949999999999818</v>
      </c>
      <c r="H7" s="74"/>
    </row>
    <row r="8" spans="1:8" s="10" customFormat="1" ht="14.25">
      <c r="A8" s="11" t="s">
        <v>936</v>
      </c>
      <c r="B8" s="63">
        <v>12.73</v>
      </c>
      <c r="C8" s="64"/>
      <c r="D8" s="103">
        <f t="shared" si="0"/>
        <v>0</v>
      </c>
      <c r="E8" s="114">
        <f t="shared" si="1"/>
        <v>833.815</v>
      </c>
      <c r="F8" s="79">
        <v>834</v>
      </c>
      <c r="G8" s="77">
        <f t="shared" si="2"/>
        <v>0.18499999999994543</v>
      </c>
      <c r="H8" s="74"/>
    </row>
    <row r="9" spans="1:8" s="10" customFormat="1" ht="14.25">
      <c r="A9" s="11" t="s">
        <v>93</v>
      </c>
      <c r="B9" s="63">
        <v>44.99</v>
      </c>
      <c r="C9" s="64"/>
      <c r="D9" s="103">
        <f t="shared" si="0"/>
        <v>0</v>
      </c>
      <c r="E9" s="114">
        <f t="shared" si="1"/>
        <v>2946.8450000000003</v>
      </c>
      <c r="F9" s="79">
        <v>2947</v>
      </c>
      <c r="G9" s="14">
        <f t="shared" si="2"/>
        <v>0.15499999999974534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28.5">
      <c r="A14" s="98"/>
    </row>
    <row r="15" spans="1:2" ht="14.25">
      <c r="A15" s="11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988</v>
      </c>
    </row>
    <row r="99" spans="4:5" ht="14.25">
      <c r="D99" s="43">
        <f>'539'!G12+'564'!G9</f>
        <v>0.21879999999998745</v>
      </c>
      <c r="E99" t="s">
        <v>993</v>
      </c>
    </row>
    <row r="116" spans="4:5" ht="14.25">
      <c r="D116" s="43">
        <f>'562'!G7+'564'!G10</f>
        <v>-0.48919999999986885</v>
      </c>
      <c r="E116" t="s">
        <v>992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846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845</v>
      </c>
    </row>
    <row r="169" spans="1:5" ht="14.25">
      <c r="A169" t="s">
        <v>844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991</v>
      </c>
    </row>
    <row r="188" spans="4:5" ht="14.25">
      <c r="D188" s="43">
        <f>'388'!G4+'413'!G5+'427'!G5+'428'!G6+'560'!G7+'561'!G4+'564'!G4</f>
        <v>0.6078799999989428</v>
      </c>
      <c r="E188" t="s">
        <v>990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989</v>
      </c>
    </row>
    <row r="263" spans="4:5" ht="14.25">
      <c r="D263" s="43">
        <f>'435'!G4+'521'!G6</f>
        <v>0.19920000000001892</v>
      </c>
      <c r="E263" t="s">
        <v>839</v>
      </c>
    </row>
    <row r="289" spans="4:5" ht="14.25">
      <c r="D289" s="43">
        <f>B289+C289+'344'!G7+'442'!G5+'475'!G12+'511'!G5+'517'!G8+'564'!G12</f>
        <v>0.18759999999952015</v>
      </c>
      <c r="E289" t="s">
        <v>987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847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848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840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986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985</v>
      </c>
    </row>
  </sheetData>
  <sheetProtection/>
  <printOptions/>
  <pageMargins left="0.7" right="0.7" top="0.75" bottom="0.75" header="0.3" footer="0.3"/>
  <pageSetup orientation="portrait" paperSize="9"/>
</worksheet>
</file>

<file path=xl/worksheets/sheet278.xml><?xml version="1.0" encoding="utf-8"?>
<worksheet xmlns="http://schemas.openxmlformats.org/spreadsheetml/2006/main" xmlns:r="http://schemas.openxmlformats.org/officeDocument/2006/relationships">
  <sheetPr>
    <tabColor rgb="FFC00000"/>
  </sheetPr>
  <dimension ref="A1:H387"/>
  <sheetViews>
    <sheetView zoomScalePageLayoutView="0" workbookViewId="0" topLeftCell="A4">
      <selection activeCell="A12" sqref="A12:A13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42599</v>
      </c>
      <c r="C1" s="3" t="s">
        <v>1</v>
      </c>
      <c r="D1" s="4">
        <v>64.39</v>
      </c>
      <c r="E1" s="5" t="s">
        <v>2</v>
      </c>
    </row>
    <row r="2" s="5" customFormat="1" ht="14.25">
      <c r="A2" s="6" t="s">
        <v>1041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135">
        <v>6.79</v>
      </c>
      <c r="C4" s="64"/>
      <c r="D4" s="103">
        <f aca="true" t="shared" si="0" ref="D4:D9">C4*1</f>
        <v>0</v>
      </c>
      <c r="E4" s="114">
        <f aca="true" t="shared" si="1" ref="E4:E9">(B4+D4)*$D$1</f>
        <v>437.2081</v>
      </c>
      <c r="F4" s="79">
        <v>437</v>
      </c>
      <c r="G4" s="14">
        <f aca="true" t="shared" si="2" ref="G4:G9">-E4+F4</f>
        <v>-0.20810000000000173</v>
      </c>
      <c r="H4" s="74"/>
    </row>
    <row r="5" spans="1:8" s="10" customFormat="1" ht="14.25">
      <c r="A5" s="11" t="s">
        <v>381</v>
      </c>
      <c r="B5" s="135">
        <v>10.17</v>
      </c>
      <c r="C5" s="64"/>
      <c r="D5" s="103">
        <f t="shared" si="0"/>
        <v>0</v>
      </c>
      <c r="E5" s="114">
        <f t="shared" si="1"/>
        <v>654.8463</v>
      </c>
      <c r="F5" s="79">
        <v>655</v>
      </c>
      <c r="G5" s="14">
        <f t="shared" si="2"/>
        <v>0.15369999999995798</v>
      </c>
      <c r="H5" s="74"/>
    </row>
    <row r="6" spans="1:7" s="10" customFormat="1" ht="14.25">
      <c r="A6" s="15" t="s">
        <v>1042</v>
      </c>
      <c r="B6" s="135">
        <v>7.65</v>
      </c>
      <c r="C6" s="64"/>
      <c r="D6" s="103">
        <f t="shared" si="0"/>
        <v>0</v>
      </c>
      <c r="E6" s="114">
        <f t="shared" si="1"/>
        <v>492.5835</v>
      </c>
      <c r="F6" s="79">
        <v>493</v>
      </c>
      <c r="G6" s="77">
        <f t="shared" si="2"/>
        <v>0.416499999999985</v>
      </c>
    </row>
    <row r="7" spans="1:8" s="10" customFormat="1" ht="14.25">
      <c r="A7" s="11" t="s">
        <v>335</v>
      </c>
      <c r="B7" s="63">
        <v>16.15</v>
      </c>
      <c r="C7" s="64"/>
      <c r="D7" s="103">
        <f t="shared" si="0"/>
        <v>0</v>
      </c>
      <c r="E7" s="114">
        <f t="shared" si="1"/>
        <v>1039.8985</v>
      </c>
      <c r="F7" s="79">
        <v>1040</v>
      </c>
      <c r="G7" s="14">
        <f t="shared" si="2"/>
        <v>0.10149999999998727</v>
      </c>
      <c r="H7" s="74"/>
    </row>
    <row r="8" spans="1:8" s="10" customFormat="1" ht="14.25">
      <c r="A8" s="11" t="s">
        <v>1043</v>
      </c>
      <c r="B8" s="63">
        <v>22.82</v>
      </c>
      <c r="C8" s="64"/>
      <c r="D8" s="103">
        <f t="shared" si="0"/>
        <v>0</v>
      </c>
      <c r="E8" s="114">
        <f t="shared" si="1"/>
        <v>1469.3798</v>
      </c>
      <c r="F8" s="79">
        <v>1470</v>
      </c>
      <c r="G8" s="77">
        <f t="shared" si="2"/>
        <v>0.620200000000068</v>
      </c>
      <c r="H8" s="74"/>
    </row>
    <row r="9" spans="1:8" s="10" customFormat="1" ht="14.25">
      <c r="A9" s="11" t="s">
        <v>1044</v>
      </c>
      <c r="B9" s="63">
        <v>25.31</v>
      </c>
      <c r="C9" s="64"/>
      <c r="D9" s="103">
        <f t="shared" si="0"/>
        <v>0</v>
      </c>
      <c r="E9" s="114">
        <f t="shared" si="1"/>
        <v>1629.7109</v>
      </c>
      <c r="F9" s="79">
        <v>1630</v>
      </c>
      <c r="G9" s="14">
        <f t="shared" si="2"/>
        <v>0.28909999999996217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28.5">
      <c r="A14" s="98"/>
    </row>
    <row r="15" spans="1:2" ht="14.25">
      <c r="A15" s="11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988</v>
      </c>
    </row>
    <row r="99" spans="4:5" ht="14.25">
      <c r="D99" s="43">
        <f>'539'!G12+'564'!G9</f>
        <v>0.21879999999998745</v>
      </c>
      <c r="E99" t="s">
        <v>993</v>
      </c>
    </row>
    <row r="116" spans="4:5" ht="14.25">
      <c r="D116" s="43">
        <f>'562'!G7+'564'!G10</f>
        <v>-0.48919999999986885</v>
      </c>
      <c r="E116" t="s">
        <v>992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846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845</v>
      </c>
    </row>
    <row r="169" spans="1:5" ht="14.25">
      <c r="A169" t="s">
        <v>844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991</v>
      </c>
    </row>
    <row r="188" spans="4:5" ht="14.25">
      <c r="D188" s="43">
        <f>'388'!G4+'413'!G5+'427'!G5+'428'!G6+'560'!G7+'561'!G4+'564'!G4</f>
        <v>0.6078799999989428</v>
      </c>
      <c r="E188" t="s">
        <v>990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989</v>
      </c>
    </row>
    <row r="263" spans="4:5" ht="14.25">
      <c r="D263" s="43">
        <f>'435'!G4+'521'!G6</f>
        <v>0.19920000000001892</v>
      </c>
      <c r="E263" t="s">
        <v>839</v>
      </c>
    </row>
    <row r="289" spans="4:5" ht="14.25">
      <c r="D289" s="43">
        <f>B289+C289+'344'!G7+'442'!G5+'475'!G12+'511'!G5+'517'!G8+'564'!G12</f>
        <v>0.18759999999952015</v>
      </c>
      <c r="E289" t="s">
        <v>987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847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848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840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986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985</v>
      </c>
    </row>
  </sheetData>
  <sheetProtection/>
  <printOptions/>
  <pageMargins left="0.7" right="0.7" top="0.75" bottom="0.75" header="0.3" footer="0.3"/>
  <pageSetup orientation="portrait" paperSize="9"/>
</worksheet>
</file>

<file path=xl/worksheets/sheet2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4"/>
  <sheetViews>
    <sheetView zoomScalePageLayoutView="0" workbookViewId="0" topLeftCell="A1">
      <selection activeCell="A9" sqref="A9:A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42599</v>
      </c>
      <c r="C1" s="3" t="s">
        <v>1</v>
      </c>
      <c r="D1" s="4">
        <v>64.39</v>
      </c>
      <c r="E1" s="5" t="s">
        <v>2</v>
      </c>
    </row>
    <row r="2" s="5" customFormat="1" ht="14.25">
      <c r="A2" s="6" t="s">
        <v>1041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219</v>
      </c>
      <c r="B4" s="135">
        <v>18.09</v>
      </c>
      <c r="C4" s="64"/>
      <c r="D4" s="103">
        <f>C4*1</f>
        <v>0</v>
      </c>
      <c r="E4" s="114">
        <f>(B4+D4)*$D$1</f>
        <v>1164.8151</v>
      </c>
      <c r="F4" s="79">
        <v>1165</v>
      </c>
      <c r="G4" s="14">
        <f>-E4+F4</f>
        <v>0.18489999999997053</v>
      </c>
      <c r="H4" s="74"/>
    </row>
    <row r="5" spans="1:8" s="10" customFormat="1" ht="14.25">
      <c r="A5" s="11" t="s">
        <v>961</v>
      </c>
      <c r="B5" s="135">
        <v>13.91</v>
      </c>
      <c r="C5" s="64"/>
      <c r="D5" s="103">
        <f>C5*1</f>
        <v>0</v>
      </c>
      <c r="E5" s="114">
        <f>(B5+D5)*$D$1</f>
        <v>895.6649</v>
      </c>
      <c r="F5" s="79">
        <v>895</v>
      </c>
      <c r="G5" s="14">
        <f>-E5+F5</f>
        <v>-0.6648999999999887</v>
      </c>
      <c r="H5" s="74"/>
    </row>
    <row r="6" spans="1:7" s="10" customFormat="1" ht="14.25">
      <c r="A6" s="15" t="s">
        <v>953</v>
      </c>
      <c r="B6" s="135">
        <v>54.87</v>
      </c>
      <c r="C6" s="64"/>
      <c r="D6" s="103">
        <f>C6*1</f>
        <v>0</v>
      </c>
      <c r="E6" s="114">
        <f>(B6+D6)*$D$1</f>
        <v>3533.0793</v>
      </c>
      <c r="F6" s="79">
        <v>3533</v>
      </c>
      <c r="G6" s="77">
        <f>-E6+F6</f>
        <v>-0.07929999999987558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spans="1:2" ht="28.5">
      <c r="A12" s="98"/>
      <c r="B12" s="72"/>
    </row>
    <row r="13" ht="14.25">
      <c r="B13" s="72"/>
    </row>
    <row r="17" spans="4:5" ht="14.25">
      <c r="D17" s="43"/>
      <c r="E17" s="132"/>
    </row>
    <row r="28" spans="4:5" ht="14.25">
      <c r="D28" s="43">
        <f>B28+C28+'303'!G8+'313'!G7+'323'!G8+'345'!G5+'382'!G8+'383'!G8+'401'!G7+'426'!G6+'441'!G6+'457'!G5+'483'!G6+'500'!G4+'505'!G4+'531'!G13+'564'!G7</f>
        <v>0.10936026540684907</v>
      </c>
      <c r="E28" s="132" t="s">
        <v>988</v>
      </c>
    </row>
    <row r="96" spans="4:5" ht="14.25">
      <c r="D96" s="43">
        <f>'539'!G12+'564'!G9</f>
        <v>0.21879999999998745</v>
      </c>
      <c r="E96" t="s">
        <v>993</v>
      </c>
    </row>
    <row r="113" spans="4:5" ht="14.25">
      <c r="D113" s="43">
        <f>'562'!G7+'564'!G10</f>
        <v>-0.48919999999986885</v>
      </c>
      <c r="E113" t="s">
        <v>992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846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845</v>
      </c>
    </row>
    <row r="166" spans="1:5" ht="14.25">
      <c r="A166" t="s">
        <v>844</v>
      </c>
      <c r="B166">
        <v>0</v>
      </c>
      <c r="D166" s="43">
        <f>'522'!G7</f>
        <v>0.15050000000002228</v>
      </c>
      <c r="E166">
        <v>522</v>
      </c>
    </row>
    <row r="178" spans="4:5" ht="14.25">
      <c r="D178" s="43">
        <f>'469'!G6+'564'!G8</f>
        <v>0.0795999999995729</v>
      </c>
      <c r="E178" t="s">
        <v>991</v>
      </c>
    </row>
    <row r="185" spans="4:5" ht="14.25">
      <c r="D185" s="43">
        <f>'388'!G4+'413'!G5+'427'!G5+'428'!G6+'560'!G7+'561'!G4+'564'!G4</f>
        <v>0.6078799999989428</v>
      </c>
      <c r="E185" t="s">
        <v>990</v>
      </c>
    </row>
    <row r="254" spans="4:5" ht="14.25">
      <c r="D254" s="43">
        <f>B254+C254+'306'!G6+'344'!G5+'348'!G9+'394'!G4+'395'!G6+'397'!G4+'487'!G4+'564'!G5</f>
        <v>0.2569838709675878</v>
      </c>
      <c r="E254" s="132" t="s">
        <v>989</v>
      </c>
    </row>
    <row r="260" spans="4:5" ht="14.25">
      <c r="D260" s="43">
        <f>'435'!G4+'521'!G6</f>
        <v>0.19920000000001892</v>
      </c>
      <c r="E260" t="s">
        <v>839</v>
      </c>
    </row>
    <row r="286" spans="4:5" ht="14.25">
      <c r="D286" s="43">
        <f>B286+C286+'344'!G7+'442'!G5+'475'!G12+'511'!G5+'517'!G8+'564'!G12</f>
        <v>0.18759999999952015</v>
      </c>
      <c r="E286" t="s">
        <v>987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847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848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840</v>
      </c>
    </row>
    <row r="369" spans="4:5" ht="14.25">
      <c r="D369" s="43">
        <f>'381'!G5+'411'!G5+'419'!G6+'468'!G4+'506'!G7+'511'!G6+'528'!G4+'531'!G6+'554'!G8+'558'!G5+'559'!G9+'564'!G11</f>
        <v>0.12918000000126995</v>
      </c>
      <c r="E369" t="s">
        <v>986</v>
      </c>
    </row>
    <row r="384" spans="4:5" ht="14.25">
      <c r="D384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4" t="s">
        <v>985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42091</v>
      </c>
      <c r="C1" s="3" t="s">
        <v>1</v>
      </c>
      <c r="D1" s="4">
        <v>59.17</v>
      </c>
      <c r="E1" s="5" t="s">
        <v>2</v>
      </c>
    </row>
    <row r="2" s="5" customFormat="1" ht="14.25">
      <c r="A2" s="6" t="s">
        <v>376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267</v>
      </c>
      <c r="B4" s="63">
        <v>21.22</v>
      </c>
      <c r="C4" s="64">
        <v>0.91</v>
      </c>
      <c r="D4" s="11">
        <f aca="true" t="shared" si="0" ref="D4:D10">C4/$C$11*$D$11</f>
        <v>1.8533604887983706</v>
      </c>
      <c r="E4" s="11">
        <f aca="true" t="shared" si="1" ref="E4:E9">(B4+D4)*$D$1</f>
        <v>1365.2507401221994</v>
      </c>
      <c r="F4" s="78">
        <f>1358+7</f>
        <v>1365</v>
      </c>
      <c r="G4" s="14">
        <f aca="true" t="shared" si="2" ref="G4:G9">-E4+F4</f>
        <v>-0.2507401221994314</v>
      </c>
      <c r="H4" s="74"/>
    </row>
    <row r="5" spans="1:7" s="10" customFormat="1" ht="14.25">
      <c r="A5" s="15" t="s">
        <v>183</v>
      </c>
      <c r="B5" s="63">
        <v>23.99</v>
      </c>
      <c r="C5" s="64">
        <v>0.59</v>
      </c>
      <c r="D5" s="11">
        <f t="shared" si="0"/>
        <v>1.2016293279022403</v>
      </c>
      <c r="E5" s="76">
        <f t="shared" si="1"/>
        <v>1490.5887073319755</v>
      </c>
      <c r="F5" s="79">
        <v>1470</v>
      </c>
      <c r="G5" s="77">
        <f t="shared" si="2"/>
        <v>-20.588707331975456</v>
      </c>
    </row>
    <row r="6" spans="1:8" s="10" customFormat="1" ht="14.25">
      <c r="A6" s="15" t="s">
        <v>169</v>
      </c>
      <c r="B6" s="12">
        <v>44.53</v>
      </c>
      <c r="C6" s="12">
        <v>0.89</v>
      </c>
      <c r="D6" s="11">
        <f t="shared" si="0"/>
        <v>1.8126272912423624</v>
      </c>
      <c r="E6" s="11">
        <f t="shared" si="1"/>
        <v>2742.093256822811</v>
      </c>
      <c r="F6" s="69">
        <f>759+1085+1000</f>
        <v>2844</v>
      </c>
      <c r="G6" s="14">
        <f t="shared" si="2"/>
        <v>101.90674317718913</v>
      </c>
      <c r="H6" s="93" t="s">
        <v>385</v>
      </c>
    </row>
    <row r="7" spans="1:8" s="10" customFormat="1" ht="28.5">
      <c r="A7" s="11" t="s">
        <v>182</v>
      </c>
      <c r="B7" s="63">
        <v>16.56</v>
      </c>
      <c r="C7" s="64">
        <v>0.3</v>
      </c>
      <c r="D7" s="11">
        <f t="shared" si="0"/>
        <v>0.6109979633401221</v>
      </c>
      <c r="E7" s="11">
        <f t="shared" si="1"/>
        <v>1016.0079494908349</v>
      </c>
      <c r="F7" s="78">
        <f>1100-29</f>
        <v>1071</v>
      </c>
      <c r="G7" s="14">
        <f t="shared" si="2"/>
        <v>54.9920505091651</v>
      </c>
      <c r="H7" s="92" t="s">
        <v>440</v>
      </c>
    </row>
    <row r="8" spans="1:7" s="10" customFormat="1" ht="14.25">
      <c r="A8" s="15" t="s">
        <v>377</v>
      </c>
      <c r="B8" s="63">
        <v>16.14</v>
      </c>
      <c r="C8" s="64">
        <v>0.21</v>
      </c>
      <c r="D8" s="11">
        <f t="shared" si="0"/>
        <v>0.42769857433808556</v>
      </c>
      <c r="E8" s="76">
        <f t="shared" si="1"/>
        <v>980.3107246435845</v>
      </c>
      <c r="F8" s="79">
        <v>976</v>
      </c>
      <c r="G8" s="77">
        <f t="shared" si="2"/>
        <v>-4.310724643584535</v>
      </c>
    </row>
    <row r="9" spans="1:7" s="10" customFormat="1" ht="14.25">
      <c r="A9" s="15" t="s">
        <v>378</v>
      </c>
      <c r="B9" s="12">
        <v>1.95</v>
      </c>
      <c r="C9" s="12">
        <v>0.62</v>
      </c>
      <c r="D9" s="11">
        <f t="shared" si="0"/>
        <v>1.2627291242362526</v>
      </c>
      <c r="E9" s="11">
        <f t="shared" si="1"/>
        <v>190.09718228105908</v>
      </c>
      <c r="F9" s="69">
        <v>189</v>
      </c>
      <c r="G9" s="14">
        <f t="shared" si="2"/>
        <v>-1.0971822810590766</v>
      </c>
    </row>
    <row r="10" spans="1:7" s="10" customFormat="1" ht="14.25">
      <c r="A10" s="15" t="s">
        <v>10</v>
      </c>
      <c r="B10" s="24"/>
      <c r="C10" s="12">
        <v>1.39</v>
      </c>
      <c r="D10" s="11">
        <f t="shared" si="0"/>
        <v>2.830957230142566</v>
      </c>
      <c r="E10" s="24"/>
      <c r="F10" s="24"/>
      <c r="G10" s="24"/>
    </row>
    <row r="11" spans="1:7" s="25" customFormat="1" ht="14.25">
      <c r="A11" s="24"/>
      <c r="B11" s="24"/>
      <c r="C11" s="24">
        <f>SUM(C4:C10)</f>
        <v>4.91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2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7"/>
  <sheetViews>
    <sheetView zoomScalePageLayoutView="0" workbookViewId="0" topLeftCell="A1">
      <selection activeCell="A12" sqref="A12:A13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42605</v>
      </c>
      <c r="C1" s="3" t="s">
        <v>1</v>
      </c>
      <c r="D1" s="4">
        <v>65.55</v>
      </c>
      <c r="E1" s="5" t="s">
        <v>2</v>
      </c>
    </row>
    <row r="2" s="5" customFormat="1" ht="14.25">
      <c r="A2" s="6" t="s">
        <v>1048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135">
        <v>11.4</v>
      </c>
      <c r="C4" s="64"/>
      <c r="D4" s="103">
        <f aca="true" t="shared" si="0" ref="D4:D9">C4*1</f>
        <v>0</v>
      </c>
      <c r="E4" s="114">
        <f aca="true" t="shared" si="1" ref="E4:E9">(B4+D4)*$D$1</f>
        <v>747.27</v>
      </c>
      <c r="F4" s="137">
        <v>747</v>
      </c>
      <c r="G4" s="14">
        <f aca="true" t="shared" si="2" ref="G4:G9">-E4+F4</f>
        <v>-0.2699999999999818</v>
      </c>
      <c r="H4" s="74"/>
    </row>
    <row r="5" spans="1:8" s="10" customFormat="1" ht="14.25">
      <c r="A5" s="11" t="s">
        <v>51</v>
      </c>
      <c r="B5" s="135">
        <v>15.36</v>
      </c>
      <c r="C5" s="64"/>
      <c r="D5" s="103">
        <f t="shared" si="0"/>
        <v>0</v>
      </c>
      <c r="E5" s="114">
        <f t="shared" si="1"/>
        <v>1006.848</v>
      </c>
      <c r="F5" s="137">
        <v>1007</v>
      </c>
      <c r="G5" s="14">
        <f t="shared" si="2"/>
        <v>0.15200000000004366</v>
      </c>
      <c r="H5" s="74"/>
    </row>
    <row r="6" spans="1:7" s="10" customFormat="1" ht="14.25">
      <c r="A6" s="15" t="s">
        <v>1049</v>
      </c>
      <c r="B6" s="135">
        <v>9.78</v>
      </c>
      <c r="C6" s="64"/>
      <c r="D6" s="103">
        <f t="shared" si="0"/>
        <v>0</v>
      </c>
      <c r="E6" s="114">
        <f t="shared" si="1"/>
        <v>641.079</v>
      </c>
      <c r="F6" s="79">
        <f>630+11</f>
        <v>641</v>
      </c>
      <c r="G6" s="77">
        <f t="shared" si="2"/>
        <v>-0.07899999999995089</v>
      </c>
    </row>
    <row r="7" spans="1:8" s="10" customFormat="1" ht="14.25">
      <c r="A7" s="11" t="s">
        <v>809</v>
      </c>
      <c r="B7" s="63">
        <v>26.79</v>
      </c>
      <c r="C7" s="64"/>
      <c r="D7" s="103">
        <f t="shared" si="0"/>
        <v>0</v>
      </c>
      <c r="E7" s="114">
        <f t="shared" si="1"/>
        <v>1756.0845</v>
      </c>
      <c r="F7" s="137">
        <v>1756</v>
      </c>
      <c r="G7" s="14">
        <f t="shared" si="2"/>
        <v>-0.08449999999993452</v>
      </c>
      <c r="H7" s="74"/>
    </row>
    <row r="8" spans="1:8" s="10" customFormat="1" ht="14.25">
      <c r="A8" s="11" t="s">
        <v>183</v>
      </c>
      <c r="B8" s="63">
        <v>13.74</v>
      </c>
      <c r="C8" s="64"/>
      <c r="D8" s="103">
        <f t="shared" si="0"/>
        <v>0</v>
      </c>
      <c r="E8" s="114">
        <f t="shared" si="1"/>
        <v>900.6569999999999</v>
      </c>
      <c r="F8" s="137">
        <v>901</v>
      </c>
      <c r="G8" s="77">
        <f t="shared" si="2"/>
        <v>0.3430000000000746</v>
      </c>
      <c r="H8" s="74"/>
    </row>
    <row r="9" spans="1:8" s="10" customFormat="1" ht="14.25">
      <c r="A9" s="11" t="s">
        <v>62</v>
      </c>
      <c r="B9" s="63">
        <v>6.92</v>
      </c>
      <c r="C9" s="64"/>
      <c r="D9" s="103">
        <f t="shared" si="0"/>
        <v>0</v>
      </c>
      <c r="E9" s="114">
        <f t="shared" si="1"/>
        <v>453.606</v>
      </c>
      <c r="F9" s="79">
        <v>454</v>
      </c>
      <c r="G9" s="14">
        <f t="shared" si="2"/>
        <v>0.39400000000000546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28.5">
      <c r="A14" s="98"/>
    </row>
    <row r="15" spans="1:2" ht="14.25">
      <c r="A15" s="11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988</v>
      </c>
    </row>
    <row r="99" spans="4:5" ht="14.25">
      <c r="D99" s="43">
        <f>'539'!G12+'564'!G9</f>
        <v>0.21879999999998745</v>
      </c>
      <c r="E99" t="s">
        <v>993</v>
      </c>
    </row>
    <row r="116" spans="4:5" ht="14.25">
      <c r="D116" s="43">
        <f>'562'!G7+'564'!G10</f>
        <v>-0.48919999999986885</v>
      </c>
      <c r="E116" t="s">
        <v>992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846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845</v>
      </c>
    </row>
    <row r="169" spans="1:5" ht="14.25">
      <c r="A169" t="s">
        <v>844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991</v>
      </c>
    </row>
    <row r="188" spans="4:5" ht="14.25">
      <c r="D188" s="43">
        <f>'388'!G4+'413'!G5+'427'!G5+'428'!G6+'560'!G7+'561'!G4+'564'!G4</f>
        <v>0.6078799999989428</v>
      </c>
      <c r="E188" t="s">
        <v>990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989</v>
      </c>
    </row>
    <row r="263" spans="4:5" ht="14.25">
      <c r="D263" s="43">
        <f>'435'!G4+'521'!G6</f>
        <v>0.19920000000001892</v>
      </c>
      <c r="E263" t="s">
        <v>839</v>
      </c>
    </row>
    <row r="289" spans="4:5" ht="14.25">
      <c r="D289" s="43">
        <f>B289+C289+'344'!G7+'442'!G5+'475'!G12+'511'!G5+'517'!G8+'564'!G12</f>
        <v>0.18759999999952015</v>
      </c>
      <c r="E289" t="s">
        <v>987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847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848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840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986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985</v>
      </c>
    </row>
  </sheetData>
  <sheetProtection/>
  <printOptions/>
  <pageMargins left="0.7" right="0.7" top="0.75" bottom="0.75" header="0.3" footer="0.3"/>
  <pageSetup orientation="portrait" paperSize="9"/>
</worksheet>
</file>

<file path=xl/worksheets/sheet2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5"/>
  <sheetViews>
    <sheetView zoomScalePageLayoutView="0" workbookViewId="0" topLeftCell="A1">
      <selection activeCell="A10" sqref="A10:A11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42605</v>
      </c>
      <c r="C1" s="3" t="s">
        <v>1</v>
      </c>
      <c r="D1" s="4">
        <v>65.55</v>
      </c>
      <c r="E1" s="5" t="s">
        <v>2</v>
      </c>
    </row>
    <row r="2" s="5" customFormat="1" ht="14.25">
      <c r="A2" s="6" t="s">
        <v>1048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1050</v>
      </c>
      <c r="B4" s="135">
        <v>15</v>
      </c>
      <c r="C4" s="64"/>
      <c r="D4" s="103">
        <f>C4*1</f>
        <v>0</v>
      </c>
      <c r="E4" s="114">
        <f>(B4+D4)*$D$1</f>
        <v>983.25</v>
      </c>
      <c r="F4" s="79">
        <v>980</v>
      </c>
      <c r="G4" s="14">
        <f>-E4+F4</f>
        <v>-3.25</v>
      </c>
      <c r="H4" s="74"/>
    </row>
    <row r="5" spans="1:8" s="10" customFormat="1" ht="14.25">
      <c r="A5" s="11" t="s">
        <v>505</v>
      </c>
      <c r="B5" s="135">
        <v>15.75</v>
      </c>
      <c r="C5" s="64"/>
      <c r="D5" s="103">
        <f>C5*1</f>
        <v>0</v>
      </c>
      <c r="E5" s="114">
        <f>(B5+D5)*$D$1</f>
        <v>1032.4125</v>
      </c>
      <c r="F5" s="79">
        <v>1032</v>
      </c>
      <c r="G5" s="14">
        <f>-E5+F5</f>
        <v>-0.41249999999990905</v>
      </c>
      <c r="H5" s="74"/>
    </row>
    <row r="6" spans="1:7" s="10" customFormat="1" ht="14.25">
      <c r="A6" s="15" t="s">
        <v>660</v>
      </c>
      <c r="B6" s="135">
        <v>19.52</v>
      </c>
      <c r="C6" s="64"/>
      <c r="D6" s="103">
        <f>C6*1</f>
        <v>0</v>
      </c>
      <c r="E6" s="114">
        <f>(B6+D6)*$D$1</f>
        <v>1279.5359999999998</v>
      </c>
      <c r="F6" s="79">
        <v>1280</v>
      </c>
      <c r="G6" s="77">
        <f>-E6+F6</f>
        <v>0.46400000000016917</v>
      </c>
    </row>
    <row r="7" spans="1:8" s="10" customFormat="1" ht="14.25">
      <c r="A7" s="11" t="s">
        <v>614</v>
      </c>
      <c r="B7" s="63">
        <v>34.05</v>
      </c>
      <c r="C7" s="64"/>
      <c r="D7" s="103">
        <f>C7*1</f>
        <v>0</v>
      </c>
      <c r="E7" s="114">
        <f>(B7+D7)*$D$1</f>
        <v>2231.9774999999995</v>
      </c>
      <c r="F7" s="137">
        <f>1412+820</f>
        <v>2232</v>
      </c>
      <c r="G7" s="14">
        <f>-E7+F7</f>
        <v>0.022500000000491127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spans="1:2" ht="14.25">
      <c r="A13" s="11"/>
      <c r="B13" s="72"/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988</v>
      </c>
    </row>
    <row r="97" spans="4:5" ht="14.25">
      <c r="D97" s="43">
        <f>'539'!G12+'564'!G9</f>
        <v>0.21879999999998745</v>
      </c>
      <c r="E97" t="s">
        <v>993</v>
      </c>
    </row>
    <row r="114" spans="4:5" ht="14.25">
      <c r="D114" s="43">
        <f>'562'!G7+'564'!G10</f>
        <v>-0.48919999999986885</v>
      </c>
      <c r="E114" t="s">
        <v>992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846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845</v>
      </c>
    </row>
    <row r="167" spans="1:5" ht="14.25">
      <c r="A167" t="s">
        <v>844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991</v>
      </c>
    </row>
    <row r="186" spans="4:5" ht="14.25">
      <c r="D186" s="43">
        <f>'388'!G4+'413'!G5+'427'!G5+'428'!G6+'560'!G7+'561'!G4+'564'!G4</f>
        <v>0.6078799999989428</v>
      </c>
      <c r="E186" t="s">
        <v>990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989</v>
      </c>
    </row>
    <row r="261" spans="4:5" ht="14.25">
      <c r="D261" s="43">
        <f>'435'!G4+'521'!G6</f>
        <v>0.19920000000001892</v>
      </c>
      <c r="E261" t="s">
        <v>839</v>
      </c>
    </row>
    <row r="287" spans="4:5" ht="14.25">
      <c r="D287" s="43">
        <f>B287+C287+'344'!G7+'442'!G5+'475'!G12+'511'!G5+'517'!G8+'564'!G12</f>
        <v>0.18759999999952015</v>
      </c>
      <c r="E287" t="s">
        <v>987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847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848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840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986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985</v>
      </c>
    </row>
  </sheetData>
  <sheetProtection/>
  <printOptions/>
  <pageMargins left="0.7" right="0.7" top="0.75" bottom="0.75" header="0.3" footer="0.3"/>
  <pageSetup orientation="portrait" paperSize="9"/>
</worksheet>
</file>

<file path=xl/worksheets/sheet2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7"/>
  <sheetViews>
    <sheetView zoomScalePageLayoutView="0" workbookViewId="0" topLeftCell="A1">
      <selection activeCell="A12" sqref="A12:A13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42608</v>
      </c>
      <c r="C1" s="3" t="s">
        <v>1</v>
      </c>
      <c r="D1" s="4">
        <v>65.24</v>
      </c>
      <c r="E1" s="5" t="s">
        <v>2</v>
      </c>
    </row>
    <row r="2" s="5" customFormat="1" ht="14.25">
      <c r="A2" s="6" t="s">
        <v>1058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911</v>
      </c>
      <c r="B4" s="135">
        <v>35.61</v>
      </c>
      <c r="C4" s="64"/>
      <c r="D4" s="103">
        <f aca="true" t="shared" si="0" ref="D4:D9">C4*1</f>
        <v>0</v>
      </c>
      <c r="E4" s="114">
        <f aca="true" t="shared" si="1" ref="E4:E9">(B4+D4)*$D$1</f>
        <v>2323.1964</v>
      </c>
      <c r="F4" s="79">
        <v>2323</v>
      </c>
      <c r="G4" s="14">
        <f aca="true" t="shared" si="2" ref="G4:G9">-E4+F4</f>
        <v>-0.19639999999981228</v>
      </c>
      <c r="H4" s="74"/>
    </row>
    <row r="5" spans="1:8" s="10" customFormat="1" ht="14.25">
      <c r="A5" s="11" t="s">
        <v>640</v>
      </c>
      <c r="B5" s="135">
        <v>16.95</v>
      </c>
      <c r="C5" s="64"/>
      <c r="D5" s="103">
        <f t="shared" si="0"/>
        <v>0</v>
      </c>
      <c r="E5" s="114">
        <f t="shared" si="1"/>
        <v>1105.8179999999998</v>
      </c>
      <c r="F5" s="138">
        <v>1104</v>
      </c>
      <c r="G5" s="14">
        <f t="shared" si="2"/>
        <v>-1.8179999999997563</v>
      </c>
      <c r="H5" s="74"/>
    </row>
    <row r="6" spans="1:7" s="10" customFormat="1" ht="14.25">
      <c r="A6" s="15" t="s">
        <v>1059</v>
      </c>
      <c r="B6" s="135">
        <v>5.57</v>
      </c>
      <c r="C6" s="64"/>
      <c r="D6" s="103">
        <f t="shared" si="0"/>
        <v>0</v>
      </c>
      <c r="E6" s="114">
        <f t="shared" si="1"/>
        <v>363.3868</v>
      </c>
      <c r="F6" s="137">
        <v>363</v>
      </c>
      <c r="G6" s="77">
        <f t="shared" si="2"/>
        <v>-0.3867999999999938</v>
      </c>
    </row>
    <row r="7" spans="1:8" s="10" customFormat="1" ht="14.25">
      <c r="A7" s="11" t="s">
        <v>1003</v>
      </c>
      <c r="B7" s="63">
        <v>23.16</v>
      </c>
      <c r="C7" s="64"/>
      <c r="D7" s="103">
        <f t="shared" si="0"/>
        <v>0</v>
      </c>
      <c r="E7" s="114">
        <f t="shared" si="1"/>
        <v>1510.9584</v>
      </c>
      <c r="F7" s="138">
        <v>1511</v>
      </c>
      <c r="G7" s="14">
        <f t="shared" si="2"/>
        <v>0.041600000000016735</v>
      </c>
      <c r="H7" s="74"/>
    </row>
    <row r="8" spans="1:8" s="10" customFormat="1" ht="14.25">
      <c r="A8" s="11" t="s">
        <v>520</v>
      </c>
      <c r="B8" s="63">
        <v>30.56</v>
      </c>
      <c r="C8" s="64"/>
      <c r="D8" s="103">
        <f t="shared" si="0"/>
        <v>0</v>
      </c>
      <c r="E8" s="114">
        <f t="shared" si="1"/>
        <v>1993.7343999999998</v>
      </c>
      <c r="F8" s="79">
        <v>1994</v>
      </c>
      <c r="G8" s="77">
        <f t="shared" si="2"/>
        <v>0.2656000000001768</v>
      </c>
      <c r="H8" s="74"/>
    </row>
    <row r="9" spans="1:8" s="10" customFormat="1" ht="14.25">
      <c r="A9" s="11" t="s">
        <v>738</v>
      </c>
      <c r="B9" s="63">
        <v>10.18</v>
      </c>
      <c r="C9" s="64"/>
      <c r="D9" s="103">
        <f t="shared" si="0"/>
        <v>0</v>
      </c>
      <c r="E9" s="114">
        <f t="shared" si="1"/>
        <v>664.1432</v>
      </c>
      <c r="F9" s="79">
        <v>668</v>
      </c>
      <c r="G9" s="14">
        <f t="shared" si="2"/>
        <v>3.856800000000021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28.5">
      <c r="A14" s="98"/>
    </row>
    <row r="15" spans="1:2" ht="14.25">
      <c r="A15" s="11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988</v>
      </c>
    </row>
    <row r="99" spans="4:5" ht="14.25">
      <c r="D99" s="43">
        <f>'539'!G12+'564'!G9</f>
        <v>0.21879999999998745</v>
      </c>
      <c r="E99" t="s">
        <v>993</v>
      </c>
    </row>
    <row r="116" spans="4:5" ht="14.25">
      <c r="D116" s="43">
        <f>'562'!G7+'564'!G10</f>
        <v>-0.48919999999986885</v>
      </c>
      <c r="E116" t="s">
        <v>992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846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845</v>
      </c>
    </row>
    <row r="169" spans="1:5" ht="14.25">
      <c r="A169" t="s">
        <v>844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991</v>
      </c>
    </row>
    <row r="188" spans="4:5" ht="14.25">
      <c r="D188" s="43">
        <f>'388'!G4+'413'!G5+'427'!G5+'428'!G6+'560'!G7+'561'!G4+'564'!G4</f>
        <v>0.6078799999989428</v>
      </c>
      <c r="E188" t="s">
        <v>990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989</v>
      </c>
    </row>
    <row r="263" spans="4:5" ht="14.25">
      <c r="D263" s="43">
        <f>'435'!G4+'521'!G6</f>
        <v>0.19920000000001892</v>
      </c>
      <c r="E263" t="s">
        <v>839</v>
      </c>
    </row>
    <row r="289" spans="4:5" ht="14.25">
      <c r="D289" s="43">
        <f>B289+C289+'344'!G7+'442'!G5+'475'!G12+'511'!G5+'517'!G8+'564'!G12</f>
        <v>0.18759999999952015</v>
      </c>
      <c r="E289" t="s">
        <v>987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847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848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840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986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985</v>
      </c>
    </row>
  </sheetData>
  <sheetProtection/>
  <printOptions/>
  <pageMargins left="0.7" right="0.7" top="0.75" bottom="0.75" header="0.3" footer="0.3"/>
  <pageSetup orientation="portrait" paperSize="9"/>
</worksheet>
</file>

<file path=xl/worksheets/sheet2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4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42613</v>
      </c>
      <c r="C1" s="3" t="s">
        <v>1</v>
      </c>
      <c r="D1" s="4">
        <v>66.01</v>
      </c>
      <c r="E1" s="5" t="s">
        <v>2</v>
      </c>
    </row>
    <row r="2" s="5" customFormat="1" ht="14.25">
      <c r="A2" s="6" t="s">
        <v>1061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400</v>
      </c>
      <c r="B4" s="135">
        <v>15.05</v>
      </c>
      <c r="C4" s="64"/>
      <c r="D4" s="103">
        <f>C4*1</f>
        <v>0</v>
      </c>
      <c r="E4" s="114">
        <f>(B4+D4)*$D$1</f>
        <v>993.4505000000001</v>
      </c>
      <c r="F4" s="137">
        <v>993</v>
      </c>
      <c r="G4" s="14">
        <f>-E4+F4</f>
        <v>-0.45050000000014734</v>
      </c>
      <c r="H4" s="74"/>
    </row>
    <row r="5" spans="1:8" s="10" customFormat="1" ht="14.25">
      <c r="A5" s="11" t="s">
        <v>892</v>
      </c>
      <c r="B5" s="135">
        <v>5.87</v>
      </c>
      <c r="C5" s="64"/>
      <c r="D5" s="103">
        <f>C5*1</f>
        <v>0</v>
      </c>
      <c r="E5" s="114">
        <f>(B5+D5)*$D$1</f>
        <v>387.47870000000006</v>
      </c>
      <c r="F5" s="137">
        <v>387</v>
      </c>
      <c r="G5" s="14">
        <f>-E5+F5</f>
        <v>-0.4787000000000603</v>
      </c>
      <c r="H5" s="74"/>
    </row>
    <row r="6" spans="1:7" s="10" customFormat="1" ht="14.25">
      <c r="A6" s="15" t="s">
        <v>1097</v>
      </c>
      <c r="B6" s="135">
        <v>75.14</v>
      </c>
      <c r="C6" s="64"/>
      <c r="D6" s="103">
        <f>C6*1</f>
        <v>0</v>
      </c>
      <c r="E6" s="114">
        <f>(B6+D6)*$D$1</f>
        <v>4959.991400000001</v>
      </c>
      <c r="F6" s="137">
        <v>4960</v>
      </c>
      <c r="G6" s="77">
        <f>-E6+F6</f>
        <v>0.008599999999205465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spans="1:2" ht="14.25">
      <c r="A12" s="11"/>
      <c r="B12" s="72"/>
    </row>
    <row r="13" ht="14.25">
      <c r="B13" s="72"/>
    </row>
    <row r="17" spans="4:5" ht="14.25">
      <c r="D17" s="43"/>
      <c r="E17" s="132"/>
    </row>
    <row r="28" spans="4:5" ht="14.25">
      <c r="D28" s="43">
        <f>B28+C28+'303'!G8+'313'!G7+'323'!G8+'345'!G5+'382'!G8+'383'!G8+'401'!G7+'426'!G6+'441'!G6+'457'!G5+'483'!G6+'500'!G4+'505'!G4+'531'!G13+'564'!G7</f>
        <v>0.10936026540684907</v>
      </c>
      <c r="E28" s="132" t="s">
        <v>988</v>
      </c>
    </row>
    <row r="96" spans="4:5" ht="14.25">
      <c r="D96" s="43">
        <f>'539'!G12+'564'!G9</f>
        <v>0.21879999999998745</v>
      </c>
      <c r="E96" t="s">
        <v>993</v>
      </c>
    </row>
    <row r="113" spans="4:5" ht="14.25">
      <c r="D113" s="43">
        <f>'562'!G7+'564'!G10</f>
        <v>-0.48919999999986885</v>
      </c>
      <c r="E113" t="s">
        <v>992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846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845</v>
      </c>
    </row>
    <row r="166" spans="1:5" ht="14.25">
      <c r="A166" t="s">
        <v>844</v>
      </c>
      <c r="B166">
        <v>0</v>
      </c>
      <c r="D166" s="43">
        <f>'522'!G7</f>
        <v>0.15050000000002228</v>
      </c>
      <c r="E166">
        <v>522</v>
      </c>
    </row>
    <row r="178" spans="4:5" ht="14.25">
      <c r="D178" s="43">
        <f>'469'!G6+'564'!G8</f>
        <v>0.0795999999995729</v>
      </c>
      <c r="E178" t="s">
        <v>991</v>
      </c>
    </row>
    <row r="185" spans="4:5" ht="14.25">
      <c r="D185" s="43">
        <f>'388'!G4+'413'!G5+'427'!G5+'428'!G6+'560'!G7+'561'!G4+'564'!G4</f>
        <v>0.6078799999989428</v>
      </c>
      <c r="E185" t="s">
        <v>990</v>
      </c>
    </row>
    <row r="254" spans="4:5" ht="14.25">
      <c r="D254" s="43">
        <f>B254+C254+'306'!G6+'344'!G5+'348'!G9+'394'!G4+'395'!G6+'397'!G4+'487'!G4+'564'!G5</f>
        <v>0.2569838709675878</v>
      </c>
      <c r="E254" s="132" t="s">
        <v>989</v>
      </c>
    </row>
    <row r="260" spans="4:5" ht="14.25">
      <c r="D260" s="43">
        <f>'435'!G4+'521'!G6</f>
        <v>0.19920000000001892</v>
      </c>
      <c r="E260" t="s">
        <v>839</v>
      </c>
    </row>
    <row r="286" spans="4:5" ht="14.25">
      <c r="D286" s="43">
        <f>B286+C286+'344'!G7+'442'!G5+'475'!G12+'511'!G5+'517'!G8+'564'!G12</f>
        <v>0.18759999999952015</v>
      </c>
      <c r="E286" t="s">
        <v>987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847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848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840</v>
      </c>
    </row>
    <row r="369" spans="4:5" ht="14.25">
      <c r="D369" s="43">
        <f>'381'!G5+'411'!G5+'419'!G6+'468'!G4+'506'!G7+'511'!G6+'528'!G4+'531'!G6+'554'!G8+'558'!G5+'559'!G9+'564'!G11</f>
        <v>0.12918000000126995</v>
      </c>
      <c r="E369" t="s">
        <v>986</v>
      </c>
    </row>
    <row r="384" spans="4:5" ht="14.25">
      <c r="D384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4" t="s">
        <v>985</v>
      </c>
    </row>
  </sheetData>
  <sheetProtection/>
  <printOptions/>
  <pageMargins left="0.7" right="0.7" top="0.75" bottom="0.75" header="0.3" footer="0.3"/>
  <pageSetup orientation="portrait" paperSize="9"/>
</worksheet>
</file>

<file path=xl/worksheets/sheet2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6"/>
  <sheetViews>
    <sheetView zoomScalePageLayoutView="0" workbookViewId="0" topLeftCell="A1">
      <selection activeCell="A11" sqref="A11:A12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42618</v>
      </c>
      <c r="C1" s="3" t="s">
        <v>1</v>
      </c>
      <c r="D1" s="4">
        <v>65.87</v>
      </c>
      <c r="E1" s="5" t="s">
        <v>2</v>
      </c>
    </row>
    <row r="2" s="5" customFormat="1" ht="14.25">
      <c r="A2" s="6" t="s">
        <v>1065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1066</v>
      </c>
      <c r="B4" s="135">
        <v>18.32</v>
      </c>
      <c r="C4" s="64"/>
      <c r="D4" s="103">
        <f>C4*1</f>
        <v>0</v>
      </c>
      <c r="E4" s="114">
        <f>(B4+D4)*$D$1</f>
        <v>1206.7384000000002</v>
      </c>
      <c r="F4" s="79">
        <v>1207</v>
      </c>
      <c r="G4" s="14">
        <f>-E4+F4</f>
        <v>0.26159999999981665</v>
      </c>
      <c r="H4" s="74"/>
    </row>
    <row r="5" spans="1:8" s="10" customFormat="1" ht="14.25">
      <c r="A5" s="11" t="s">
        <v>621</v>
      </c>
      <c r="B5" s="135">
        <v>23.81</v>
      </c>
      <c r="C5" s="64"/>
      <c r="D5" s="103">
        <f>C5*1</f>
        <v>0</v>
      </c>
      <c r="E5" s="114">
        <f>(B5+D5)*$D$1</f>
        <v>1568.3647</v>
      </c>
      <c r="F5" s="85">
        <v>1568</v>
      </c>
      <c r="G5" s="14">
        <f>-E5+F5</f>
        <v>-0.3647000000000844</v>
      </c>
      <c r="H5" s="74"/>
    </row>
    <row r="6" spans="1:7" s="10" customFormat="1" ht="14.25">
      <c r="A6" s="15" t="s">
        <v>194</v>
      </c>
      <c r="B6" s="135">
        <v>21.51</v>
      </c>
      <c r="C6" s="64"/>
      <c r="D6" s="103">
        <f>C6*1</f>
        <v>0</v>
      </c>
      <c r="E6" s="114">
        <f>(B6+D6)*$D$1</f>
        <v>1416.8637</v>
      </c>
      <c r="F6" s="79">
        <v>1417</v>
      </c>
      <c r="G6" s="77">
        <f>-E6+F6</f>
        <v>0.13629999999989195</v>
      </c>
    </row>
    <row r="7" spans="1:8" s="10" customFormat="1" ht="14.25">
      <c r="A7" s="11" t="s">
        <v>1067</v>
      </c>
      <c r="B7" s="63">
        <v>19.79</v>
      </c>
      <c r="C7" s="64"/>
      <c r="D7" s="103">
        <f>C7*1</f>
        <v>0</v>
      </c>
      <c r="E7" s="114">
        <f>(B7+D7)*$D$1</f>
        <v>1303.5673</v>
      </c>
      <c r="F7" s="85">
        <v>1304</v>
      </c>
      <c r="G7" s="14">
        <f>-E7+F7</f>
        <v>0.43270000000006803</v>
      </c>
      <c r="H7" s="74"/>
    </row>
    <row r="8" spans="1:8" s="10" customFormat="1" ht="14.25">
      <c r="A8" s="11" t="s">
        <v>449</v>
      </c>
      <c r="B8" s="63">
        <v>40.32</v>
      </c>
      <c r="C8" s="64"/>
      <c r="D8" s="103">
        <f>C8*1</f>
        <v>0</v>
      </c>
      <c r="E8" s="114">
        <f>(B8+D8)*$D$1</f>
        <v>2655.8784</v>
      </c>
      <c r="F8" s="137">
        <v>2656</v>
      </c>
      <c r="G8" s="77">
        <f>-E8+F8</f>
        <v>0.12159999999994398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28.5">
      <c r="A13" s="98"/>
    </row>
    <row r="14" spans="1:2" ht="28.5">
      <c r="A14" s="98"/>
      <c r="B14" s="72"/>
    </row>
    <row r="15" ht="14.25">
      <c r="B15" s="72"/>
    </row>
    <row r="19" spans="4:5" ht="14.25">
      <c r="D19" s="43"/>
      <c r="E19" s="132"/>
    </row>
    <row r="30" spans="4:5" ht="14.25">
      <c r="D30" s="43">
        <f>B30+C30+'303'!G8+'313'!G7+'323'!G8+'345'!G5+'382'!G8+'383'!G8+'401'!G7+'426'!G6+'441'!G6+'457'!G5+'483'!G6+'500'!G4+'505'!G4+'531'!G13+'564'!G7</f>
        <v>0.10936026540684907</v>
      </c>
      <c r="E30" s="132" t="s">
        <v>988</v>
      </c>
    </row>
    <row r="98" spans="4:5" ht="14.25">
      <c r="D98" s="43">
        <f>'539'!G12+'564'!G9</f>
        <v>0.21879999999998745</v>
      </c>
      <c r="E98" t="s">
        <v>993</v>
      </c>
    </row>
    <row r="115" spans="4:5" ht="14.25">
      <c r="D115" s="43">
        <f>'562'!G7+'564'!G10</f>
        <v>-0.48919999999986885</v>
      </c>
      <c r="E115" t="s">
        <v>992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846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845</v>
      </c>
    </row>
    <row r="168" spans="1:5" ht="14.25">
      <c r="A168" t="s">
        <v>844</v>
      </c>
      <c r="B168">
        <v>0</v>
      </c>
      <c r="D168" s="43">
        <f>'522'!G7</f>
        <v>0.15050000000002228</v>
      </c>
      <c r="E168">
        <v>522</v>
      </c>
    </row>
    <row r="180" spans="4:5" ht="14.25">
      <c r="D180" s="43">
        <f>'469'!G6+'564'!G8</f>
        <v>0.0795999999995729</v>
      </c>
      <c r="E180" t="s">
        <v>991</v>
      </c>
    </row>
    <row r="187" spans="4:5" ht="14.25">
      <c r="D187" s="43">
        <f>'388'!G4+'413'!G5+'427'!G5+'428'!G6+'560'!G7+'561'!G4+'564'!G4</f>
        <v>0.6078799999989428</v>
      </c>
      <c r="E187" t="s">
        <v>990</v>
      </c>
    </row>
    <row r="256" spans="4:5" ht="14.25">
      <c r="D256" s="43">
        <f>B256+C256+'306'!G6+'344'!G5+'348'!G9+'394'!G4+'395'!G6+'397'!G4+'487'!G4+'564'!G5</f>
        <v>0.2569838709675878</v>
      </c>
      <c r="E256" s="132" t="s">
        <v>989</v>
      </c>
    </row>
    <row r="262" spans="4:5" ht="14.25">
      <c r="D262" s="43">
        <f>'435'!G4+'521'!G6</f>
        <v>0.19920000000001892</v>
      </c>
      <c r="E262" t="s">
        <v>839</v>
      </c>
    </row>
    <row r="288" spans="4:5" ht="14.25">
      <c r="D288" s="43">
        <f>B288+C288+'344'!G7+'442'!G5+'475'!G12+'511'!G5+'517'!G8+'564'!G12</f>
        <v>0.18759999999952015</v>
      </c>
      <c r="E288" t="s">
        <v>987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847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848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840</v>
      </c>
    </row>
    <row r="371" spans="4:5" ht="14.25">
      <c r="D371" s="43">
        <f>'381'!G5+'411'!G5+'419'!G6+'468'!G4+'506'!G7+'511'!G6+'528'!G4+'531'!G6+'554'!G8+'558'!G5+'559'!G9+'564'!G11</f>
        <v>0.12918000000126995</v>
      </c>
      <c r="E371" t="s">
        <v>986</v>
      </c>
    </row>
    <row r="386" spans="4:5" ht="14.25">
      <c r="D386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6" t="s">
        <v>985</v>
      </c>
    </row>
  </sheetData>
  <sheetProtection/>
  <printOptions/>
  <pageMargins left="0.7" right="0.7" top="0.75" bottom="0.75" header="0.3" footer="0.3"/>
  <pageSetup orientation="portrait" paperSize="9"/>
</worksheet>
</file>

<file path=xl/worksheets/sheet2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6"/>
  <sheetViews>
    <sheetView zoomScalePageLayoutView="0" workbookViewId="0" topLeftCell="A1">
      <selection activeCell="A11" sqref="A11:A12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42618</v>
      </c>
      <c r="C1" s="3" t="s">
        <v>1</v>
      </c>
      <c r="D1" s="4">
        <v>65.87</v>
      </c>
      <c r="E1" s="5" t="s">
        <v>2</v>
      </c>
    </row>
    <row r="2" s="5" customFormat="1" ht="14.25">
      <c r="A2" s="6" t="s">
        <v>1065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448</v>
      </c>
      <c r="B4" s="135">
        <v>16.62</v>
      </c>
      <c r="C4" s="64"/>
      <c r="D4" s="103">
        <f>C4*1</f>
        <v>0</v>
      </c>
      <c r="E4" s="114">
        <f>(B4+D4)*$D$1</f>
        <v>1094.7594000000001</v>
      </c>
      <c r="F4" s="85">
        <v>1095</v>
      </c>
      <c r="G4" s="14">
        <f>-E4+F4</f>
        <v>0.24059999999985848</v>
      </c>
      <c r="H4" s="74"/>
    </row>
    <row r="5" spans="1:8" s="10" customFormat="1" ht="14.25">
      <c r="A5" s="11" t="s">
        <v>898</v>
      </c>
      <c r="B5" s="135">
        <v>12.54</v>
      </c>
      <c r="C5" s="64"/>
      <c r="D5" s="103">
        <f>C5*1</f>
        <v>0</v>
      </c>
      <c r="E5" s="114">
        <f>(B5+D5)*$D$1</f>
        <v>826.0098</v>
      </c>
      <c r="F5" s="85">
        <v>826</v>
      </c>
      <c r="G5" s="14">
        <f>-E5+F5</f>
        <v>-0.00980000000004111</v>
      </c>
      <c r="H5" s="74"/>
    </row>
    <row r="6" spans="1:7" s="10" customFormat="1" ht="14.25">
      <c r="A6" s="15" t="s">
        <v>738</v>
      </c>
      <c r="B6" s="135">
        <v>7.36</v>
      </c>
      <c r="C6" s="64"/>
      <c r="D6" s="103">
        <f>C6*1</f>
        <v>0</v>
      </c>
      <c r="E6" s="114">
        <f>(B6+D6)*$D$1</f>
        <v>484.80320000000006</v>
      </c>
      <c r="F6" s="137">
        <v>481</v>
      </c>
      <c r="G6" s="77">
        <f>-E6+F6</f>
        <v>-3.8032000000000608</v>
      </c>
    </row>
    <row r="7" spans="1:8" s="10" customFormat="1" ht="14.25">
      <c r="A7" s="11" t="s">
        <v>1068</v>
      </c>
      <c r="B7" s="63">
        <v>14.4</v>
      </c>
      <c r="C7" s="64"/>
      <c r="D7" s="103">
        <f>C7*1</f>
        <v>0</v>
      </c>
      <c r="E7" s="114">
        <f>(B7+D7)*$D$1</f>
        <v>948.5280000000001</v>
      </c>
      <c r="F7" s="79">
        <v>949</v>
      </c>
      <c r="G7" s="14">
        <f>-E7+F7</f>
        <v>0.4719999999998663</v>
      </c>
      <c r="H7" s="74"/>
    </row>
    <row r="8" spans="1:8" s="10" customFormat="1" ht="14.25">
      <c r="A8" s="11" t="s">
        <v>897</v>
      </c>
      <c r="B8" s="63">
        <v>15.36</v>
      </c>
      <c r="C8" s="64"/>
      <c r="D8" s="103">
        <f>C8*1</f>
        <v>0</v>
      </c>
      <c r="E8" s="114">
        <f>(B8+D8)*$D$1</f>
        <v>1011.7632</v>
      </c>
      <c r="F8" s="85">
        <v>1012</v>
      </c>
      <c r="G8" s="77">
        <f>-E8+F8</f>
        <v>0.23680000000001655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28.5">
      <c r="A13" s="98"/>
    </row>
    <row r="14" spans="1:2" ht="28.5">
      <c r="A14" s="98"/>
      <c r="B14" s="72"/>
    </row>
    <row r="15" ht="14.25">
      <c r="B15" s="72"/>
    </row>
    <row r="19" spans="4:5" ht="14.25">
      <c r="D19" s="43"/>
      <c r="E19" s="132"/>
    </row>
    <row r="30" spans="4:5" ht="14.25">
      <c r="D30" s="43">
        <f>B30+C30+'303'!G8+'313'!G7+'323'!G8+'345'!G5+'382'!G8+'383'!G8+'401'!G7+'426'!G6+'441'!G6+'457'!G5+'483'!G6+'500'!G4+'505'!G4+'531'!G13+'564'!G7</f>
        <v>0.10936026540684907</v>
      </c>
      <c r="E30" s="132" t="s">
        <v>988</v>
      </c>
    </row>
    <row r="98" spans="4:5" ht="14.25">
      <c r="D98" s="43">
        <f>'539'!G12+'564'!G9</f>
        <v>0.21879999999998745</v>
      </c>
      <c r="E98" t="s">
        <v>993</v>
      </c>
    </row>
    <row r="115" spans="4:5" ht="14.25">
      <c r="D115" s="43">
        <f>'562'!G7+'564'!G10</f>
        <v>-0.48919999999986885</v>
      </c>
      <c r="E115" t="s">
        <v>992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846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845</v>
      </c>
    </row>
    <row r="168" spans="1:5" ht="14.25">
      <c r="A168" t="s">
        <v>844</v>
      </c>
      <c r="B168">
        <v>0</v>
      </c>
      <c r="D168" s="43">
        <f>'522'!G7</f>
        <v>0.15050000000002228</v>
      </c>
      <c r="E168">
        <v>522</v>
      </c>
    </row>
    <row r="180" spans="4:5" ht="14.25">
      <c r="D180" s="43">
        <f>'469'!G6+'564'!G8</f>
        <v>0.0795999999995729</v>
      </c>
      <c r="E180" t="s">
        <v>991</v>
      </c>
    </row>
    <row r="187" spans="4:5" ht="14.25">
      <c r="D187" s="43">
        <f>'388'!G4+'413'!G5+'427'!G5+'428'!G6+'560'!G7+'561'!G4+'564'!G4</f>
        <v>0.6078799999989428</v>
      </c>
      <c r="E187" t="s">
        <v>990</v>
      </c>
    </row>
    <row r="256" spans="4:5" ht="14.25">
      <c r="D256" s="43">
        <f>B256+C256+'306'!G6+'344'!G5+'348'!G9+'394'!G4+'395'!G6+'397'!G4+'487'!G4+'564'!G5</f>
        <v>0.2569838709675878</v>
      </c>
      <c r="E256" s="132" t="s">
        <v>989</v>
      </c>
    </row>
    <row r="262" spans="4:5" ht="14.25">
      <c r="D262" s="43">
        <f>'435'!G4+'521'!G6</f>
        <v>0.19920000000001892</v>
      </c>
      <c r="E262" t="s">
        <v>839</v>
      </c>
    </row>
    <row r="288" spans="4:5" ht="14.25">
      <c r="D288" s="43">
        <f>B288+C288+'344'!G7+'442'!G5+'475'!G12+'511'!G5+'517'!G8+'564'!G12</f>
        <v>0.18759999999952015</v>
      </c>
      <c r="E288" t="s">
        <v>987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847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848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840</v>
      </c>
    </row>
    <row r="371" spans="4:5" ht="14.25">
      <c r="D371" s="43">
        <f>'381'!G5+'411'!G5+'419'!G6+'468'!G4+'506'!G7+'511'!G6+'528'!G4+'531'!G6+'554'!G8+'558'!G5+'559'!G9+'564'!G11</f>
        <v>0.12918000000126995</v>
      </c>
      <c r="E371" t="s">
        <v>986</v>
      </c>
    </row>
    <row r="386" spans="4:5" ht="14.25">
      <c r="D386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6" t="s">
        <v>985</v>
      </c>
    </row>
  </sheetData>
  <sheetProtection/>
  <printOptions/>
  <pageMargins left="0.7" right="0.7" top="0.75" bottom="0.75" header="0.3" footer="0.3"/>
  <pageSetup orientation="portrait" paperSize="9"/>
</worksheet>
</file>

<file path=xl/worksheets/sheet2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7"/>
  <sheetViews>
    <sheetView zoomScalePageLayoutView="0" workbookViewId="0" topLeftCell="A1">
      <selection activeCell="A12" sqref="A12:A13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42622</v>
      </c>
      <c r="C1" s="3" t="s">
        <v>1</v>
      </c>
      <c r="D1" s="4">
        <v>64.6</v>
      </c>
      <c r="E1" s="5" t="s">
        <v>2</v>
      </c>
    </row>
    <row r="2" s="5" customFormat="1" ht="14.25">
      <c r="A2" s="6" t="s">
        <v>1071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</v>
      </c>
      <c r="B4" s="135">
        <v>12.95</v>
      </c>
      <c r="C4" s="64"/>
      <c r="D4" s="103">
        <f aca="true" t="shared" si="0" ref="D4:D9">C4*1</f>
        <v>0</v>
      </c>
      <c r="E4" s="114">
        <f aca="true" t="shared" si="1" ref="E4:E9">(B4+D4)*$D$1</f>
        <v>836.5699999999999</v>
      </c>
      <c r="F4" s="137">
        <v>837</v>
      </c>
      <c r="G4" s="14">
        <f aca="true" t="shared" si="2" ref="G4:G9">-E4+F4</f>
        <v>0.43000000000006366</v>
      </c>
      <c r="H4" s="74"/>
    </row>
    <row r="5" spans="1:8" s="10" customFormat="1" ht="14.25">
      <c r="A5" s="11" t="s">
        <v>851</v>
      </c>
      <c r="B5" s="135">
        <v>15.05</v>
      </c>
      <c r="C5" s="64"/>
      <c r="D5" s="103">
        <f t="shared" si="0"/>
        <v>0</v>
      </c>
      <c r="E5" s="114">
        <f t="shared" si="1"/>
        <v>972.2299999999999</v>
      </c>
      <c r="F5" s="85">
        <v>972</v>
      </c>
      <c r="G5" s="14">
        <f t="shared" si="2"/>
        <v>-0.2299999999999045</v>
      </c>
      <c r="H5" s="74"/>
    </row>
    <row r="6" spans="1:8" s="10" customFormat="1" ht="14.25">
      <c r="A6" s="11" t="s">
        <v>223</v>
      </c>
      <c r="B6" s="135">
        <v>4.32</v>
      </c>
      <c r="C6" s="64"/>
      <c r="D6" s="103">
        <f t="shared" si="0"/>
        <v>0</v>
      </c>
      <c r="E6" s="114">
        <f t="shared" si="1"/>
        <v>279.072</v>
      </c>
      <c r="F6" s="85">
        <v>280</v>
      </c>
      <c r="G6" s="14">
        <f t="shared" si="2"/>
        <v>0.9279999999999973</v>
      </c>
      <c r="H6" s="74"/>
    </row>
    <row r="7" spans="1:8" s="10" customFormat="1" ht="14.25">
      <c r="A7" s="11" t="s">
        <v>758</v>
      </c>
      <c r="B7" s="135">
        <v>41.1</v>
      </c>
      <c r="C7" s="64"/>
      <c r="D7" s="103">
        <f t="shared" si="0"/>
        <v>0</v>
      </c>
      <c r="E7" s="114">
        <f t="shared" si="1"/>
        <v>2655.06</v>
      </c>
      <c r="F7" s="141">
        <v>2655</v>
      </c>
      <c r="G7" s="14">
        <f t="shared" si="2"/>
        <v>-0.05999999999994543</v>
      </c>
      <c r="H7" s="74"/>
    </row>
    <row r="8" spans="1:7" s="10" customFormat="1" ht="14.25">
      <c r="A8" s="15" t="s">
        <v>1072</v>
      </c>
      <c r="B8" s="135">
        <v>32.97</v>
      </c>
      <c r="C8" s="64"/>
      <c r="D8" s="103">
        <f t="shared" si="0"/>
        <v>0</v>
      </c>
      <c r="E8" s="114">
        <f t="shared" si="1"/>
        <v>2129.8619999999996</v>
      </c>
      <c r="F8" s="137">
        <v>2130</v>
      </c>
      <c r="G8" s="77">
        <f t="shared" si="2"/>
        <v>0.1380000000003747</v>
      </c>
    </row>
    <row r="9" spans="1:8" s="10" customFormat="1" ht="14.25">
      <c r="A9" s="11" t="s">
        <v>795</v>
      </c>
      <c r="B9" s="63">
        <v>30.38</v>
      </c>
      <c r="C9" s="64"/>
      <c r="D9" s="103">
        <f t="shared" si="0"/>
        <v>0</v>
      </c>
      <c r="E9" s="114">
        <f t="shared" si="1"/>
        <v>1962.5479999999998</v>
      </c>
      <c r="F9" s="79">
        <v>1956</v>
      </c>
      <c r="G9" s="14">
        <f t="shared" si="2"/>
        <v>-6.5479999999997744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28.5">
      <c r="A14" s="98"/>
    </row>
    <row r="15" spans="1:2" ht="28.5">
      <c r="A15" s="98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988</v>
      </c>
    </row>
    <row r="99" spans="4:5" ht="14.25">
      <c r="D99" s="43">
        <f>'539'!G12+'564'!G9</f>
        <v>0.21879999999998745</v>
      </c>
      <c r="E99" t="s">
        <v>993</v>
      </c>
    </row>
    <row r="116" spans="4:5" ht="14.25">
      <c r="D116" s="43">
        <f>'562'!G7+'564'!G10</f>
        <v>-0.48919999999986885</v>
      </c>
      <c r="E116" t="s">
        <v>992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846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845</v>
      </c>
    </row>
    <row r="169" spans="1:5" ht="14.25">
      <c r="A169" t="s">
        <v>844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991</v>
      </c>
    </row>
    <row r="188" spans="4:5" ht="14.25">
      <c r="D188" s="43">
        <f>'388'!G4+'413'!G5+'427'!G5+'428'!G6+'560'!G7+'561'!G4+'564'!G4</f>
        <v>0.6078799999989428</v>
      </c>
      <c r="E188" t="s">
        <v>990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989</v>
      </c>
    </row>
    <row r="263" spans="4:5" ht="14.25">
      <c r="D263" s="43">
        <f>'435'!G4+'521'!G6</f>
        <v>0.19920000000001892</v>
      </c>
      <c r="E263" t="s">
        <v>839</v>
      </c>
    </row>
    <row r="289" spans="4:5" ht="14.25">
      <c r="D289" s="43">
        <f>B289+C289+'344'!G7+'442'!G5+'475'!G12+'511'!G5+'517'!G8+'564'!G12</f>
        <v>0.18759999999952015</v>
      </c>
      <c r="E289" t="s">
        <v>987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847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848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840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986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985</v>
      </c>
    </row>
  </sheetData>
  <sheetProtection/>
  <printOptions/>
  <pageMargins left="0.7" right="0.7" top="0.75" bottom="0.75" header="0.3" footer="0.3"/>
  <pageSetup orientation="portrait" paperSize="9"/>
</worksheet>
</file>

<file path=xl/worksheets/sheet2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2"/>
  <sheetViews>
    <sheetView zoomScalePageLayoutView="0" workbookViewId="0" topLeftCell="A1">
      <selection activeCell="A9" sqref="A9:IV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42622</v>
      </c>
      <c r="C1" s="3" t="s">
        <v>1</v>
      </c>
      <c r="D1" s="4">
        <v>64.6</v>
      </c>
      <c r="E1" s="5" t="s">
        <v>2</v>
      </c>
    </row>
    <row r="2" s="5" customFormat="1" ht="14.25">
      <c r="A2" s="6" t="s">
        <v>1071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650</v>
      </c>
      <c r="B4" s="135">
        <v>12.72</v>
      </c>
      <c r="C4" s="64"/>
      <c r="D4" s="103">
        <f>C4*1</f>
        <v>0</v>
      </c>
      <c r="E4" s="114">
        <f>(B4+D4)*$D$1</f>
        <v>821.712</v>
      </c>
      <c r="F4" s="85">
        <v>822</v>
      </c>
      <c r="G4" s="14">
        <f>-E4+F4</f>
        <v>0.2880000000000109</v>
      </c>
      <c r="H4" s="74"/>
    </row>
    <row r="5" spans="1:8" s="10" customFormat="1" ht="14.25">
      <c r="A5" s="11" t="s">
        <v>651</v>
      </c>
      <c r="B5" s="135">
        <v>31.05</v>
      </c>
      <c r="C5" s="64"/>
      <c r="D5" s="103">
        <f>C5*1</f>
        <v>0</v>
      </c>
      <c r="E5" s="114">
        <f>(B5+D5)*$D$1</f>
        <v>2005.83</v>
      </c>
      <c r="F5" s="85">
        <v>2006</v>
      </c>
      <c r="G5" s="14">
        <f>-E5+F5</f>
        <v>0.17000000000007276</v>
      </c>
      <c r="H5" s="74"/>
    </row>
    <row r="6" spans="1:7" s="10" customFormat="1" ht="14.25">
      <c r="A6" s="11" t="s">
        <v>953</v>
      </c>
      <c r="B6" s="135">
        <v>54.76</v>
      </c>
      <c r="C6" s="64"/>
      <c r="D6" s="103">
        <f>C6*1</f>
        <v>0</v>
      </c>
      <c r="E6" s="114">
        <f>(B6+D6)*$D$1</f>
        <v>3537.4959999999996</v>
      </c>
      <c r="F6" s="137">
        <v>3538</v>
      </c>
      <c r="G6" s="77">
        <f>-E6+F6</f>
        <v>0.5040000000003602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 t="s">
        <v>416</v>
      </c>
    </row>
    <row r="10" spans="1:2" ht="18">
      <c r="A10" s="139" t="s">
        <v>651</v>
      </c>
      <c r="B10" s="140" t="s">
        <v>1073</v>
      </c>
    </row>
    <row r="11" ht="14.25">
      <c r="B11" s="72"/>
    </row>
    <row r="15" spans="4:5" ht="14.25">
      <c r="D15" s="43"/>
      <c r="E15" s="132"/>
    </row>
    <row r="26" spans="4:5" ht="14.25">
      <c r="D26" s="43">
        <f>B26+C26+'303'!G8+'313'!G7+'323'!G8+'345'!G5+'382'!G8+'383'!G8+'401'!G7+'426'!G6+'441'!G6+'457'!G5+'483'!G6+'500'!G4+'505'!G4+'531'!G13+'564'!G7</f>
        <v>0.10936026540684907</v>
      </c>
      <c r="E26" s="132" t="s">
        <v>988</v>
      </c>
    </row>
    <row r="94" spans="4:5" ht="14.25">
      <c r="D94" s="43">
        <f>'539'!G12+'564'!G9</f>
        <v>0.21879999999998745</v>
      </c>
      <c r="E94" t="s">
        <v>993</v>
      </c>
    </row>
    <row r="111" spans="4:5" ht="14.25">
      <c r="D111" s="43">
        <f>'562'!G7+'564'!G10</f>
        <v>-0.48919999999986885</v>
      </c>
      <c r="E111" t="s">
        <v>992</v>
      </c>
    </row>
    <row r="122" spans="4:5" ht="14.25">
      <c r="D122" s="43">
        <f>B122+C122+'309'!G4+'316'!G4+'319'!G4+'339'!G9+'340'!G4+'372'!G7+'381'!G4+'391'!G7+'404'!G6+'411'!G4+'412'!G8+'416'!G4+'429'!G4+'485'!G4+'522'!G5</f>
        <v>4.579371965812413</v>
      </c>
      <c r="E122" s="132" t="s">
        <v>846</v>
      </c>
    </row>
    <row r="127" spans="4:5" ht="14.25">
      <c r="D127" s="43">
        <f>B127+C127+'325'!G9+'328'!G5+'344'!G9+'378'!G7+'384'!G6+'387'!G4+'391'!G9+'399'!G4+'441'!G4+'522'!G4</f>
        <v>-1.887614562767908</v>
      </c>
      <c r="E127" s="132" t="s">
        <v>845</v>
      </c>
    </row>
    <row r="164" spans="1:5" ht="14.25">
      <c r="A164" t="s">
        <v>844</v>
      </c>
      <c r="B164">
        <v>0</v>
      </c>
      <c r="D164" s="43">
        <f>'522'!G7</f>
        <v>0.15050000000002228</v>
      </c>
      <c r="E164">
        <v>522</v>
      </c>
    </row>
    <row r="176" spans="4:5" ht="14.25">
      <c r="D176" s="43">
        <f>'469'!G6+'564'!G8</f>
        <v>0.0795999999995729</v>
      </c>
      <c r="E176" t="s">
        <v>991</v>
      </c>
    </row>
    <row r="183" spans="4:5" ht="14.25">
      <c r="D183" s="43">
        <f>'388'!G4+'413'!G5+'427'!G5+'428'!G6+'560'!G7+'561'!G4+'564'!G4</f>
        <v>0.6078799999989428</v>
      </c>
      <c r="E183" t="s">
        <v>990</v>
      </c>
    </row>
    <row r="252" spans="4:5" ht="14.25">
      <c r="D252" s="43">
        <f>B252+C252+'306'!G6+'344'!G5+'348'!G9+'394'!G4+'395'!G6+'397'!G4+'487'!G4+'564'!G5</f>
        <v>0.2569838709675878</v>
      </c>
      <c r="E252" s="132" t="s">
        <v>989</v>
      </c>
    </row>
    <row r="258" spans="4:5" ht="14.25">
      <c r="D258" s="43">
        <f>'435'!G4+'521'!G6</f>
        <v>0.19920000000001892</v>
      </c>
      <c r="E258" t="s">
        <v>839</v>
      </c>
    </row>
    <row r="284" spans="4:5" ht="14.25">
      <c r="D284" s="43">
        <f>B284+C284+'344'!G7+'442'!G5+'475'!G12+'511'!G5+'517'!G8+'564'!G12</f>
        <v>0.18759999999952015</v>
      </c>
      <c r="E284" t="s">
        <v>987</v>
      </c>
    </row>
    <row r="316" spans="4:5" ht="14.25">
      <c r="D316" s="43">
        <f>B316+C316+'339'!G6+'359'!G7+'362'!G8+'422'!G4+'425'!G7+'470'!G6+'479'!G7+'514'!G6+'522'!G6</f>
        <v>-0.18308000000028812</v>
      </c>
      <c r="E316" t="s">
        <v>847</v>
      </c>
    </row>
    <row r="346" spans="2:5" ht="14.25">
      <c r="B346">
        <v>0</v>
      </c>
      <c r="D346" s="43">
        <f>'485'!G8+'488'!G6+'489'!G6+'491'!G4+'494'!G6+'495'!G4+'498'!G8+'502'!G5+'504'!G4+'508'!G5+'511'!G4+'514'!G7+'521'!G4+'522'!G8</f>
        <v>0.3647999999984677</v>
      </c>
      <c r="E346" t="s">
        <v>848</v>
      </c>
    </row>
    <row r="348" spans="4:5" ht="14.25">
      <c r="D348" s="43">
        <f>'485'!G8+'488'!G6+'489'!G6+'491'!G4+'494'!G6+'495'!G4+'498'!G8+'502'!G5+'504'!G4+'508'!G5+'511'!G4+'514'!G7+'521'!G4</f>
        <v>-0.41860000000156106</v>
      </c>
      <c r="E348" t="s">
        <v>840</v>
      </c>
    </row>
    <row r="367" spans="4:5" ht="14.25">
      <c r="D367" s="43">
        <f>'381'!G5+'411'!G5+'419'!G6+'468'!G4+'506'!G7+'511'!G6+'528'!G4+'531'!G6+'554'!G8+'558'!G5+'559'!G9+'564'!G11</f>
        <v>0.12918000000126995</v>
      </c>
      <c r="E367" t="s">
        <v>986</v>
      </c>
    </row>
    <row r="382" spans="4:5" ht="14.25">
      <c r="D382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2" t="s">
        <v>985</v>
      </c>
    </row>
  </sheetData>
  <sheetProtection/>
  <hyperlinks>
    <hyperlink ref="B10" r:id="rId1" display="http://www.iherb.com/Gummi-King-Multi-Vitamin-Mineral-For-Kids-60-Gummies/34007"/>
  </hyperlinks>
  <printOptions/>
  <pageMargins left="0.7" right="0.7" top="0.75" bottom="0.75" header="0.3" footer="0.3"/>
  <pageSetup orientation="portrait" paperSize="9"/>
</worksheet>
</file>

<file path=xl/worksheets/sheet2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5"/>
  <sheetViews>
    <sheetView zoomScalePageLayoutView="0" workbookViewId="0" topLeftCell="A1">
      <selection activeCell="A10" sqref="A10:A11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42625</v>
      </c>
      <c r="C1" s="3" t="s">
        <v>1</v>
      </c>
      <c r="D1" s="4">
        <v>65.46</v>
      </c>
      <c r="E1" s="5" t="s">
        <v>2</v>
      </c>
    </row>
    <row r="2" s="5" customFormat="1" ht="14.25">
      <c r="A2" s="6" t="s">
        <v>1076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851</v>
      </c>
      <c r="B4" s="135">
        <v>50.18</v>
      </c>
      <c r="C4" s="64"/>
      <c r="D4" s="103">
        <f>C4*1</f>
        <v>0</v>
      </c>
      <c r="E4" s="114">
        <f>(B4+D4)*$D$1</f>
        <v>3284.7827999999995</v>
      </c>
      <c r="F4" s="137">
        <v>3285</v>
      </c>
      <c r="G4" s="14">
        <f>-E4+F4</f>
        <v>0.21720000000050277</v>
      </c>
      <c r="H4" s="74"/>
    </row>
    <row r="5" spans="1:8" s="10" customFormat="1" ht="14.25">
      <c r="A5" s="11" t="s">
        <v>408</v>
      </c>
      <c r="B5" s="135">
        <v>7.16</v>
      </c>
      <c r="C5" s="64"/>
      <c r="D5" s="103">
        <f>C5*1</f>
        <v>0</v>
      </c>
      <c r="E5" s="114">
        <f>(B5+D5)*$D$1</f>
        <v>468.69359999999995</v>
      </c>
      <c r="F5" s="85">
        <v>468</v>
      </c>
      <c r="G5" s="14">
        <f>-E5+F5</f>
        <v>-0.6935999999999467</v>
      </c>
      <c r="H5" s="74"/>
    </row>
    <row r="6" spans="1:7" s="10" customFormat="1" ht="14.25">
      <c r="A6" s="15" t="s">
        <v>512</v>
      </c>
      <c r="B6" s="135">
        <v>25.4</v>
      </c>
      <c r="C6" s="64"/>
      <c r="D6" s="103">
        <f>C6*1</f>
        <v>0</v>
      </c>
      <c r="E6" s="114">
        <f>(B6+D6)*$D$1</f>
        <v>1662.6839999999997</v>
      </c>
      <c r="F6" s="137">
        <v>1664</v>
      </c>
      <c r="G6" s="77">
        <f>-E6+F6</f>
        <v>1.3160000000002583</v>
      </c>
    </row>
    <row r="7" spans="1:8" s="10" customFormat="1" ht="14.25">
      <c r="A7" s="11" t="s">
        <v>640</v>
      </c>
      <c r="B7" s="63">
        <v>37.2</v>
      </c>
      <c r="C7" s="64"/>
      <c r="D7" s="103">
        <f>C7*1</f>
        <v>0</v>
      </c>
      <c r="E7" s="114">
        <f>(B7+D7)*$D$1</f>
        <v>2435.112</v>
      </c>
      <c r="F7" s="79">
        <v>2435</v>
      </c>
      <c r="G7" s="14">
        <f>-E7+F7</f>
        <v>-0.11200000000008004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spans="1:2" ht="28.5">
      <c r="A13" s="98"/>
      <c r="B13" s="72"/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988</v>
      </c>
    </row>
    <row r="97" spans="4:5" ht="14.25">
      <c r="D97" s="43">
        <f>'539'!G12+'564'!G9</f>
        <v>0.21879999999998745</v>
      </c>
      <c r="E97" t="s">
        <v>993</v>
      </c>
    </row>
    <row r="114" spans="4:5" ht="14.25">
      <c r="D114" s="43">
        <f>'562'!G7+'564'!G10</f>
        <v>-0.48919999999986885</v>
      </c>
      <c r="E114" t="s">
        <v>992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846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845</v>
      </c>
    </row>
    <row r="167" spans="1:5" ht="14.25">
      <c r="A167" t="s">
        <v>844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991</v>
      </c>
    </row>
    <row r="186" spans="4:5" ht="14.25">
      <c r="D186" s="43">
        <f>'388'!G4+'413'!G5+'427'!G5+'428'!G6+'560'!G7+'561'!G4+'564'!G4</f>
        <v>0.6078799999989428</v>
      </c>
      <c r="E186" t="s">
        <v>990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989</v>
      </c>
    </row>
    <row r="261" spans="4:5" ht="14.25">
      <c r="D261" s="43">
        <f>'435'!G4+'521'!G6</f>
        <v>0.19920000000001892</v>
      </c>
      <c r="E261" t="s">
        <v>839</v>
      </c>
    </row>
    <row r="287" spans="4:5" ht="14.25">
      <c r="D287" s="43">
        <f>B287+C287+'344'!G7+'442'!G5+'475'!G12+'511'!G5+'517'!G8+'564'!G12</f>
        <v>0.18759999999952015</v>
      </c>
      <c r="E287" t="s">
        <v>987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847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848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840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986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985</v>
      </c>
    </row>
  </sheetData>
  <sheetProtection/>
  <printOptions/>
  <pageMargins left="0.7" right="0.7" top="0.75" bottom="0.75" header="0.3" footer="0.3"/>
  <pageSetup orientation="portrait" paperSize="9"/>
</worksheet>
</file>

<file path=xl/worksheets/sheet2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3"/>
  <sheetViews>
    <sheetView zoomScalePageLayoutView="0" workbookViewId="0" topLeftCell="A1">
      <selection activeCell="A8" sqref="A8:A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42625</v>
      </c>
      <c r="C1" s="3" t="s">
        <v>1</v>
      </c>
      <c r="D1" s="4">
        <v>65.46</v>
      </c>
      <c r="E1" s="5" t="s">
        <v>2</v>
      </c>
    </row>
    <row r="2" s="5" customFormat="1" ht="14.25">
      <c r="A2" s="6" t="s">
        <v>1076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428</v>
      </c>
      <c r="B4" s="135">
        <v>25.91</v>
      </c>
      <c r="C4" s="64"/>
      <c r="D4" s="103">
        <f>C4*1</f>
        <v>0</v>
      </c>
      <c r="E4" s="114">
        <f>(B4+D4)*$D$1</f>
        <v>1696.0685999999998</v>
      </c>
      <c r="F4" s="85">
        <v>1696</v>
      </c>
      <c r="G4" s="14">
        <f>-E4+F4</f>
        <v>-0.06859999999983302</v>
      </c>
      <c r="H4" s="74"/>
    </row>
    <row r="5" spans="1:8" s="10" customFormat="1" ht="14.25">
      <c r="A5" s="11" t="s">
        <v>1077</v>
      </c>
      <c r="B5" s="135">
        <v>22.64</v>
      </c>
      <c r="C5" s="64"/>
      <c r="D5" s="103">
        <f>C5*1</f>
        <v>0</v>
      </c>
      <c r="E5" s="114">
        <f>(B5+D5)*$D$1</f>
        <v>1482.0143999999998</v>
      </c>
      <c r="F5" s="137">
        <v>1482</v>
      </c>
      <c r="G5" s="14">
        <f>-E5+F5</f>
        <v>-0.01439999999979591</v>
      </c>
      <c r="H5" s="74"/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28.5">
      <c r="A10" s="98"/>
    </row>
    <row r="11" spans="1:2" ht="28.5">
      <c r="A11" s="98"/>
      <c r="B11" s="72"/>
    </row>
    <row r="12" ht="14.25">
      <c r="B12" s="72"/>
    </row>
    <row r="16" spans="4:5" ht="14.25">
      <c r="D16" s="43"/>
      <c r="E16" s="132"/>
    </row>
    <row r="27" spans="4:5" ht="14.25">
      <c r="D27" s="43">
        <f>B27+C27+'303'!G8+'313'!G7+'323'!G8+'345'!G5+'382'!G8+'383'!G8+'401'!G7+'426'!G6+'441'!G6+'457'!G5+'483'!G6+'500'!G4+'505'!G4+'531'!G13+'564'!G7</f>
        <v>0.10936026540684907</v>
      </c>
      <c r="E27" s="132" t="s">
        <v>988</v>
      </c>
    </row>
    <row r="95" spans="4:5" ht="14.25">
      <c r="D95" s="43">
        <f>'539'!G12+'564'!G9</f>
        <v>0.21879999999998745</v>
      </c>
      <c r="E95" t="s">
        <v>993</v>
      </c>
    </row>
    <row r="112" spans="4:5" ht="14.25">
      <c r="D112" s="43">
        <f>'562'!G7+'564'!G10</f>
        <v>-0.48919999999986885</v>
      </c>
      <c r="E112" t="s">
        <v>992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846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845</v>
      </c>
    </row>
    <row r="165" spans="1:5" ht="14.25">
      <c r="A165" t="s">
        <v>844</v>
      </c>
      <c r="B165">
        <v>0</v>
      </c>
      <c r="D165" s="43">
        <f>'522'!G7</f>
        <v>0.15050000000002228</v>
      </c>
      <c r="E165">
        <v>522</v>
      </c>
    </row>
    <row r="177" spans="4:5" ht="14.25">
      <c r="D177" s="43">
        <f>'469'!G6+'564'!G8</f>
        <v>0.0795999999995729</v>
      </c>
      <c r="E177" t="s">
        <v>991</v>
      </c>
    </row>
    <row r="184" spans="4:5" ht="14.25">
      <c r="D184" s="43">
        <f>'388'!G4+'413'!G5+'427'!G5+'428'!G6+'560'!G7+'561'!G4+'564'!G4</f>
        <v>0.6078799999989428</v>
      </c>
      <c r="E184" t="s">
        <v>990</v>
      </c>
    </row>
    <row r="253" spans="4:5" ht="14.25">
      <c r="D253" s="43">
        <f>B253+C253+'306'!G6+'344'!G5+'348'!G9+'394'!G4+'395'!G6+'397'!G4+'487'!G4+'564'!G5</f>
        <v>0.2569838709675878</v>
      </c>
      <c r="E253" s="132" t="s">
        <v>989</v>
      </c>
    </row>
    <row r="259" spans="4:5" ht="14.25">
      <c r="D259" s="43">
        <f>'435'!G4+'521'!G6</f>
        <v>0.19920000000001892</v>
      </c>
      <c r="E259" t="s">
        <v>839</v>
      </c>
    </row>
    <row r="285" spans="4:5" ht="14.25">
      <c r="D285" s="43">
        <f>B285+C285+'344'!G7+'442'!G5+'475'!G12+'511'!G5+'517'!G8+'564'!G12</f>
        <v>0.18759999999952015</v>
      </c>
      <c r="E285" t="s">
        <v>987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847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848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840</v>
      </c>
    </row>
    <row r="368" spans="4:5" ht="14.25">
      <c r="D368" s="43">
        <f>'381'!G5+'411'!G5+'419'!G6+'468'!G4+'506'!G7+'511'!G6+'528'!G4+'531'!G6+'554'!G8+'558'!G5+'559'!G9+'564'!G11</f>
        <v>0.12918000000126995</v>
      </c>
      <c r="E368" t="s">
        <v>986</v>
      </c>
    </row>
    <row r="383" spans="4:5" ht="14.25">
      <c r="D383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3" t="s">
        <v>985</v>
      </c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4.25">
      <c r="A2" s="6" t="s">
        <v>380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81.015</v>
      </c>
      <c r="C4" s="64">
        <v>1.43</v>
      </c>
      <c r="D4" s="11">
        <f aca="true" t="shared" si="0" ref="D4:D10">C4/$C$11*$D$11</f>
        <v>2.8947368421052633</v>
      </c>
      <c r="E4" s="11">
        <f aca="true" t="shared" si="1" ref="E4:E9">(B4+D4)*$D$1</f>
        <v>4958.22635</v>
      </c>
      <c r="F4" s="78">
        <f>1640+3301</f>
        <v>4941</v>
      </c>
      <c r="G4" s="14">
        <f aca="true" t="shared" si="2" ref="G4:G9">-E4+F4</f>
        <v>-17.22634999999991</v>
      </c>
      <c r="H4" s="74"/>
    </row>
    <row r="5" spans="1:7" s="10" customFormat="1" ht="14.25">
      <c r="A5" s="15" t="s">
        <v>382</v>
      </c>
      <c r="B5" s="63">
        <v>29.078</v>
      </c>
      <c r="C5" s="64">
        <v>0.78</v>
      </c>
      <c r="D5" s="11">
        <f t="shared" si="0"/>
        <v>1.5789473684210529</v>
      </c>
      <c r="E5" s="76">
        <f t="shared" si="1"/>
        <v>1811.51902</v>
      </c>
      <c r="F5" s="79">
        <f>1120+685+7</f>
        <v>1812</v>
      </c>
      <c r="G5" s="77">
        <f t="shared" si="2"/>
        <v>0.48098000000004504</v>
      </c>
    </row>
    <row r="6" spans="1:7" s="10" customFormat="1" ht="14.25">
      <c r="A6" s="15" t="s">
        <v>383</v>
      </c>
      <c r="B6" s="12">
        <v>2.95</v>
      </c>
      <c r="C6" s="12">
        <v>0.21</v>
      </c>
      <c r="D6" s="11">
        <f t="shared" si="0"/>
        <v>0.42510121457489886</v>
      </c>
      <c r="E6" s="11">
        <f t="shared" si="1"/>
        <v>199.4347307692308</v>
      </c>
      <c r="F6" s="69">
        <v>199</v>
      </c>
      <c r="G6" s="14">
        <f t="shared" si="2"/>
        <v>-0.43473076923081067</v>
      </c>
    </row>
    <row r="7" spans="1:7" s="10" customFormat="1" ht="14.25">
      <c r="A7" s="15" t="s">
        <v>373</v>
      </c>
      <c r="B7" s="63">
        <v>5.07</v>
      </c>
      <c r="C7" s="64">
        <v>0.29</v>
      </c>
      <c r="D7" s="11">
        <f t="shared" si="0"/>
        <v>0.5870445344129555</v>
      </c>
      <c r="E7" s="76">
        <f>(B7+D7)*$D$1</f>
        <v>334.2747615384616</v>
      </c>
      <c r="F7" s="79">
        <v>337</v>
      </c>
      <c r="G7" s="77">
        <f>-E7+F7</f>
        <v>2.7252384615384244</v>
      </c>
    </row>
    <row r="8" spans="1:7" s="10" customFormat="1" ht="14.25">
      <c r="A8" s="15" t="s">
        <v>384</v>
      </c>
      <c r="B8" s="63">
        <v>2.12</v>
      </c>
      <c r="C8" s="63">
        <v>0.08</v>
      </c>
      <c r="D8" s="11">
        <f t="shared" si="0"/>
        <v>0.1619433198380567</v>
      </c>
      <c r="E8" s="11">
        <f>(B8+D8)*$D$1</f>
        <v>134.8400307692308</v>
      </c>
      <c r="F8" s="69"/>
      <c r="G8" s="14">
        <f>-E8+F8</f>
        <v>-134.8400307692308</v>
      </c>
    </row>
    <row r="9" spans="1:8" s="10" customFormat="1" ht="14.25">
      <c r="A9" s="11" t="s">
        <v>355</v>
      </c>
      <c r="B9" s="63">
        <v>19.6</v>
      </c>
      <c r="C9" s="64">
        <v>0.38</v>
      </c>
      <c r="D9" s="11">
        <f t="shared" si="0"/>
        <v>0.7692307692307693</v>
      </c>
      <c r="E9" s="11">
        <f t="shared" si="1"/>
        <v>1203.6178461538464</v>
      </c>
      <c r="F9" s="78">
        <v>1199</v>
      </c>
      <c r="G9" s="14">
        <f t="shared" si="2"/>
        <v>-4.617846153846358</v>
      </c>
      <c r="H9" s="74"/>
    </row>
    <row r="10" spans="1:7" s="10" customFormat="1" ht="14.25">
      <c r="A10" s="15" t="s">
        <v>10</v>
      </c>
      <c r="B10" s="24"/>
      <c r="C10" s="12">
        <v>1.77</v>
      </c>
      <c r="D10" s="11">
        <f t="shared" si="0"/>
        <v>3.5829959514170047</v>
      </c>
      <c r="E10" s="24"/>
      <c r="F10" s="24"/>
      <c r="G10" s="24"/>
    </row>
    <row r="11" spans="1:7" s="25" customFormat="1" ht="14.25">
      <c r="A11" s="24"/>
      <c r="B11" s="24"/>
      <c r="C11" s="24">
        <f>SUM(C4:C10)</f>
        <v>4.9399999999999995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7"/>
  <sheetViews>
    <sheetView zoomScalePageLayoutView="0" workbookViewId="0" topLeftCell="A1">
      <selection activeCell="A12" sqref="A12:A13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42627</v>
      </c>
      <c r="C1" s="3" t="s">
        <v>1</v>
      </c>
      <c r="D1" s="4">
        <v>65.91</v>
      </c>
      <c r="E1" s="5" t="s">
        <v>2</v>
      </c>
    </row>
    <row r="2" s="5" customFormat="1" ht="14.25">
      <c r="A2" s="6" t="s">
        <v>1082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156</v>
      </c>
      <c r="B4" s="135">
        <v>7.9799999999999995</v>
      </c>
      <c r="C4" s="64"/>
      <c r="D4" s="103">
        <f aca="true" t="shared" si="0" ref="D4:D9">C4*1</f>
        <v>0</v>
      </c>
      <c r="E4" s="114">
        <f aca="true" t="shared" si="1" ref="E4:E9">(B4+D4)*$D$1</f>
        <v>525.9617999999999</v>
      </c>
      <c r="F4" s="85">
        <v>526</v>
      </c>
      <c r="G4" s="14">
        <f aca="true" t="shared" si="2" ref="G4:G9">-E4+F4</f>
        <v>0.0382000000000744</v>
      </c>
      <c r="H4" s="74"/>
    </row>
    <row r="5" spans="1:8" s="10" customFormat="1" ht="14.25">
      <c r="A5" s="11" t="s">
        <v>178</v>
      </c>
      <c r="B5" s="135">
        <v>7.808</v>
      </c>
      <c r="C5" s="64"/>
      <c r="D5" s="103">
        <f t="shared" si="0"/>
        <v>0</v>
      </c>
      <c r="E5" s="114">
        <f t="shared" si="1"/>
        <v>514.62528</v>
      </c>
      <c r="F5" s="85">
        <v>514</v>
      </c>
      <c r="G5" s="14">
        <f t="shared" si="2"/>
        <v>-0.6252799999999752</v>
      </c>
      <c r="H5" s="74"/>
    </row>
    <row r="6" spans="1:7" s="10" customFormat="1" ht="14.25">
      <c r="A6" s="15" t="s">
        <v>904</v>
      </c>
      <c r="B6" s="135">
        <v>11.22</v>
      </c>
      <c r="C6" s="64"/>
      <c r="D6" s="103">
        <f t="shared" si="0"/>
        <v>0</v>
      </c>
      <c r="E6" s="114">
        <f t="shared" si="1"/>
        <v>739.5102</v>
      </c>
      <c r="F6" s="137">
        <v>739</v>
      </c>
      <c r="G6" s="77">
        <f t="shared" si="2"/>
        <v>-0.5102000000000544</v>
      </c>
    </row>
    <row r="7" spans="1:8" s="10" customFormat="1" ht="14.25">
      <c r="A7" s="11" t="s">
        <v>120</v>
      </c>
      <c r="B7" s="135">
        <v>32.48</v>
      </c>
      <c r="C7" s="64"/>
      <c r="D7" s="103">
        <f t="shared" si="0"/>
        <v>0</v>
      </c>
      <c r="E7" s="114">
        <f t="shared" si="1"/>
        <v>2140.7567999999997</v>
      </c>
      <c r="F7" s="137">
        <v>2141</v>
      </c>
      <c r="G7" s="14">
        <f t="shared" si="2"/>
        <v>0.2432000000003427</v>
      </c>
      <c r="H7" s="74"/>
    </row>
    <row r="8" spans="1:7" s="10" customFormat="1" ht="14.25">
      <c r="A8" s="15" t="s">
        <v>740</v>
      </c>
      <c r="B8" s="135">
        <v>20.5</v>
      </c>
      <c r="C8" s="64"/>
      <c r="D8" s="103">
        <f t="shared" si="0"/>
        <v>0</v>
      </c>
      <c r="E8" s="114">
        <f t="shared" si="1"/>
        <v>1351.155</v>
      </c>
      <c r="F8" s="137">
        <v>1351</v>
      </c>
      <c r="G8" s="77">
        <f t="shared" si="2"/>
        <v>-0.15499999999997272</v>
      </c>
    </row>
    <row r="9" spans="1:8" s="10" customFormat="1" ht="14.25">
      <c r="A9" s="11" t="s">
        <v>437</v>
      </c>
      <c r="B9" s="63">
        <v>26.97</v>
      </c>
      <c r="C9" s="64"/>
      <c r="D9" s="103">
        <f t="shared" si="0"/>
        <v>0</v>
      </c>
      <c r="E9" s="114">
        <f t="shared" si="1"/>
        <v>1777.5927</v>
      </c>
      <c r="F9" s="79">
        <v>1778</v>
      </c>
      <c r="G9" s="14">
        <f t="shared" si="2"/>
        <v>0.4073000000000775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28.5">
      <c r="A14" s="98"/>
    </row>
    <row r="15" spans="1:2" ht="28.5">
      <c r="A15" s="98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988</v>
      </c>
    </row>
    <row r="99" spans="4:5" ht="14.25">
      <c r="D99" s="43">
        <f>'539'!G12+'564'!G9</f>
        <v>0.21879999999998745</v>
      </c>
      <c r="E99" t="s">
        <v>993</v>
      </c>
    </row>
    <row r="116" spans="4:5" ht="14.25">
      <c r="D116" s="43">
        <f>'562'!G7+'564'!G10</f>
        <v>-0.48919999999986885</v>
      </c>
      <c r="E116" t="s">
        <v>992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846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845</v>
      </c>
    </row>
    <row r="169" spans="1:5" ht="14.25">
      <c r="A169" t="s">
        <v>844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991</v>
      </c>
    </row>
    <row r="188" spans="4:5" ht="14.25">
      <c r="D188" s="43">
        <f>'388'!G4+'413'!G5+'427'!G5+'428'!G6+'560'!G7+'561'!G4+'564'!G4</f>
        <v>0.6078799999989428</v>
      </c>
      <c r="E188" t="s">
        <v>990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989</v>
      </c>
    </row>
    <row r="263" spans="4:5" ht="14.25">
      <c r="D263" s="43">
        <f>'435'!G4+'521'!G6</f>
        <v>0.19920000000001892</v>
      </c>
      <c r="E263" t="s">
        <v>839</v>
      </c>
    </row>
    <row r="289" spans="4:5" ht="14.25">
      <c r="D289" s="43">
        <f>B289+C289+'344'!G7+'442'!G5+'475'!G12+'511'!G5+'517'!G8+'564'!G12</f>
        <v>0.18759999999952015</v>
      </c>
      <c r="E289" t="s">
        <v>987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847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848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840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986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985</v>
      </c>
    </row>
  </sheetData>
  <sheetProtection/>
  <printOptions/>
  <pageMargins left="0.7" right="0.7" top="0.75" bottom="0.75" header="0.3" footer="0.3"/>
  <pageSetup orientation="portrait" paperSize="9"/>
</worksheet>
</file>

<file path=xl/worksheets/sheet291.xml><?xml version="1.0" encoding="utf-8"?>
<worksheet xmlns="http://schemas.openxmlformats.org/spreadsheetml/2006/main" xmlns:r="http://schemas.openxmlformats.org/officeDocument/2006/relationships">
  <dimension ref="A1:H387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42632</v>
      </c>
      <c r="C1" s="3" t="s">
        <v>1</v>
      </c>
      <c r="D1" s="4">
        <v>65.62</v>
      </c>
      <c r="E1" s="5" t="s">
        <v>2</v>
      </c>
    </row>
    <row r="2" s="5" customFormat="1" ht="14.25">
      <c r="A2" s="6" t="s">
        <v>1086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780</v>
      </c>
      <c r="B4" s="135">
        <v>6.66</v>
      </c>
      <c r="C4" s="64"/>
      <c r="D4" s="103">
        <f aca="true" t="shared" si="0" ref="D4:D9">C4*1</f>
        <v>0</v>
      </c>
      <c r="E4" s="114">
        <f aca="true" t="shared" si="1" ref="E4:E9">(B4+D4)*$D$1</f>
        <v>437.02920000000006</v>
      </c>
      <c r="F4" s="85">
        <v>437</v>
      </c>
      <c r="G4" s="14">
        <f aca="true" t="shared" si="2" ref="G4:G9">-E4+F4</f>
        <v>-0.029200000000059845</v>
      </c>
      <c r="H4" s="74"/>
    </row>
    <row r="5" spans="1:8" s="10" customFormat="1" ht="14.25">
      <c r="A5" s="11" t="s">
        <v>738</v>
      </c>
      <c r="B5" s="135">
        <v>6.9</v>
      </c>
      <c r="C5" s="64"/>
      <c r="D5" s="103">
        <f t="shared" si="0"/>
        <v>0</v>
      </c>
      <c r="E5" s="114">
        <f t="shared" si="1"/>
        <v>452.7780000000001</v>
      </c>
      <c r="F5" s="85">
        <v>452</v>
      </c>
      <c r="G5" s="14">
        <f t="shared" si="2"/>
        <v>-0.7780000000000769</v>
      </c>
      <c r="H5" s="74"/>
    </row>
    <row r="6" spans="1:7" s="10" customFormat="1" ht="14.25">
      <c r="A6" s="15" t="s">
        <v>284</v>
      </c>
      <c r="B6" s="135">
        <v>10.79</v>
      </c>
      <c r="C6" s="64"/>
      <c r="D6" s="103">
        <f t="shared" si="0"/>
        <v>0</v>
      </c>
      <c r="E6" s="114">
        <f t="shared" si="1"/>
        <v>708.0398</v>
      </c>
      <c r="F6" s="137">
        <v>707</v>
      </c>
      <c r="G6" s="77">
        <f t="shared" si="2"/>
        <v>-1.0398000000000138</v>
      </c>
    </row>
    <row r="7" spans="1:8" s="10" customFormat="1" ht="14.25">
      <c r="A7" s="11" t="s">
        <v>449</v>
      </c>
      <c r="B7" s="63">
        <v>14.43</v>
      </c>
      <c r="C7" s="64"/>
      <c r="D7" s="103">
        <f t="shared" si="0"/>
        <v>0</v>
      </c>
      <c r="E7" s="114">
        <f t="shared" si="1"/>
        <v>946.8966</v>
      </c>
      <c r="F7" s="79">
        <v>962</v>
      </c>
      <c r="G7" s="14">
        <f t="shared" si="2"/>
        <v>15.103399999999965</v>
      </c>
      <c r="H7" s="74"/>
    </row>
    <row r="8" spans="1:8" s="10" customFormat="1" ht="14.25">
      <c r="A8" s="11" t="s">
        <v>35</v>
      </c>
      <c r="B8" s="63">
        <v>19.17</v>
      </c>
      <c r="C8" s="64"/>
      <c r="D8" s="103">
        <f t="shared" si="0"/>
        <v>0</v>
      </c>
      <c r="E8" s="114">
        <f t="shared" si="1"/>
        <v>1257.9354000000003</v>
      </c>
      <c r="F8" s="85">
        <v>1258</v>
      </c>
      <c r="G8" s="77">
        <f t="shared" si="2"/>
        <v>0.06459999999970023</v>
      </c>
      <c r="H8" s="74"/>
    </row>
    <row r="9" spans="1:8" s="10" customFormat="1" ht="28.5">
      <c r="A9" s="11" t="s">
        <v>1072</v>
      </c>
      <c r="B9" s="63">
        <v>28.14</v>
      </c>
      <c r="C9" s="64"/>
      <c r="D9" s="103">
        <f t="shared" si="0"/>
        <v>0</v>
      </c>
      <c r="E9" s="114">
        <f t="shared" si="1"/>
        <v>1846.5468</v>
      </c>
      <c r="F9" s="85">
        <f>114+1732</f>
        <v>1846</v>
      </c>
      <c r="G9" s="77">
        <f t="shared" si="2"/>
        <v>-0.5468000000000757</v>
      </c>
      <c r="H9" s="74" t="s">
        <v>1096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 t="s">
        <v>1087</v>
      </c>
    </row>
    <row r="13" ht="28.5">
      <c r="A13" s="98" t="s">
        <v>932</v>
      </c>
    </row>
    <row r="14" ht="28.5">
      <c r="A14" s="98"/>
    </row>
    <row r="15" spans="1:2" ht="28.5">
      <c r="A15" s="98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988</v>
      </c>
    </row>
    <row r="99" spans="4:5" ht="14.25">
      <c r="D99" s="43">
        <f>'539'!G12+'564'!G9</f>
        <v>0.21879999999998745</v>
      </c>
      <c r="E99" t="s">
        <v>993</v>
      </c>
    </row>
    <row r="116" spans="4:5" ht="14.25">
      <c r="D116" s="43">
        <f>'562'!G7+'564'!G10</f>
        <v>-0.48919999999986885</v>
      </c>
      <c r="E116" t="s">
        <v>992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846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845</v>
      </c>
    </row>
    <row r="169" spans="1:5" ht="14.25">
      <c r="A169" t="s">
        <v>844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991</v>
      </c>
    </row>
    <row r="188" spans="4:5" ht="14.25">
      <c r="D188" s="43">
        <f>'388'!G4+'413'!G5+'427'!G5+'428'!G6+'560'!G7+'561'!G4+'564'!G4</f>
        <v>0.6078799999989428</v>
      </c>
      <c r="E188" t="s">
        <v>990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989</v>
      </c>
    </row>
    <row r="263" spans="4:5" ht="14.25">
      <c r="D263" s="43">
        <f>'435'!G4+'521'!G6</f>
        <v>0.19920000000001892</v>
      </c>
      <c r="E263" t="s">
        <v>839</v>
      </c>
    </row>
    <row r="289" spans="4:5" ht="14.25">
      <c r="D289" s="43">
        <f>B289+C289+'344'!G7+'442'!G5+'475'!G12+'511'!G5+'517'!G8+'564'!G12</f>
        <v>0.18759999999952015</v>
      </c>
      <c r="E289" t="s">
        <v>987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847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848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840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986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985</v>
      </c>
    </row>
  </sheetData>
  <sheetProtection/>
  <printOptions/>
  <pageMargins left="0.7" right="0.7" top="0.75" bottom="0.75" header="0.3" footer="0.3"/>
  <pageSetup orientation="portrait" paperSize="9"/>
</worksheet>
</file>

<file path=xl/worksheets/sheet292.xml><?xml version="1.0" encoding="utf-8"?>
<worksheet xmlns="http://schemas.openxmlformats.org/spreadsheetml/2006/main" xmlns:r="http://schemas.openxmlformats.org/officeDocument/2006/relationships">
  <dimension ref="A1:H385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42632</v>
      </c>
      <c r="C1" s="3" t="s">
        <v>1</v>
      </c>
      <c r="D1" s="4">
        <v>65.62</v>
      </c>
      <c r="E1" s="5" t="s">
        <v>2</v>
      </c>
    </row>
    <row r="2" s="5" customFormat="1" ht="14.25">
      <c r="A2" s="6" t="s">
        <v>1086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621</v>
      </c>
      <c r="B4" s="135">
        <v>39.37</v>
      </c>
      <c r="C4" s="64"/>
      <c r="D4" s="103">
        <f>C4*1</f>
        <v>0</v>
      </c>
      <c r="E4" s="114">
        <f>(B4+D4)*$D$1</f>
        <v>2583.4594</v>
      </c>
      <c r="F4" s="85">
        <v>2583</v>
      </c>
      <c r="G4" s="14">
        <f>-E4+F4</f>
        <v>-0.459400000000187</v>
      </c>
      <c r="H4" s="74"/>
    </row>
    <row r="5" spans="1:8" s="10" customFormat="1" ht="14.25">
      <c r="A5" s="11" t="s">
        <v>950</v>
      </c>
      <c r="B5" s="135">
        <v>50.48</v>
      </c>
      <c r="C5" s="64"/>
      <c r="D5" s="103">
        <f>C5*1</f>
        <v>0</v>
      </c>
      <c r="E5" s="114">
        <f>(B5+D5)*$D$1</f>
        <v>3312.4976</v>
      </c>
      <c r="F5" s="85">
        <v>3313</v>
      </c>
      <c r="G5" s="14">
        <f>-E5+F5</f>
        <v>0.5023999999998523</v>
      </c>
      <c r="H5" s="74"/>
    </row>
    <row r="6" spans="1:7" s="10" customFormat="1" ht="14.25">
      <c r="A6" s="15" t="s">
        <v>758</v>
      </c>
      <c r="B6" s="135">
        <v>36.79</v>
      </c>
      <c r="C6" s="64"/>
      <c r="D6" s="103">
        <f>C6*1</f>
        <v>0</v>
      </c>
      <c r="E6" s="114">
        <f>(B6+D6)*$D$1</f>
        <v>2414.1598</v>
      </c>
      <c r="F6" s="137">
        <v>2415</v>
      </c>
      <c r="G6" s="77">
        <f>-E6+F6</f>
        <v>0.8402000000000953</v>
      </c>
    </row>
    <row r="7" spans="1:8" s="10" customFormat="1" ht="14.25">
      <c r="A7" s="11" t="s">
        <v>961</v>
      </c>
      <c r="B7" s="63">
        <v>29.38</v>
      </c>
      <c r="C7" s="64"/>
      <c r="D7" s="103">
        <f>C7*1</f>
        <v>0</v>
      </c>
      <c r="E7" s="114">
        <f>(B7+D7)*$D$1</f>
        <v>1927.9156</v>
      </c>
      <c r="F7" s="79">
        <v>1928</v>
      </c>
      <c r="G7" s="14">
        <f>-E7+F7</f>
        <v>0.08439999999995962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 t="s">
        <v>1087</v>
      </c>
    </row>
    <row r="11" ht="28.5">
      <c r="A11" s="98" t="s">
        <v>932</v>
      </c>
    </row>
    <row r="12" ht="28.5">
      <c r="A12" s="98"/>
    </row>
    <row r="13" spans="1:2" ht="28.5">
      <c r="A13" s="98"/>
      <c r="B13" s="72"/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988</v>
      </c>
    </row>
    <row r="97" spans="4:5" ht="14.25">
      <c r="D97" s="43">
        <f>'539'!G12+'564'!G9</f>
        <v>0.21879999999998745</v>
      </c>
      <c r="E97" t="s">
        <v>993</v>
      </c>
    </row>
    <row r="114" spans="4:5" ht="14.25">
      <c r="D114" s="43">
        <f>'562'!G7+'564'!G10</f>
        <v>-0.48919999999986885</v>
      </c>
      <c r="E114" t="s">
        <v>992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846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845</v>
      </c>
    </row>
    <row r="167" spans="1:5" ht="14.25">
      <c r="A167" t="s">
        <v>844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991</v>
      </c>
    </row>
    <row r="186" spans="4:5" ht="14.25">
      <c r="D186" s="43">
        <f>'388'!G4+'413'!G5+'427'!G5+'428'!G6+'560'!G7+'561'!G4+'564'!G4</f>
        <v>0.6078799999989428</v>
      </c>
      <c r="E186" t="s">
        <v>990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989</v>
      </c>
    </row>
    <row r="261" spans="4:5" ht="14.25">
      <c r="D261" s="43">
        <f>'435'!G4+'521'!G6</f>
        <v>0.19920000000001892</v>
      </c>
      <c r="E261" t="s">
        <v>839</v>
      </c>
    </row>
    <row r="287" spans="4:5" ht="14.25">
      <c r="D287" s="43">
        <f>B287+C287+'344'!G7+'442'!G5+'475'!G12+'511'!G5+'517'!G8+'564'!G12</f>
        <v>0.18759999999952015</v>
      </c>
      <c r="E287" t="s">
        <v>987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847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848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840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986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985</v>
      </c>
    </row>
  </sheetData>
  <sheetProtection/>
  <printOptions/>
  <pageMargins left="0.7" right="0.7" top="0.75" bottom="0.75" header="0.3" footer="0.3"/>
  <pageSetup orientation="portrait" paperSize="9"/>
</worksheet>
</file>

<file path=xl/worksheets/sheet293.xml><?xml version="1.0" encoding="utf-8"?>
<worksheet xmlns="http://schemas.openxmlformats.org/spreadsheetml/2006/main" xmlns:r="http://schemas.openxmlformats.org/officeDocument/2006/relationships">
  <dimension ref="A1:H383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42632</v>
      </c>
      <c r="C1" s="3" t="s">
        <v>1</v>
      </c>
      <c r="D1" s="4">
        <v>65.62</v>
      </c>
      <c r="E1" s="5" t="s">
        <v>2</v>
      </c>
    </row>
    <row r="2" s="5" customFormat="1" ht="14.25">
      <c r="A2" s="6" t="s">
        <v>1086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1088</v>
      </c>
      <c r="B4" s="135">
        <v>16.82</v>
      </c>
      <c r="C4" s="64"/>
      <c r="D4" s="103">
        <f>C4*1</f>
        <v>0</v>
      </c>
      <c r="E4" s="114">
        <f>(B4+D4)*$D$1</f>
        <v>1103.7284000000002</v>
      </c>
      <c r="F4" s="85">
        <v>1104</v>
      </c>
      <c r="G4" s="14">
        <f>-E4+F4</f>
        <v>0.27159999999980755</v>
      </c>
      <c r="H4" s="74"/>
    </row>
    <row r="5" spans="1:8" s="10" customFormat="1" ht="14.25">
      <c r="A5" s="11" t="s">
        <v>244</v>
      </c>
      <c r="B5" s="135">
        <v>22.83</v>
      </c>
      <c r="C5" s="64"/>
      <c r="D5" s="103">
        <f>C5*1</f>
        <v>0</v>
      </c>
      <c r="E5" s="114">
        <f>(B5+D5)*$D$1</f>
        <v>1498.1046</v>
      </c>
      <c r="F5" s="85">
        <v>1500</v>
      </c>
      <c r="G5" s="14">
        <f>-E5+F5</f>
        <v>1.8954000000001088</v>
      </c>
      <c r="H5" s="74"/>
    </row>
    <row r="6" spans="1:7" s="25" customFormat="1" ht="14.25">
      <c r="A6" s="24" t="s">
        <v>10</v>
      </c>
      <c r="B6" s="24"/>
      <c r="C6" s="24"/>
      <c r="D6" s="24"/>
      <c r="E6" s="24"/>
      <c r="F6" s="24"/>
      <c r="G6" s="24"/>
    </row>
    <row r="8" ht="28.5">
      <c r="A8" s="98" t="s">
        <v>1087</v>
      </c>
    </row>
    <row r="9" ht="28.5">
      <c r="A9" s="98" t="s">
        <v>932</v>
      </c>
    </row>
    <row r="10" ht="28.5">
      <c r="A10" s="98"/>
    </row>
    <row r="11" spans="1:2" ht="28.5">
      <c r="A11" s="98"/>
      <c r="B11" s="72"/>
    </row>
    <row r="12" ht="14.25">
      <c r="B12" s="72"/>
    </row>
    <row r="16" spans="4:5" ht="14.25">
      <c r="D16" s="43"/>
      <c r="E16" s="132"/>
    </row>
    <row r="27" spans="4:5" ht="14.25">
      <c r="D27" s="43">
        <f>B27+C27+'303'!G8+'313'!G7+'323'!G8+'345'!G5+'382'!G8+'383'!G8+'401'!G7+'426'!G6+'441'!G6+'457'!G5+'483'!G6+'500'!G4+'505'!G4+'531'!G13+'564'!G7</f>
        <v>0.10936026540684907</v>
      </c>
      <c r="E27" s="132" t="s">
        <v>988</v>
      </c>
    </row>
    <row r="95" spans="4:5" ht="14.25">
      <c r="D95" s="43">
        <f>'539'!G12+'564'!G9</f>
        <v>0.21879999999998745</v>
      </c>
      <c r="E95" t="s">
        <v>993</v>
      </c>
    </row>
    <row r="112" spans="4:5" ht="14.25">
      <c r="D112" s="43">
        <f>'562'!G7+'564'!G10</f>
        <v>-0.48919999999986885</v>
      </c>
      <c r="E112" t="s">
        <v>992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846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845</v>
      </c>
    </row>
    <row r="165" spans="1:5" ht="14.25">
      <c r="A165" t="s">
        <v>844</v>
      </c>
      <c r="B165">
        <v>0</v>
      </c>
      <c r="D165" s="43">
        <f>'522'!G7</f>
        <v>0.15050000000002228</v>
      </c>
      <c r="E165">
        <v>522</v>
      </c>
    </row>
    <row r="177" spans="4:5" ht="14.25">
      <c r="D177" s="43">
        <f>'469'!G6+'564'!G8</f>
        <v>0.0795999999995729</v>
      </c>
      <c r="E177" t="s">
        <v>991</v>
      </c>
    </row>
    <row r="184" spans="4:5" ht="14.25">
      <c r="D184" s="43">
        <f>'388'!G4+'413'!G5+'427'!G5+'428'!G6+'560'!G7+'561'!G4+'564'!G4</f>
        <v>0.6078799999989428</v>
      </c>
      <c r="E184" t="s">
        <v>990</v>
      </c>
    </row>
    <row r="253" spans="4:5" ht="14.25">
      <c r="D253" s="43">
        <f>B253+C253+'306'!G6+'344'!G5+'348'!G9+'394'!G4+'395'!G6+'397'!G4+'487'!G4+'564'!G5</f>
        <v>0.2569838709675878</v>
      </c>
      <c r="E253" s="132" t="s">
        <v>989</v>
      </c>
    </row>
    <row r="259" spans="4:5" ht="14.25">
      <c r="D259" s="43">
        <f>'435'!G4+'521'!G6</f>
        <v>0.19920000000001892</v>
      </c>
      <c r="E259" t="s">
        <v>839</v>
      </c>
    </row>
    <row r="285" spans="4:5" ht="14.25">
      <c r="D285" s="43">
        <f>B285+C285+'344'!G7+'442'!G5+'475'!G12+'511'!G5+'517'!G8+'564'!G12</f>
        <v>0.18759999999952015</v>
      </c>
      <c r="E285" t="s">
        <v>987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847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848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840</v>
      </c>
    </row>
    <row r="368" spans="4:5" ht="14.25">
      <c r="D368" s="43">
        <f>'381'!G5+'411'!G5+'419'!G6+'468'!G4+'506'!G7+'511'!G6+'528'!G4+'531'!G6+'554'!G8+'558'!G5+'559'!G9+'564'!G11</f>
        <v>0.12918000000126995</v>
      </c>
      <c r="E368" t="s">
        <v>986</v>
      </c>
    </row>
    <row r="383" spans="4:5" ht="14.25">
      <c r="D383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3" t="s">
        <v>985</v>
      </c>
    </row>
  </sheetData>
  <sheetProtection/>
  <printOptions/>
  <pageMargins left="0.7" right="0.7" top="0.75" bottom="0.75" header="0.3" footer="0.3"/>
  <pageSetup orientation="portrait" paperSize="9"/>
</worksheet>
</file>

<file path=xl/worksheets/sheet294.xml><?xml version="1.0" encoding="utf-8"?>
<worksheet xmlns="http://schemas.openxmlformats.org/spreadsheetml/2006/main" xmlns:r="http://schemas.openxmlformats.org/officeDocument/2006/relationships">
  <dimension ref="A1:H386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42635</v>
      </c>
      <c r="C1" s="3" t="s">
        <v>1</v>
      </c>
      <c r="D1" s="4">
        <v>65.4</v>
      </c>
      <c r="E1" s="5" t="s">
        <v>2</v>
      </c>
    </row>
    <row r="2" s="5" customFormat="1" ht="14.25">
      <c r="A2" s="6" t="s">
        <v>1098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204</v>
      </c>
      <c r="B4" s="135">
        <v>28.08</v>
      </c>
      <c r="C4" s="64"/>
      <c r="D4" s="103">
        <f>C4*1</f>
        <v>0</v>
      </c>
      <c r="E4" s="114">
        <f>(B4+D4)*$D$1</f>
        <v>1836.432</v>
      </c>
      <c r="F4" s="85">
        <v>1837</v>
      </c>
      <c r="G4" s="14">
        <f>-E4+F4</f>
        <v>0.5679999999999836</v>
      </c>
      <c r="H4" s="74"/>
    </row>
    <row r="5" spans="1:8" s="10" customFormat="1" ht="14.25">
      <c r="A5" s="11" t="s">
        <v>431</v>
      </c>
      <c r="B5" s="135">
        <v>18.66</v>
      </c>
      <c r="C5" s="64"/>
      <c r="D5" s="103">
        <f>C5*1</f>
        <v>0</v>
      </c>
      <c r="E5" s="114">
        <f>(B5+D5)*$D$1</f>
        <v>1220.364</v>
      </c>
      <c r="F5" s="85">
        <v>1220</v>
      </c>
      <c r="G5" s="14">
        <f>-E5+F5</f>
        <v>-0.36400000000003274</v>
      </c>
      <c r="H5" s="74"/>
    </row>
    <row r="6" spans="1:7" s="10" customFormat="1" ht="14.25">
      <c r="A6" s="15" t="s">
        <v>120</v>
      </c>
      <c r="B6" s="135">
        <v>10.2</v>
      </c>
      <c r="C6" s="64"/>
      <c r="D6" s="103">
        <f>C6*1</f>
        <v>0</v>
      </c>
      <c r="E6" s="114">
        <f>(B6+D6)*$D$1</f>
        <v>667.08</v>
      </c>
      <c r="F6" s="137">
        <v>667</v>
      </c>
      <c r="G6" s="77">
        <f>-E6+F6</f>
        <v>-0.08000000000004093</v>
      </c>
    </row>
    <row r="7" spans="1:8" s="10" customFormat="1" ht="14.25">
      <c r="A7" s="11" t="s">
        <v>950</v>
      </c>
      <c r="B7" s="63">
        <v>8.36</v>
      </c>
      <c r="C7" s="64"/>
      <c r="D7" s="103">
        <f>C7*1</f>
        <v>0</v>
      </c>
      <c r="E7" s="114">
        <f>(B7+D7)*$D$1</f>
        <v>546.744</v>
      </c>
      <c r="F7" s="79">
        <v>547</v>
      </c>
      <c r="G7" s="14">
        <f>-E7+F7</f>
        <v>0.2559999999999718</v>
      </c>
      <c r="H7" s="74"/>
    </row>
    <row r="8" spans="1:8" s="10" customFormat="1" ht="14.25">
      <c r="A8" s="11" t="s">
        <v>971</v>
      </c>
      <c r="B8" s="63">
        <v>21.49</v>
      </c>
      <c r="C8" s="64"/>
      <c r="D8" s="103">
        <f>C8*1</f>
        <v>0</v>
      </c>
      <c r="E8" s="114">
        <f>(B8+D8)*$D$1</f>
        <v>1405.446</v>
      </c>
      <c r="F8" s="85">
        <v>1405</v>
      </c>
      <c r="G8" s="77">
        <f>-E8+F8</f>
        <v>-0.4459999999999127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 t="s">
        <v>1104</v>
      </c>
    </row>
    <row r="12" ht="28.5">
      <c r="A12" s="98" t="s">
        <v>932</v>
      </c>
    </row>
    <row r="13" ht="28.5">
      <c r="A13" s="98"/>
    </row>
    <row r="14" spans="1:2" ht="28.5">
      <c r="A14" s="98"/>
      <c r="B14" s="72"/>
    </row>
    <row r="15" ht="14.25">
      <c r="B15" s="72"/>
    </row>
    <row r="19" spans="4:5" ht="14.25">
      <c r="D19" s="43"/>
      <c r="E19" s="132"/>
    </row>
    <row r="30" spans="4:5" ht="14.25">
      <c r="D30" s="43">
        <f>B30+C30+'303'!G8+'313'!G7+'323'!G8+'345'!G5+'382'!G8+'383'!G8+'401'!G7+'426'!G6+'441'!G6+'457'!G5+'483'!G6+'500'!G4+'505'!G4+'531'!G13+'564'!G7</f>
        <v>0.10936026540684907</v>
      </c>
      <c r="E30" s="132" t="s">
        <v>988</v>
      </c>
    </row>
    <row r="98" spans="4:5" ht="14.25">
      <c r="D98" s="43">
        <f>'539'!G12+'564'!G9</f>
        <v>0.21879999999998745</v>
      </c>
      <c r="E98" t="s">
        <v>993</v>
      </c>
    </row>
    <row r="115" spans="4:5" ht="14.25">
      <c r="D115" s="43">
        <f>'562'!G7+'564'!G10</f>
        <v>-0.48919999999986885</v>
      </c>
      <c r="E115" t="s">
        <v>992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846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845</v>
      </c>
    </row>
    <row r="168" spans="1:5" ht="14.25">
      <c r="A168" t="s">
        <v>844</v>
      </c>
      <c r="B168">
        <v>0</v>
      </c>
      <c r="D168" s="43">
        <f>'522'!G7</f>
        <v>0.15050000000002228</v>
      </c>
      <c r="E168">
        <v>522</v>
      </c>
    </row>
    <row r="180" spans="4:5" ht="14.25">
      <c r="D180" s="43">
        <f>'469'!G6+'564'!G8</f>
        <v>0.0795999999995729</v>
      </c>
      <c r="E180" t="s">
        <v>991</v>
      </c>
    </row>
    <row r="187" spans="4:5" ht="14.25">
      <c r="D187" s="43">
        <f>'388'!G4+'413'!G5+'427'!G5+'428'!G6+'560'!G7+'561'!G4+'564'!G4</f>
        <v>0.6078799999989428</v>
      </c>
      <c r="E187" t="s">
        <v>990</v>
      </c>
    </row>
    <row r="256" spans="4:5" ht="14.25">
      <c r="D256" s="43">
        <f>B256+C256+'306'!G6+'344'!G5+'348'!G9+'394'!G4+'395'!G6+'397'!G4+'487'!G4+'564'!G5</f>
        <v>0.2569838709675878</v>
      </c>
      <c r="E256" s="132" t="s">
        <v>989</v>
      </c>
    </row>
    <row r="262" spans="4:5" ht="14.25">
      <c r="D262" s="43">
        <f>'435'!G4+'521'!G6</f>
        <v>0.19920000000001892</v>
      </c>
      <c r="E262" t="s">
        <v>839</v>
      </c>
    </row>
    <row r="288" spans="4:5" ht="14.25">
      <c r="D288" s="43">
        <f>B288+C288+'344'!G7+'442'!G5+'475'!G12+'511'!G5+'517'!G8+'564'!G12</f>
        <v>0.18759999999952015</v>
      </c>
      <c r="E288" t="s">
        <v>987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847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848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840</v>
      </c>
    </row>
    <row r="371" spans="4:5" ht="14.25">
      <c r="D371" s="43">
        <f>'381'!G5+'411'!G5+'419'!G6+'468'!G4+'506'!G7+'511'!G6+'528'!G4+'531'!G6+'554'!G8+'558'!G5+'559'!G9+'564'!G11</f>
        <v>0.12918000000126995</v>
      </c>
      <c r="E371" t="s">
        <v>986</v>
      </c>
    </row>
    <row r="386" spans="4:5" ht="14.25">
      <c r="D386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6" t="s">
        <v>985</v>
      </c>
    </row>
  </sheetData>
  <sheetProtection/>
  <printOptions/>
  <pageMargins left="0.7" right="0.7" top="0.75" bottom="0.75" header="0.3" footer="0.3"/>
  <pageSetup orientation="portrait" paperSize="9"/>
</worksheet>
</file>

<file path=xl/worksheets/sheet295.xml><?xml version="1.0" encoding="utf-8"?>
<worksheet xmlns="http://schemas.openxmlformats.org/spreadsheetml/2006/main" xmlns:r="http://schemas.openxmlformats.org/officeDocument/2006/relationships">
  <dimension ref="A1:H385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42638</v>
      </c>
      <c r="C1" s="3" t="s">
        <v>1</v>
      </c>
      <c r="D1" s="4">
        <v>64.41</v>
      </c>
      <c r="E1" s="5" t="s">
        <v>2</v>
      </c>
    </row>
    <row r="2" s="5" customFormat="1" ht="14.25">
      <c r="A2" s="6" t="s">
        <v>1105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156</v>
      </c>
      <c r="B4" s="135">
        <v>41.86</v>
      </c>
      <c r="C4" s="64"/>
      <c r="D4" s="103">
        <f>C4*1</f>
        <v>0</v>
      </c>
      <c r="E4" s="114">
        <f>(B4+D4)*$D$1</f>
        <v>2696.2025999999996</v>
      </c>
      <c r="F4" s="85"/>
      <c r="G4" s="14">
        <f>-E4+F4</f>
        <v>-2696.2025999999996</v>
      </c>
      <c r="H4" s="74"/>
    </row>
    <row r="5" spans="1:8" s="10" customFormat="1" ht="14.25">
      <c r="A5" s="11" t="s">
        <v>660</v>
      </c>
      <c r="B5" s="135">
        <v>91.07</v>
      </c>
      <c r="C5" s="64"/>
      <c r="D5" s="103">
        <f>C5*1</f>
        <v>0</v>
      </c>
      <c r="E5" s="114">
        <f>(B5+D5)*$D$1</f>
        <v>5865.818699999999</v>
      </c>
      <c r="F5" s="85">
        <v>5866</v>
      </c>
      <c r="G5" s="14">
        <f>-E5+F5</f>
        <v>0.18130000000110158</v>
      </c>
      <c r="H5" s="74"/>
    </row>
    <row r="6" spans="1:7" s="10" customFormat="1" ht="14.25">
      <c r="A6" s="15" t="s">
        <v>758</v>
      </c>
      <c r="B6" s="135">
        <v>7.61</v>
      </c>
      <c r="C6" s="64"/>
      <c r="D6" s="103">
        <f>C6*1</f>
        <v>0</v>
      </c>
      <c r="E6" s="114">
        <f>(B6+D6)*$D$1</f>
        <v>490.1601</v>
      </c>
      <c r="F6" s="137">
        <v>490</v>
      </c>
      <c r="G6" s="77">
        <f>-E6+F6</f>
        <v>-0.1600999999999999</v>
      </c>
    </row>
    <row r="7" spans="1:8" s="10" customFormat="1" ht="14.25">
      <c r="A7" s="11" t="s">
        <v>188</v>
      </c>
      <c r="B7" s="63">
        <v>4.35</v>
      </c>
      <c r="C7" s="64"/>
      <c r="D7" s="103">
        <f>C7*1</f>
        <v>0</v>
      </c>
      <c r="E7" s="114">
        <f>(B7+D7)*$D$1</f>
        <v>280.1835</v>
      </c>
      <c r="F7" s="79">
        <v>280</v>
      </c>
      <c r="G7" s="14">
        <f>-E7+F7</f>
        <v>-0.1834999999999809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 t="s">
        <v>1106</v>
      </c>
    </row>
    <row r="11" ht="28.5">
      <c r="A11" s="98" t="s">
        <v>932</v>
      </c>
    </row>
    <row r="12" ht="28.5">
      <c r="A12" s="98"/>
    </row>
    <row r="13" spans="1:2" ht="28.5">
      <c r="A13" s="98"/>
      <c r="B13" s="72"/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988</v>
      </c>
    </row>
    <row r="97" spans="4:5" ht="14.25">
      <c r="D97" s="43">
        <f>'539'!G12+'564'!G9</f>
        <v>0.21879999999998745</v>
      </c>
      <c r="E97" t="s">
        <v>993</v>
      </c>
    </row>
    <row r="114" spans="4:5" ht="14.25">
      <c r="D114" s="43">
        <f>'562'!G7+'564'!G10</f>
        <v>-0.48919999999986885</v>
      </c>
      <c r="E114" t="s">
        <v>992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846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845</v>
      </c>
    </row>
    <row r="167" spans="1:5" ht="14.25">
      <c r="A167" t="s">
        <v>844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991</v>
      </c>
    </row>
    <row r="186" spans="4:5" ht="14.25">
      <c r="D186" s="43">
        <f>'388'!G4+'413'!G5+'427'!G5+'428'!G6+'560'!G7+'561'!G4+'564'!G4</f>
        <v>0.6078799999989428</v>
      </c>
      <c r="E186" t="s">
        <v>990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989</v>
      </c>
    </row>
    <row r="261" spans="4:5" ht="14.25">
      <c r="D261" s="43">
        <f>'435'!G4+'521'!G6</f>
        <v>0.19920000000001892</v>
      </c>
      <c r="E261" t="s">
        <v>839</v>
      </c>
    </row>
    <row r="287" spans="4:5" ht="14.25">
      <c r="D287" s="43">
        <f>B287+C287+'344'!G7+'442'!G5+'475'!G12+'511'!G5+'517'!G8+'564'!G12</f>
        <v>0.18759999999952015</v>
      </c>
      <c r="E287" t="s">
        <v>987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847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848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840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986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985</v>
      </c>
    </row>
  </sheetData>
  <sheetProtection/>
  <printOptions/>
  <pageMargins left="0.7" right="0.7" top="0.75" bottom="0.75" header="0.3" footer="0.3"/>
  <pageSetup orientation="portrait" paperSize="9"/>
</worksheet>
</file>

<file path=xl/worksheets/sheet296.xml><?xml version="1.0" encoding="utf-8"?>
<worksheet xmlns="http://schemas.openxmlformats.org/spreadsheetml/2006/main" xmlns:r="http://schemas.openxmlformats.org/officeDocument/2006/relationships">
  <dimension ref="A1:H387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42638</v>
      </c>
      <c r="C1" s="3" t="s">
        <v>1</v>
      </c>
      <c r="D1" s="4">
        <v>64.41</v>
      </c>
      <c r="E1" s="5" t="s">
        <v>2</v>
      </c>
    </row>
    <row r="2" s="5" customFormat="1" ht="14.25">
      <c r="A2" s="6" t="s">
        <v>1105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682</v>
      </c>
      <c r="B4" s="135">
        <v>26.36</v>
      </c>
      <c r="C4" s="64"/>
      <c r="D4" s="103">
        <f aca="true" t="shared" si="0" ref="D4:D9">C4*1</f>
        <v>0</v>
      </c>
      <c r="E4" s="114">
        <f aca="true" t="shared" si="1" ref="E4:E9">(B4+D4)*$D$1</f>
        <v>1697.8475999999998</v>
      </c>
      <c r="F4" s="85">
        <v>1698</v>
      </c>
      <c r="G4" s="14">
        <f aca="true" t="shared" si="2" ref="G4:G9">-E4+F4</f>
        <v>0.15240000000017062</v>
      </c>
      <c r="H4" s="74"/>
    </row>
    <row r="5" spans="1:8" s="10" customFormat="1" ht="14.25">
      <c r="A5" s="11" t="s">
        <v>194</v>
      </c>
      <c r="B5" s="135">
        <v>26.54</v>
      </c>
      <c r="C5" s="64"/>
      <c r="D5" s="103">
        <f t="shared" si="0"/>
        <v>0</v>
      </c>
      <c r="E5" s="114">
        <f t="shared" si="1"/>
        <v>1709.4414</v>
      </c>
      <c r="F5" s="85">
        <v>1710</v>
      </c>
      <c r="G5" s="14">
        <f t="shared" si="2"/>
        <v>0.5586000000000695</v>
      </c>
      <c r="H5" s="74"/>
    </row>
    <row r="6" spans="1:7" s="10" customFormat="1" ht="14.25">
      <c r="A6" s="15" t="s">
        <v>1107</v>
      </c>
      <c r="B6" s="135">
        <v>17.81</v>
      </c>
      <c r="C6" s="64"/>
      <c r="D6" s="103">
        <f t="shared" si="0"/>
        <v>0</v>
      </c>
      <c r="E6" s="114">
        <f t="shared" si="1"/>
        <v>1147.1420999999998</v>
      </c>
      <c r="F6" s="79">
        <v>1147</v>
      </c>
      <c r="G6" s="77">
        <f t="shared" si="2"/>
        <v>-0.14209999999980027</v>
      </c>
    </row>
    <row r="7" spans="1:8" s="10" customFormat="1" ht="14.25">
      <c r="A7" s="11" t="s">
        <v>408</v>
      </c>
      <c r="B7" s="63">
        <v>15.99</v>
      </c>
      <c r="C7" s="64"/>
      <c r="D7" s="103">
        <f t="shared" si="0"/>
        <v>0</v>
      </c>
      <c r="E7" s="114">
        <f t="shared" si="1"/>
        <v>1029.9159</v>
      </c>
      <c r="F7" s="79">
        <v>1030</v>
      </c>
      <c r="G7" s="14">
        <f t="shared" si="2"/>
        <v>0.08410000000003492</v>
      </c>
      <c r="H7" s="74"/>
    </row>
    <row r="8" spans="1:8" s="10" customFormat="1" ht="14.25">
      <c r="A8" s="11" t="s">
        <v>203</v>
      </c>
      <c r="B8" s="63">
        <v>25.42</v>
      </c>
      <c r="C8" s="64"/>
      <c r="D8" s="103">
        <f t="shared" si="0"/>
        <v>0</v>
      </c>
      <c r="E8" s="114">
        <f t="shared" si="1"/>
        <v>1637.3022</v>
      </c>
      <c r="F8" s="85">
        <v>1637</v>
      </c>
      <c r="G8" s="77">
        <f t="shared" si="2"/>
        <v>-0.3022000000000844</v>
      </c>
      <c r="H8" s="74"/>
    </row>
    <row r="9" spans="1:8" s="10" customFormat="1" ht="14.25">
      <c r="A9" s="11" t="s">
        <v>536</v>
      </c>
      <c r="B9" s="63">
        <v>22.19</v>
      </c>
      <c r="C9" s="64"/>
      <c r="D9" s="103">
        <f t="shared" si="0"/>
        <v>0</v>
      </c>
      <c r="E9" s="114">
        <f t="shared" si="1"/>
        <v>1429.2579</v>
      </c>
      <c r="F9" s="85">
        <v>1430</v>
      </c>
      <c r="G9" s="77">
        <f t="shared" si="2"/>
        <v>0.7420999999999367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 t="s">
        <v>1106</v>
      </c>
    </row>
    <row r="13" ht="28.5">
      <c r="A13" s="98" t="s">
        <v>932</v>
      </c>
    </row>
    <row r="14" ht="28.5">
      <c r="A14" s="98"/>
    </row>
    <row r="15" spans="1:2" ht="28.5">
      <c r="A15" s="98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988</v>
      </c>
    </row>
    <row r="99" spans="4:5" ht="14.25">
      <c r="D99" s="43">
        <f>'539'!G12+'564'!G9</f>
        <v>0.21879999999998745</v>
      </c>
      <c r="E99" t="s">
        <v>993</v>
      </c>
    </row>
    <row r="116" spans="4:5" ht="14.25">
      <c r="D116" s="43">
        <f>'562'!G7+'564'!G10</f>
        <v>-0.48919999999986885</v>
      </c>
      <c r="E116" t="s">
        <v>992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846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845</v>
      </c>
    </row>
    <row r="169" spans="1:5" ht="14.25">
      <c r="A169" t="s">
        <v>844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991</v>
      </c>
    </row>
    <row r="188" spans="4:5" ht="14.25">
      <c r="D188" s="43">
        <f>'388'!G4+'413'!G5+'427'!G5+'428'!G6+'560'!G7+'561'!G4+'564'!G4</f>
        <v>0.6078799999989428</v>
      </c>
      <c r="E188" t="s">
        <v>990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989</v>
      </c>
    </row>
    <row r="263" spans="4:5" ht="14.25">
      <c r="D263" s="43">
        <f>'435'!G4+'521'!G6</f>
        <v>0.19920000000001892</v>
      </c>
      <c r="E263" t="s">
        <v>839</v>
      </c>
    </row>
    <row r="289" spans="4:5" ht="14.25">
      <c r="D289" s="43">
        <f>B289+C289+'344'!G7+'442'!G5+'475'!G12+'511'!G5+'517'!G8+'564'!G12</f>
        <v>0.18759999999952015</v>
      </c>
      <c r="E289" t="s">
        <v>987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847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848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840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986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985</v>
      </c>
    </row>
  </sheetData>
  <sheetProtection/>
  <printOptions/>
  <pageMargins left="0.7" right="0.7" top="0.75" bottom="0.75" header="0.3" footer="0.3"/>
  <pageSetup orientation="portrait" paperSize="9"/>
</worksheet>
</file>

<file path=xl/worksheets/sheet297.xml><?xml version="1.0" encoding="utf-8"?>
<worksheet xmlns="http://schemas.openxmlformats.org/spreadsheetml/2006/main" xmlns:r="http://schemas.openxmlformats.org/officeDocument/2006/relationships">
  <dimension ref="A1:H383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42638</v>
      </c>
      <c r="C1" s="3" t="s">
        <v>1</v>
      </c>
      <c r="D1" s="4">
        <v>64.41</v>
      </c>
      <c r="E1" s="5" t="s">
        <v>2</v>
      </c>
    </row>
    <row r="2" s="5" customFormat="1" ht="14.25">
      <c r="A2" s="6" t="s">
        <v>1105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520</v>
      </c>
      <c r="B4" s="135">
        <v>35.74</v>
      </c>
      <c r="C4" s="64"/>
      <c r="D4" s="103">
        <f>C4*1</f>
        <v>0</v>
      </c>
      <c r="E4" s="114">
        <f>(B4+D4)*$D$1</f>
        <v>2302.0134</v>
      </c>
      <c r="F4" s="85">
        <v>2302</v>
      </c>
      <c r="G4" s="14">
        <f>-E4+F4</f>
        <v>-0.013399999999819556</v>
      </c>
      <c r="H4" s="74"/>
    </row>
    <row r="5" spans="1:8" s="10" customFormat="1" ht="14.25">
      <c r="A5" s="11" t="s">
        <v>93</v>
      </c>
      <c r="B5" s="135">
        <v>63.04</v>
      </c>
      <c r="C5" s="64"/>
      <c r="D5" s="103">
        <f>C5*1</f>
        <v>0</v>
      </c>
      <c r="E5" s="114">
        <f>(B5+D5)*$D$1</f>
        <v>4060.4064</v>
      </c>
      <c r="F5" s="85">
        <v>4061</v>
      </c>
      <c r="G5" s="14">
        <f>-E5+F5</f>
        <v>0.5936000000001513</v>
      </c>
      <c r="H5" s="74"/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 t="s">
        <v>1106</v>
      </c>
    </row>
    <row r="9" ht="28.5">
      <c r="A9" s="98" t="s">
        <v>932</v>
      </c>
    </row>
    <row r="10" ht="28.5">
      <c r="A10" s="98"/>
    </row>
    <row r="11" spans="1:2" ht="28.5">
      <c r="A11" s="98"/>
      <c r="B11" s="72"/>
    </row>
    <row r="12" ht="14.25">
      <c r="B12" s="72"/>
    </row>
    <row r="16" spans="4:5" ht="14.25">
      <c r="D16" s="43"/>
      <c r="E16" s="132"/>
    </row>
    <row r="27" spans="4:5" ht="14.25">
      <c r="D27" s="43">
        <f>B27+C27+'303'!G8+'313'!G7+'323'!G8+'345'!G5+'382'!G8+'383'!G8+'401'!G7+'426'!G6+'441'!G6+'457'!G5+'483'!G6+'500'!G4+'505'!G4+'531'!G13+'564'!G7</f>
        <v>0.10936026540684907</v>
      </c>
      <c r="E27" s="132" t="s">
        <v>988</v>
      </c>
    </row>
    <row r="95" spans="4:5" ht="14.25">
      <c r="D95" s="43">
        <f>'539'!G12+'564'!G9</f>
        <v>0.21879999999998745</v>
      </c>
      <c r="E95" t="s">
        <v>993</v>
      </c>
    </row>
    <row r="112" spans="4:5" ht="14.25">
      <c r="D112" s="43">
        <f>'562'!G7+'564'!G10</f>
        <v>-0.48919999999986885</v>
      </c>
      <c r="E112" t="s">
        <v>992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846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845</v>
      </c>
    </row>
    <row r="165" spans="1:5" ht="14.25">
      <c r="A165" t="s">
        <v>844</v>
      </c>
      <c r="B165">
        <v>0</v>
      </c>
      <c r="D165" s="43">
        <f>'522'!G7</f>
        <v>0.15050000000002228</v>
      </c>
      <c r="E165">
        <v>522</v>
      </c>
    </row>
    <row r="177" spans="4:5" ht="14.25">
      <c r="D177" s="43">
        <f>'469'!G6+'564'!G8</f>
        <v>0.0795999999995729</v>
      </c>
      <c r="E177" t="s">
        <v>991</v>
      </c>
    </row>
    <row r="184" spans="4:5" ht="14.25">
      <c r="D184" s="43">
        <f>'388'!G4+'413'!G5+'427'!G5+'428'!G6+'560'!G7+'561'!G4+'564'!G4</f>
        <v>0.6078799999989428</v>
      </c>
      <c r="E184" t="s">
        <v>990</v>
      </c>
    </row>
    <row r="253" spans="4:5" ht="14.25">
      <c r="D253" s="43">
        <f>B253+C253+'306'!G6+'344'!G5+'348'!G9+'394'!G4+'395'!G6+'397'!G4+'487'!G4+'564'!G5</f>
        <v>0.2569838709675878</v>
      </c>
      <c r="E253" s="132" t="s">
        <v>989</v>
      </c>
    </row>
    <row r="259" spans="4:5" ht="14.25">
      <c r="D259" s="43">
        <f>'435'!G4+'521'!G6</f>
        <v>0.19920000000001892</v>
      </c>
      <c r="E259" t="s">
        <v>839</v>
      </c>
    </row>
    <row r="285" spans="4:5" ht="14.25">
      <c r="D285" s="43">
        <f>B285+C285+'344'!G7+'442'!G5+'475'!G12+'511'!G5+'517'!G8+'564'!G12</f>
        <v>0.18759999999952015</v>
      </c>
      <c r="E285" t="s">
        <v>987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847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848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840</v>
      </c>
    </row>
    <row r="368" spans="4:5" ht="14.25">
      <c r="D368" s="43">
        <f>'381'!G5+'411'!G5+'419'!G6+'468'!G4+'506'!G7+'511'!G6+'528'!G4+'531'!G6+'554'!G8+'558'!G5+'559'!G9+'564'!G11</f>
        <v>0.12918000000126995</v>
      </c>
      <c r="E368" t="s">
        <v>986</v>
      </c>
    </row>
    <row r="383" spans="4:5" ht="14.25">
      <c r="D383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3" t="s">
        <v>985</v>
      </c>
    </row>
  </sheetData>
  <sheetProtection/>
  <printOptions/>
  <pageMargins left="0.7" right="0.7" top="0.75" bottom="0.75" header="0.3" footer="0.3"/>
  <pageSetup orientation="portrait" paperSize="9"/>
</worksheet>
</file>

<file path=xl/worksheets/sheet298.xml><?xml version="1.0" encoding="utf-8"?>
<worksheet xmlns="http://schemas.openxmlformats.org/spreadsheetml/2006/main" xmlns:r="http://schemas.openxmlformats.org/officeDocument/2006/relationships">
  <dimension ref="A1:H388"/>
  <sheetViews>
    <sheetView zoomScale="90" zoomScaleNormal="90" zoomScalePageLayoutView="0" workbookViewId="0" topLeftCell="A1">
      <selection activeCell="F7" sqref="F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42640</v>
      </c>
      <c r="C1" s="3" t="s">
        <v>1</v>
      </c>
      <c r="D1" s="4">
        <v>64.79</v>
      </c>
      <c r="E1" s="5" t="s">
        <v>2</v>
      </c>
    </row>
    <row r="2" s="5" customFormat="1" ht="14.25">
      <c r="A2" s="6" t="s">
        <v>1116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377</v>
      </c>
      <c r="B4" s="135">
        <v>8.91</v>
      </c>
      <c r="C4" s="64"/>
      <c r="D4" s="103">
        <f aca="true" t="shared" si="0" ref="D4:D10">C4*1</f>
        <v>0</v>
      </c>
      <c r="E4" s="114">
        <f aca="true" t="shared" si="1" ref="E4:E10">(B4+D4)*$D$1</f>
        <v>577.2789</v>
      </c>
      <c r="F4" s="85">
        <v>577</v>
      </c>
      <c r="G4" s="14">
        <f aca="true" t="shared" si="2" ref="G4:G10">-E4+F4</f>
        <v>-0.27890000000002146</v>
      </c>
      <c r="H4" s="74"/>
    </row>
    <row r="5" spans="1:8" s="10" customFormat="1" ht="14.25">
      <c r="A5" s="11" t="s">
        <v>911</v>
      </c>
      <c r="B5" s="135">
        <v>35.3</v>
      </c>
      <c r="C5" s="64"/>
      <c r="D5" s="103">
        <f t="shared" si="0"/>
        <v>0</v>
      </c>
      <c r="E5" s="114">
        <f t="shared" si="1"/>
        <v>2287.087</v>
      </c>
      <c r="F5" s="85">
        <v>2287</v>
      </c>
      <c r="G5" s="14">
        <f t="shared" si="2"/>
        <v>-0.08699999999998909</v>
      </c>
      <c r="H5" s="74"/>
    </row>
    <row r="6" spans="1:7" s="10" customFormat="1" ht="14.25">
      <c r="A6" s="15" t="s">
        <v>448</v>
      </c>
      <c r="B6" s="135">
        <v>8.61</v>
      </c>
      <c r="C6" s="64"/>
      <c r="D6" s="103">
        <f t="shared" si="0"/>
        <v>0</v>
      </c>
      <c r="E6" s="114">
        <f t="shared" si="1"/>
        <v>557.8419</v>
      </c>
      <c r="F6" s="137">
        <v>557</v>
      </c>
      <c r="G6" s="77">
        <f t="shared" si="2"/>
        <v>-0.8419000000000096</v>
      </c>
    </row>
    <row r="7" spans="1:8" s="10" customFormat="1" ht="14.25">
      <c r="A7" s="11" t="s">
        <v>520</v>
      </c>
      <c r="B7" s="63">
        <v>2.4452999999999996</v>
      </c>
      <c r="C7" s="64"/>
      <c r="D7" s="103">
        <f t="shared" si="0"/>
        <v>0</v>
      </c>
      <c r="E7" s="114">
        <f t="shared" si="1"/>
        <v>158.430987</v>
      </c>
      <c r="F7" s="79">
        <v>158</v>
      </c>
      <c r="G7" s="14">
        <f t="shared" si="2"/>
        <v>-0.4309869999999876</v>
      </c>
      <c r="H7" s="74"/>
    </row>
    <row r="8" spans="1:8" s="10" customFormat="1" ht="14.25">
      <c r="A8" s="11" t="s">
        <v>851</v>
      </c>
      <c r="B8" s="63">
        <v>10.89</v>
      </c>
      <c r="C8" s="64"/>
      <c r="D8" s="103">
        <f t="shared" si="0"/>
        <v>0</v>
      </c>
      <c r="E8" s="114">
        <f t="shared" si="1"/>
        <v>705.5631000000001</v>
      </c>
      <c r="F8" s="85">
        <v>705</v>
      </c>
      <c r="G8" s="77">
        <f t="shared" si="2"/>
        <v>-0.5631000000000768</v>
      </c>
      <c r="H8" s="74"/>
    </row>
    <row r="9" spans="1:8" s="10" customFormat="1" ht="14.25">
      <c r="A9" s="15" t="s">
        <v>287</v>
      </c>
      <c r="B9" s="63">
        <v>41.99</v>
      </c>
      <c r="C9" s="64"/>
      <c r="D9" s="103">
        <f t="shared" si="0"/>
        <v>0</v>
      </c>
      <c r="E9" s="114">
        <f t="shared" si="1"/>
        <v>2720.5321000000004</v>
      </c>
      <c r="F9" s="79">
        <v>2721</v>
      </c>
      <c r="G9" s="14">
        <f t="shared" si="2"/>
        <v>0.46789999999964493</v>
      </c>
      <c r="H9" s="74"/>
    </row>
    <row r="10" spans="1:8" s="10" customFormat="1" ht="14.25">
      <c r="A10" s="15" t="s">
        <v>351</v>
      </c>
      <c r="B10" s="63">
        <v>36.32</v>
      </c>
      <c r="C10" s="64"/>
      <c r="D10" s="103">
        <f t="shared" si="0"/>
        <v>0</v>
      </c>
      <c r="E10" s="114">
        <f t="shared" si="1"/>
        <v>2353.1728000000003</v>
      </c>
      <c r="F10" s="85">
        <v>2353</v>
      </c>
      <c r="G10" s="77">
        <f t="shared" si="2"/>
        <v>-0.1728000000002794</v>
      </c>
      <c r="H10" s="74"/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 t="s">
        <v>1117</v>
      </c>
    </row>
    <row r="14" ht="28.5">
      <c r="A14" s="98" t="s">
        <v>932</v>
      </c>
    </row>
    <row r="15" ht="28.5">
      <c r="A15" s="98"/>
    </row>
    <row r="16" spans="1:2" ht="28.5">
      <c r="A16" s="98"/>
      <c r="B16" s="72"/>
    </row>
    <row r="17" ht="14.25">
      <c r="B17" s="72"/>
    </row>
    <row r="21" spans="4:5" ht="14.25">
      <c r="D21" s="43"/>
      <c r="E21" s="132"/>
    </row>
    <row r="32" spans="4:5" ht="14.25">
      <c r="D32" s="43">
        <f>B32+C32+'303'!G8+'313'!G7+'323'!G8+'345'!G5+'382'!G8+'383'!G8+'401'!G7+'426'!G6+'441'!G6+'457'!G5+'483'!G6+'500'!G4+'505'!G4+'531'!G13+'564'!G7</f>
        <v>0.10936026540684907</v>
      </c>
      <c r="E32" s="132" t="s">
        <v>988</v>
      </c>
    </row>
    <row r="100" spans="4:5" ht="14.25">
      <c r="D100" s="43">
        <f>'539'!G12+'564'!G9</f>
        <v>0.21879999999998745</v>
      </c>
      <c r="E100" t="s">
        <v>993</v>
      </c>
    </row>
    <row r="117" spans="4:5" ht="14.25">
      <c r="D117" s="43">
        <f>'562'!G7+'564'!G10</f>
        <v>-0.48919999999986885</v>
      </c>
      <c r="E117" t="s">
        <v>992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846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845</v>
      </c>
    </row>
    <row r="170" spans="1:5" ht="14.25">
      <c r="A170" t="s">
        <v>844</v>
      </c>
      <c r="B170">
        <v>0</v>
      </c>
      <c r="D170" s="43">
        <f>'522'!G7</f>
        <v>0.15050000000002228</v>
      </c>
      <c r="E170">
        <v>522</v>
      </c>
    </row>
    <row r="182" spans="4:5" ht="14.25">
      <c r="D182" s="43">
        <f>'469'!G6+'564'!G8</f>
        <v>0.0795999999995729</v>
      </c>
      <c r="E182" t="s">
        <v>991</v>
      </c>
    </row>
    <row r="189" spans="4:5" ht="14.25">
      <c r="D189" s="43">
        <f>'388'!G4+'413'!G5+'427'!G5+'428'!G6+'560'!G7+'561'!G4+'564'!G4</f>
        <v>0.6078799999989428</v>
      </c>
      <c r="E189" t="s">
        <v>990</v>
      </c>
    </row>
    <row r="258" spans="4:5" ht="14.25">
      <c r="D258" s="43">
        <f>B258+C258+'306'!G6+'344'!G5+'348'!G9+'394'!G4+'395'!G6+'397'!G4+'487'!G4+'564'!G5</f>
        <v>0.2569838709675878</v>
      </c>
      <c r="E258" s="132" t="s">
        <v>989</v>
      </c>
    </row>
    <row r="264" spans="4:5" ht="14.25">
      <c r="D264" s="43">
        <f>'435'!G4+'521'!G6</f>
        <v>0.19920000000001892</v>
      </c>
      <c r="E264" t="s">
        <v>839</v>
      </c>
    </row>
    <row r="290" spans="4:5" ht="14.25">
      <c r="D290" s="43">
        <f>B290+C290+'344'!G7+'442'!G5+'475'!G12+'511'!G5+'517'!G8+'564'!G12</f>
        <v>0.18759999999952015</v>
      </c>
      <c r="E290" t="s">
        <v>987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847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848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840</v>
      </c>
    </row>
    <row r="373" spans="4:5" ht="14.25">
      <c r="D373" s="43">
        <f>'381'!G5+'411'!G5+'419'!G6+'468'!G4+'506'!G7+'511'!G6+'528'!G4+'531'!G6+'554'!G8+'558'!G5+'559'!G9+'564'!G11</f>
        <v>0.12918000000126995</v>
      </c>
      <c r="E373" t="s">
        <v>986</v>
      </c>
    </row>
    <row r="388" spans="4:5" ht="14.25">
      <c r="D388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8" t="s">
        <v>985</v>
      </c>
    </row>
  </sheetData>
  <sheetProtection/>
  <printOptions/>
  <pageMargins left="0.7" right="0.7" top="0.75" bottom="0.75" header="0.3" footer="0.3"/>
  <pageSetup orientation="portrait" paperSize="9"/>
</worksheet>
</file>

<file path=xl/worksheets/sheet299.xml><?xml version="1.0" encoding="utf-8"?>
<worksheet xmlns="http://schemas.openxmlformats.org/spreadsheetml/2006/main" xmlns:r="http://schemas.openxmlformats.org/officeDocument/2006/relationships">
  <dimension ref="A1:H384"/>
  <sheetViews>
    <sheetView zoomScale="80" zoomScaleNormal="80" zoomScalePageLayoutView="83" workbookViewId="0" topLeftCell="A1">
      <selection activeCell="F5" sqref="F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42640</v>
      </c>
      <c r="C1" s="3" t="s">
        <v>1</v>
      </c>
      <c r="D1" s="4">
        <v>64.61</v>
      </c>
      <c r="E1" s="5" t="s">
        <v>2</v>
      </c>
    </row>
    <row r="2" s="5" customFormat="1" ht="14.25">
      <c r="A2" s="6" t="s">
        <v>1118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1119</v>
      </c>
      <c r="B4" s="135">
        <v>11.84</v>
      </c>
      <c r="C4" s="64"/>
      <c r="D4" s="103">
        <f>C4*1</f>
        <v>0</v>
      </c>
      <c r="E4" s="114">
        <f>(B4+D4)*$D$1</f>
        <v>764.9824</v>
      </c>
      <c r="F4" s="85">
        <v>601</v>
      </c>
      <c r="G4" s="14">
        <f>-E4+F4</f>
        <v>-163.98239999999998</v>
      </c>
      <c r="H4" s="74"/>
    </row>
    <row r="5" spans="1:8" s="10" customFormat="1" ht="14.25">
      <c r="A5" s="11" t="s">
        <v>978</v>
      </c>
      <c r="B5" s="135">
        <v>13.04</v>
      </c>
      <c r="C5" s="64"/>
      <c r="D5" s="103">
        <f>C5*1</f>
        <v>0</v>
      </c>
      <c r="E5" s="114">
        <f>(B5+D5)*$D$1</f>
        <v>842.5143999999999</v>
      </c>
      <c r="F5" s="85">
        <v>843</v>
      </c>
      <c r="G5" s="14">
        <f>-E5+F5</f>
        <v>0.4856000000000904</v>
      </c>
      <c r="H5" s="74"/>
    </row>
    <row r="6" spans="1:7" s="10" customFormat="1" ht="14.25">
      <c r="A6" s="15" t="s">
        <v>410</v>
      </c>
      <c r="B6" s="135">
        <v>77.14</v>
      </c>
      <c r="C6" s="64"/>
      <c r="D6" s="103">
        <f>C6*1</f>
        <v>0</v>
      </c>
      <c r="E6" s="114">
        <f>(B6+D6)*$D$1</f>
        <v>4984.0154</v>
      </c>
      <c r="F6" s="137">
        <v>4984</v>
      </c>
      <c r="G6" s="77">
        <f>-E6+F6</f>
        <v>-0.01540000000022701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 t="s">
        <v>1117</v>
      </c>
    </row>
    <row r="10" ht="28.5">
      <c r="A10" s="98" t="s">
        <v>932</v>
      </c>
    </row>
    <row r="11" ht="28.5">
      <c r="A11" s="98"/>
    </row>
    <row r="12" spans="1:2" ht="28.5">
      <c r="A12" s="98"/>
      <c r="B12" s="72"/>
    </row>
    <row r="13" ht="14.25">
      <c r="B13" s="72"/>
    </row>
    <row r="17" spans="4:5" ht="14.25">
      <c r="D17" s="43"/>
      <c r="E17" s="132"/>
    </row>
    <row r="28" spans="4:5" ht="14.25">
      <c r="D28" s="43">
        <f>B28+C28+'303'!G8+'313'!G7+'323'!G8+'345'!G5+'382'!G8+'383'!G8+'401'!G7+'426'!G6+'441'!G6+'457'!G5+'483'!G6+'500'!G4+'505'!G4+'531'!G13+'564'!G7</f>
        <v>0.10936026540684907</v>
      </c>
      <c r="E28" s="132" t="s">
        <v>988</v>
      </c>
    </row>
    <row r="96" spans="4:5" ht="14.25">
      <c r="D96" s="43">
        <f>'539'!G12+'564'!G9</f>
        <v>0.21879999999998745</v>
      </c>
      <c r="E96" t="s">
        <v>993</v>
      </c>
    </row>
    <row r="113" spans="4:5" ht="14.25">
      <c r="D113" s="43">
        <f>'562'!G7+'564'!G10</f>
        <v>-0.48919999999986885</v>
      </c>
      <c r="E113" t="s">
        <v>992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846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845</v>
      </c>
    </row>
    <row r="166" spans="1:5" ht="14.25">
      <c r="A166" t="s">
        <v>844</v>
      </c>
      <c r="B166">
        <v>0</v>
      </c>
      <c r="D166" s="43">
        <f>'522'!G7</f>
        <v>0.15050000000002228</v>
      </c>
      <c r="E166">
        <v>522</v>
      </c>
    </row>
    <row r="178" spans="4:5" ht="14.25">
      <c r="D178" s="43">
        <f>'469'!G6+'564'!G8</f>
        <v>0.0795999999995729</v>
      </c>
      <c r="E178" t="s">
        <v>991</v>
      </c>
    </row>
    <row r="185" spans="4:5" ht="14.25">
      <c r="D185" s="43">
        <f>'388'!G4+'413'!G5+'427'!G5+'428'!G6+'560'!G7+'561'!G4+'564'!G4</f>
        <v>0.6078799999989428</v>
      </c>
      <c r="E185" t="s">
        <v>990</v>
      </c>
    </row>
    <row r="254" spans="4:5" ht="14.25">
      <c r="D254" s="43">
        <f>B254+C254+'306'!G6+'344'!G5+'348'!G9+'394'!G4+'395'!G6+'397'!G4+'487'!G4+'564'!G5</f>
        <v>0.2569838709675878</v>
      </c>
      <c r="E254" s="132" t="s">
        <v>989</v>
      </c>
    </row>
    <row r="260" spans="4:5" ht="14.25">
      <c r="D260" s="43">
        <f>'435'!G4+'521'!G6</f>
        <v>0.19920000000001892</v>
      </c>
      <c r="E260" t="s">
        <v>839</v>
      </c>
    </row>
    <row r="286" spans="4:5" ht="14.25">
      <c r="D286" s="43">
        <f>B286+C286+'344'!G7+'442'!G5+'475'!G12+'511'!G5+'517'!G8+'564'!G12</f>
        <v>0.18759999999952015</v>
      </c>
      <c r="E286" t="s">
        <v>987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847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848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840</v>
      </c>
    </row>
    <row r="369" spans="4:5" ht="14.25">
      <c r="D369" s="43">
        <f>'381'!G5+'411'!G5+'419'!G6+'468'!G4+'506'!G7+'511'!G6+'528'!G4+'531'!G6+'554'!G8+'558'!G5+'559'!G9+'564'!G11</f>
        <v>0.12918000000126995</v>
      </c>
      <c r="E369" t="s">
        <v>986</v>
      </c>
    </row>
    <row r="384" spans="4:5" ht="14.25">
      <c r="D384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4" t="s">
        <v>985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4.25">
      <c r="A2" s="6" t="s">
        <v>300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54</v>
      </c>
      <c r="B4" s="12">
        <v>47.01</v>
      </c>
      <c r="C4" s="12">
        <v>2.7</v>
      </c>
      <c r="D4" s="11">
        <f>C4/$C$7*$D$7</f>
        <v>5.421686746987952</v>
      </c>
      <c r="E4" s="11">
        <f>(B4+D4)*$D$1</f>
        <v>3022.6867409638553</v>
      </c>
      <c r="F4" s="13">
        <v>228</v>
      </c>
      <c r="G4" s="14">
        <f>-E4+F4</f>
        <v>-2794.6867409638553</v>
      </c>
    </row>
    <row r="5" spans="1:7" s="10" customFormat="1" ht="14.25">
      <c r="A5" s="15" t="s">
        <v>126</v>
      </c>
      <c r="B5" s="16">
        <v>16.81</v>
      </c>
      <c r="C5" s="17">
        <v>1.96</v>
      </c>
      <c r="D5" s="11">
        <f>C5/$C$7*$D$7</f>
        <v>3.93574297188755</v>
      </c>
      <c r="E5" s="11">
        <f>(B5+D5)*$D$1</f>
        <v>1195.992082329317</v>
      </c>
      <c r="F5" s="13">
        <v>1274</v>
      </c>
      <c r="G5" s="14">
        <f>-E5+F5</f>
        <v>78.0079176706829</v>
      </c>
    </row>
    <row r="6" spans="1:7" s="10" customFormat="1" ht="14.25">
      <c r="A6" s="15" t="s">
        <v>10</v>
      </c>
      <c r="B6" s="20"/>
      <c r="C6" s="20">
        <v>0.32</v>
      </c>
      <c r="D6" s="11">
        <f>C6/$C$7*$D$7</f>
        <v>0.642570281124498</v>
      </c>
      <c r="E6" s="21"/>
      <c r="F6" s="22"/>
      <c r="G6" s="23"/>
    </row>
    <row r="7" spans="1:7" s="25" customFormat="1" ht="14.25">
      <c r="A7" s="24"/>
      <c r="B7" s="24"/>
      <c r="C7" s="24">
        <f>SUM(C4:C6)</f>
        <v>4.98</v>
      </c>
      <c r="D7" s="24">
        <v>10</v>
      </c>
      <c r="E7" s="24"/>
      <c r="F7" s="24"/>
      <c r="G7" s="24"/>
    </row>
    <row r="10" ht="30.75">
      <c r="A10" s="26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4.25">
      <c r="A2" s="6" t="s">
        <v>380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292</v>
      </c>
      <c r="B4" s="63">
        <v>36.73</v>
      </c>
      <c r="C4" s="64">
        <v>0.76</v>
      </c>
      <c r="D4" s="11">
        <f>C4/$C$8*$D$8</f>
        <v>1.5261044176706826</v>
      </c>
      <c r="E4" s="11">
        <f>(B4+D4)*$D$1</f>
        <v>2260.5532100401606</v>
      </c>
      <c r="F4" s="78">
        <v>2253</v>
      </c>
      <c r="G4" s="14">
        <f>-E4+F4</f>
        <v>-7.553210040160593</v>
      </c>
      <c r="H4" s="74"/>
    </row>
    <row r="5" spans="1:7" s="10" customFormat="1" ht="14.25">
      <c r="A5" s="15" t="s">
        <v>116</v>
      </c>
      <c r="B5" s="63">
        <v>18.72</v>
      </c>
      <c r="C5" s="64">
        <v>0.24</v>
      </c>
      <c r="D5" s="11">
        <f>C5/$C$8*$D$8</f>
        <v>0.48192771084337344</v>
      </c>
      <c r="E5" s="76">
        <f>(B5+D5)*$D$1</f>
        <v>1134.641908433735</v>
      </c>
      <c r="F5" s="79">
        <v>1131</v>
      </c>
      <c r="G5" s="77">
        <f>-E5+F5</f>
        <v>-3.6419084337348977</v>
      </c>
    </row>
    <row r="6" spans="1:7" s="10" customFormat="1" ht="14.25">
      <c r="A6" s="15" t="s">
        <v>366</v>
      </c>
      <c r="B6" s="12">
        <v>19.35</v>
      </c>
      <c r="C6" s="12">
        <v>0.08</v>
      </c>
      <c r="D6" s="11">
        <f>C6/$C$8*$D$8</f>
        <v>0.1606425702811245</v>
      </c>
      <c r="E6" s="11">
        <f>(B6+D6)*$D$1</f>
        <v>1152.8838694779117</v>
      </c>
      <c r="F6" s="69">
        <v>1149</v>
      </c>
      <c r="G6" s="14">
        <f>-E6+F6</f>
        <v>-3.8838694779117304</v>
      </c>
    </row>
    <row r="7" spans="1:7" s="10" customFormat="1" ht="14.25">
      <c r="A7" s="15" t="s">
        <v>10</v>
      </c>
      <c r="B7" s="24"/>
      <c r="C7" s="12">
        <v>3.9</v>
      </c>
      <c r="D7" s="11">
        <f>C7/$C$8*$D$8</f>
        <v>7.831325301204819</v>
      </c>
      <c r="E7" s="24"/>
      <c r="F7" s="24"/>
      <c r="G7" s="24"/>
    </row>
    <row r="8" spans="1:7" s="25" customFormat="1" ht="14.25">
      <c r="A8" s="24"/>
      <c r="B8" s="24"/>
      <c r="C8" s="24">
        <f>SUM(C4:C7)</f>
        <v>4.98</v>
      </c>
      <c r="D8" s="24">
        <v>10</v>
      </c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00.xml><?xml version="1.0" encoding="utf-8"?>
<worksheet xmlns="http://schemas.openxmlformats.org/spreadsheetml/2006/main" xmlns:r="http://schemas.openxmlformats.org/officeDocument/2006/relationships">
  <dimension ref="A1:H387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42642</v>
      </c>
      <c r="C1" s="3" t="s">
        <v>1</v>
      </c>
      <c r="D1" s="4">
        <v>64.46</v>
      </c>
      <c r="E1" s="5" t="s">
        <v>2</v>
      </c>
    </row>
    <row r="2" s="5" customFormat="1" ht="14.25">
      <c r="A2" s="6" t="s">
        <v>1127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758</v>
      </c>
      <c r="B4" s="135">
        <v>29.02</v>
      </c>
      <c r="C4" s="64"/>
      <c r="D4" s="103">
        <f aca="true" t="shared" si="0" ref="D4:D9">C4*1</f>
        <v>0</v>
      </c>
      <c r="E4" s="114">
        <f aca="true" t="shared" si="1" ref="E4:E9">(B4+D4)*$D$1</f>
        <v>1870.6291999999999</v>
      </c>
      <c r="F4" s="85">
        <v>1870</v>
      </c>
      <c r="G4" s="14">
        <f aca="true" t="shared" si="2" ref="G4:G9">-E4+F4</f>
        <v>-0.6291999999998552</v>
      </c>
      <c r="H4" s="74"/>
    </row>
    <row r="5" spans="1:8" s="10" customFormat="1" ht="14.25">
      <c r="A5" s="11" t="s">
        <v>621</v>
      </c>
      <c r="B5" s="135">
        <v>21.3</v>
      </c>
      <c r="C5" s="64"/>
      <c r="D5" s="103">
        <f t="shared" si="0"/>
        <v>0</v>
      </c>
      <c r="E5" s="114">
        <f t="shared" si="1"/>
        <v>1372.9979999999998</v>
      </c>
      <c r="F5" s="85">
        <v>1373</v>
      </c>
      <c r="G5" s="14">
        <f t="shared" si="2"/>
        <v>0.00200000000018008</v>
      </c>
      <c r="H5" s="74"/>
    </row>
    <row r="6" spans="1:7" s="10" customFormat="1" ht="14.25">
      <c r="A6" s="15" t="s">
        <v>1129</v>
      </c>
      <c r="B6" s="135">
        <v>14.95</v>
      </c>
      <c r="C6" s="64"/>
      <c r="D6" s="103">
        <f t="shared" si="0"/>
        <v>0</v>
      </c>
      <c r="E6" s="114">
        <f t="shared" si="1"/>
        <v>963.6769999999999</v>
      </c>
      <c r="F6" s="137">
        <v>964</v>
      </c>
      <c r="G6" s="77">
        <f t="shared" si="2"/>
        <v>0.32300000000009277</v>
      </c>
    </row>
    <row r="7" spans="1:8" s="10" customFormat="1" ht="14.25">
      <c r="A7" s="11" t="s">
        <v>178</v>
      </c>
      <c r="B7" s="135">
        <v>18.74</v>
      </c>
      <c r="C7" s="64"/>
      <c r="D7" s="103">
        <f t="shared" si="0"/>
        <v>0</v>
      </c>
      <c r="E7" s="114">
        <f t="shared" si="1"/>
        <v>1207.9803999999997</v>
      </c>
      <c r="F7" s="85">
        <v>1208</v>
      </c>
      <c r="G7" s="14">
        <f t="shared" si="2"/>
        <v>0.019600000000309592</v>
      </c>
      <c r="H7" s="74"/>
    </row>
    <row r="8" spans="1:8" s="10" customFormat="1" ht="14.25">
      <c r="A8" s="11" t="s">
        <v>552</v>
      </c>
      <c r="B8" s="135">
        <v>4.49</v>
      </c>
      <c r="C8" s="64"/>
      <c r="D8" s="103">
        <f t="shared" si="0"/>
        <v>0</v>
      </c>
      <c r="E8" s="114">
        <f t="shared" si="1"/>
        <v>289.42539999999997</v>
      </c>
      <c r="F8" s="85">
        <v>290</v>
      </c>
      <c r="G8" s="14">
        <f t="shared" si="2"/>
        <v>0.5746000000000322</v>
      </c>
      <c r="H8" s="74"/>
    </row>
    <row r="9" spans="1:7" s="10" customFormat="1" ht="14.25">
      <c r="A9" s="15" t="s">
        <v>614</v>
      </c>
      <c r="B9" s="135">
        <v>11.05</v>
      </c>
      <c r="C9" s="64"/>
      <c r="D9" s="103">
        <f t="shared" si="0"/>
        <v>0</v>
      </c>
      <c r="E9" s="114">
        <f t="shared" si="1"/>
        <v>712.283</v>
      </c>
      <c r="F9" s="137">
        <v>712</v>
      </c>
      <c r="G9" s="77">
        <f t="shared" si="2"/>
        <v>-0.28300000000001546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 t="s">
        <v>1128</v>
      </c>
    </row>
    <row r="13" ht="28.5">
      <c r="A13" s="98" t="s">
        <v>932</v>
      </c>
    </row>
    <row r="14" ht="28.5">
      <c r="A14" s="98"/>
    </row>
    <row r="15" spans="1:2" ht="28.5">
      <c r="A15" s="98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988</v>
      </c>
    </row>
    <row r="99" spans="4:5" ht="14.25">
      <c r="D99" s="43">
        <f>'539'!G12+'564'!G9</f>
        <v>0.21879999999998745</v>
      </c>
      <c r="E99" t="s">
        <v>993</v>
      </c>
    </row>
    <row r="116" spans="4:5" ht="14.25">
      <c r="D116" s="43">
        <f>'562'!G7+'564'!G10</f>
        <v>-0.48919999999986885</v>
      </c>
      <c r="E116" t="s">
        <v>992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846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845</v>
      </c>
    </row>
    <row r="169" spans="1:5" ht="14.25">
      <c r="A169" t="s">
        <v>844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991</v>
      </c>
    </row>
    <row r="188" spans="4:5" ht="14.25">
      <c r="D188" s="43">
        <f>'388'!G4+'413'!G5+'427'!G5+'428'!G6+'560'!G7+'561'!G4+'564'!G4</f>
        <v>0.6078799999989428</v>
      </c>
      <c r="E188" t="s">
        <v>990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989</v>
      </c>
    </row>
    <row r="263" spans="4:5" ht="14.25">
      <c r="D263" s="43">
        <f>'435'!G4+'521'!G6</f>
        <v>0.19920000000001892</v>
      </c>
      <c r="E263" t="s">
        <v>839</v>
      </c>
    </row>
    <row r="289" spans="4:5" ht="14.25">
      <c r="D289" s="43">
        <f>B289+C289+'344'!G7+'442'!G5+'475'!G12+'511'!G5+'517'!G8+'564'!G12</f>
        <v>0.18759999999952015</v>
      </c>
      <c r="E289" t="s">
        <v>987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847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848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840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986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985</v>
      </c>
    </row>
  </sheetData>
  <sheetProtection/>
  <printOptions/>
  <pageMargins left="0.7" right="0.7" top="0.75" bottom="0.75" header="0.3" footer="0.3"/>
  <pageSetup orientation="portrait" paperSize="9"/>
</worksheet>
</file>

<file path=xl/worksheets/sheet301.xml><?xml version="1.0" encoding="utf-8"?>
<worksheet xmlns="http://schemas.openxmlformats.org/spreadsheetml/2006/main" xmlns:r="http://schemas.openxmlformats.org/officeDocument/2006/relationships">
  <dimension ref="A1:H392"/>
  <sheetViews>
    <sheetView zoomScale="90" zoomScaleNormal="90" zoomScalePageLayoutView="0" workbookViewId="0" topLeftCell="A1">
      <selection activeCell="F9" sqref="F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42646</v>
      </c>
      <c r="C1" s="3" t="s">
        <v>1</v>
      </c>
      <c r="D1" s="4">
        <v>63.58</v>
      </c>
      <c r="E1" s="5" t="s">
        <v>2</v>
      </c>
    </row>
    <row r="2" s="5" customFormat="1" ht="14.25">
      <c r="A2" s="6" t="s">
        <v>1135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1107</v>
      </c>
      <c r="B4" s="135">
        <v>20.85</v>
      </c>
      <c r="C4" s="64"/>
      <c r="D4" s="103">
        <f aca="true" t="shared" si="0" ref="D4:D14">C4*1</f>
        <v>0</v>
      </c>
      <c r="E4" s="114">
        <f aca="true" t="shared" si="1" ref="E4:E14">(B4+D4)*$D$1</f>
        <v>1325.643</v>
      </c>
      <c r="F4" s="85">
        <v>1326</v>
      </c>
      <c r="G4" s="14">
        <f aca="true" t="shared" si="2" ref="G4:G14">-E4+F4</f>
        <v>0.3569999999999709</v>
      </c>
      <c r="H4" s="74"/>
    </row>
    <row r="5" spans="1:8" s="10" customFormat="1" ht="14.25">
      <c r="A5" s="11" t="s">
        <v>650</v>
      </c>
      <c r="B5" s="135">
        <v>10.81</v>
      </c>
      <c r="C5" s="64"/>
      <c r="D5" s="103">
        <f t="shared" si="0"/>
        <v>0</v>
      </c>
      <c r="E5" s="114">
        <f t="shared" si="1"/>
        <v>687.2998</v>
      </c>
      <c r="F5" s="85">
        <v>1019</v>
      </c>
      <c r="G5" s="14">
        <f t="shared" si="2"/>
        <v>331.7002</v>
      </c>
      <c r="H5" s="74"/>
    </row>
    <row r="6" spans="1:8" s="10" customFormat="1" ht="14.25">
      <c r="A6" s="11" t="s">
        <v>651</v>
      </c>
      <c r="B6" s="135">
        <v>5.21</v>
      </c>
      <c r="C6" s="64"/>
      <c r="D6" s="103">
        <f>C6*1</f>
        <v>0</v>
      </c>
      <c r="E6" s="114">
        <f>(B6+D6)*$D$1</f>
        <v>331.2518</v>
      </c>
      <c r="F6" s="85"/>
      <c r="G6" s="14">
        <f>-E6+F6</f>
        <v>-331.2518</v>
      </c>
      <c r="H6" s="74"/>
    </row>
    <row r="7" spans="1:7" s="10" customFormat="1" ht="14.25">
      <c r="A7" s="15" t="s">
        <v>963</v>
      </c>
      <c r="B7" s="135">
        <v>8.49</v>
      </c>
      <c r="C7" s="64"/>
      <c r="D7" s="103">
        <f t="shared" si="0"/>
        <v>0</v>
      </c>
      <c r="E7" s="114">
        <f t="shared" si="1"/>
        <v>539.7942</v>
      </c>
      <c r="F7" s="137">
        <v>540</v>
      </c>
      <c r="G7" s="77">
        <f t="shared" si="2"/>
        <v>0.2057999999999538</v>
      </c>
    </row>
    <row r="8" spans="1:8" s="10" customFormat="1" ht="14.25">
      <c r="A8" s="11" t="s">
        <v>756</v>
      </c>
      <c r="B8" s="135">
        <v>17</v>
      </c>
      <c r="C8" s="64"/>
      <c r="D8" s="103">
        <f t="shared" si="0"/>
        <v>0</v>
      </c>
      <c r="E8" s="114">
        <f t="shared" si="1"/>
        <v>1080.86</v>
      </c>
      <c r="F8" s="85">
        <v>1081</v>
      </c>
      <c r="G8" s="14">
        <f t="shared" si="2"/>
        <v>0.14000000000010004</v>
      </c>
      <c r="H8" s="74"/>
    </row>
    <row r="9" spans="1:8" s="10" customFormat="1" ht="14.25">
      <c r="A9" s="11" t="s">
        <v>1137</v>
      </c>
      <c r="B9" s="135">
        <v>10.85</v>
      </c>
      <c r="C9" s="64"/>
      <c r="D9" s="103">
        <f>C9*1</f>
        <v>0</v>
      </c>
      <c r="E9" s="114">
        <f>(B9+D9)*$D$1</f>
        <v>689.843</v>
      </c>
      <c r="F9" s="85">
        <v>690</v>
      </c>
      <c r="G9" s="14">
        <f>-E9+F9</f>
        <v>0.1570000000000391</v>
      </c>
      <c r="H9" s="74"/>
    </row>
    <row r="10" spans="1:8" s="10" customFormat="1" ht="14.25">
      <c r="A10" s="11" t="s">
        <v>1138</v>
      </c>
      <c r="B10" s="135">
        <v>11.95</v>
      </c>
      <c r="C10" s="64"/>
      <c r="D10" s="103">
        <f>C10*1</f>
        <v>0</v>
      </c>
      <c r="E10" s="114">
        <f>(B10+D10)*$D$1</f>
        <v>759.781</v>
      </c>
      <c r="F10" s="85">
        <v>760</v>
      </c>
      <c r="G10" s="14">
        <f>-E10+F10</f>
        <v>0.21900000000005093</v>
      </c>
      <c r="H10" s="74"/>
    </row>
    <row r="11" spans="1:7" s="10" customFormat="1" ht="14.25">
      <c r="A11" s="15" t="s">
        <v>276</v>
      </c>
      <c r="B11" s="135">
        <v>11.16</v>
      </c>
      <c r="C11" s="64"/>
      <c r="D11" s="103">
        <f>C11*1</f>
        <v>0</v>
      </c>
      <c r="E11" s="114">
        <f>(B11+D11)*$D$1</f>
        <v>709.5527999999999</v>
      </c>
      <c r="F11" s="137">
        <v>710</v>
      </c>
      <c r="G11" s="77">
        <f>-E11+F11</f>
        <v>0.4472000000000662</v>
      </c>
    </row>
    <row r="12" spans="1:8" s="10" customFormat="1" ht="14.25">
      <c r="A12" s="11" t="s">
        <v>1139</v>
      </c>
      <c r="B12" s="135">
        <v>5.21</v>
      </c>
      <c r="C12" s="64"/>
      <c r="D12" s="103">
        <f>C12*1</f>
        <v>0</v>
      </c>
      <c r="E12" s="114">
        <f>(B12+D12)*$D$1</f>
        <v>331.2518</v>
      </c>
      <c r="F12" s="85">
        <v>400</v>
      </c>
      <c r="G12" s="14">
        <f>-E12+F12</f>
        <v>68.7482</v>
      </c>
      <c r="H12" s="74"/>
    </row>
    <row r="13" spans="1:8" s="10" customFormat="1" ht="14.25">
      <c r="A13" s="11" t="s">
        <v>89</v>
      </c>
      <c r="B13" s="135">
        <v>21.19</v>
      </c>
      <c r="C13" s="64"/>
      <c r="D13" s="103">
        <f t="shared" si="0"/>
        <v>0</v>
      </c>
      <c r="E13" s="114">
        <f t="shared" si="1"/>
        <v>1347.2602</v>
      </c>
      <c r="F13" s="85">
        <v>1347</v>
      </c>
      <c r="G13" s="14">
        <f t="shared" si="2"/>
        <v>-0.2601999999999407</v>
      </c>
      <c r="H13" s="74"/>
    </row>
    <row r="14" spans="1:7" s="10" customFormat="1" ht="14.25">
      <c r="A14" s="15" t="s">
        <v>738</v>
      </c>
      <c r="B14" s="135">
        <v>14.47</v>
      </c>
      <c r="C14" s="64"/>
      <c r="D14" s="103">
        <f t="shared" si="0"/>
        <v>0</v>
      </c>
      <c r="E14" s="114">
        <f t="shared" si="1"/>
        <v>920.0026</v>
      </c>
      <c r="F14" s="137">
        <v>920</v>
      </c>
      <c r="G14" s="77">
        <f t="shared" si="2"/>
        <v>-0.0026000000000294676</v>
      </c>
    </row>
    <row r="15" spans="1:7" s="25" customFormat="1" ht="14.25">
      <c r="A15" s="24"/>
      <c r="B15" s="24"/>
      <c r="C15" s="24"/>
      <c r="D15" s="24"/>
      <c r="E15" s="24"/>
      <c r="F15" s="24"/>
      <c r="G15" s="24"/>
    </row>
    <row r="17" ht="28.5">
      <c r="A17" s="98" t="s">
        <v>1136</v>
      </c>
    </row>
    <row r="18" ht="28.5">
      <c r="A18" s="98" t="s">
        <v>932</v>
      </c>
    </row>
    <row r="19" ht="28.5">
      <c r="A19" s="98"/>
    </row>
    <row r="20" spans="1:2" ht="28.5">
      <c r="A20" s="98"/>
      <c r="B20" s="72"/>
    </row>
    <row r="21" ht="14.25">
      <c r="B21" s="72"/>
    </row>
    <row r="25" spans="4:5" ht="14.25">
      <c r="D25" s="43"/>
      <c r="E25" s="132"/>
    </row>
    <row r="36" spans="4:5" ht="14.25">
      <c r="D36" s="43">
        <f>B36+C36+'303'!G8+'313'!G7+'323'!G8+'345'!G5+'382'!G8+'383'!G8+'401'!G7+'426'!G6+'441'!G6+'457'!G5+'483'!G6+'500'!G4+'505'!G4+'531'!G13+'564'!G7</f>
        <v>0.10936026540684907</v>
      </c>
      <c r="E36" s="132" t="s">
        <v>988</v>
      </c>
    </row>
    <row r="104" spans="4:5" ht="14.25">
      <c r="D104" s="43">
        <f>'539'!G12+'564'!G9</f>
        <v>0.21879999999998745</v>
      </c>
      <c r="E104" t="s">
        <v>993</v>
      </c>
    </row>
    <row r="121" spans="4:5" ht="14.25">
      <c r="D121" s="43">
        <f>'562'!G7+'564'!G10</f>
        <v>-0.48919999999986885</v>
      </c>
      <c r="E121" t="s">
        <v>992</v>
      </c>
    </row>
    <row r="132" spans="4:5" ht="14.25">
      <c r="D132" s="43">
        <f>B132+C132+'309'!G4+'316'!G4+'319'!G4+'339'!G9+'340'!G4+'372'!G7+'381'!G4+'391'!G7+'404'!G6+'411'!G4+'412'!G8+'416'!G4+'429'!G4+'485'!G4+'522'!G5</f>
        <v>4.579371965812413</v>
      </c>
      <c r="E132" s="132" t="s">
        <v>846</v>
      </c>
    </row>
    <row r="137" spans="4:5" ht="14.25">
      <c r="D137" s="43">
        <f>B137+C137+'325'!G9+'328'!G5+'344'!G9+'378'!G7+'384'!G6+'387'!G4+'391'!G9+'399'!G4+'441'!G4+'522'!G4</f>
        <v>-1.887614562767908</v>
      </c>
      <c r="E137" s="132" t="s">
        <v>845</v>
      </c>
    </row>
    <row r="174" spans="1:5" ht="14.25">
      <c r="A174" t="s">
        <v>844</v>
      </c>
      <c r="B174">
        <v>0</v>
      </c>
      <c r="D174" s="43">
        <f>'522'!G7</f>
        <v>0.15050000000002228</v>
      </c>
      <c r="E174">
        <v>522</v>
      </c>
    </row>
    <row r="186" spans="4:5" ht="14.25">
      <c r="D186" s="43">
        <f>'469'!G6+'564'!G8</f>
        <v>0.0795999999995729</v>
      </c>
      <c r="E186" t="s">
        <v>991</v>
      </c>
    </row>
    <row r="193" spans="4:5" ht="14.25">
      <c r="D193" s="43">
        <f>'388'!G4+'413'!G5+'427'!G5+'428'!G6+'560'!G7+'561'!G4+'564'!G4</f>
        <v>0.6078799999989428</v>
      </c>
      <c r="E193" t="s">
        <v>990</v>
      </c>
    </row>
    <row r="262" spans="4:5" ht="14.25">
      <c r="D262" s="43">
        <f>B262+C262+'306'!G6+'344'!G5+'348'!G9+'394'!G4+'395'!G6+'397'!G4+'487'!G4+'564'!G5</f>
        <v>0.2569838709675878</v>
      </c>
      <c r="E262" s="132" t="s">
        <v>989</v>
      </c>
    </row>
    <row r="268" spans="4:5" ht="14.25">
      <c r="D268" s="43">
        <f>'435'!G4+'521'!G6</f>
        <v>0.19920000000001892</v>
      </c>
      <c r="E268" t="s">
        <v>839</v>
      </c>
    </row>
    <row r="294" spans="4:5" ht="14.25">
      <c r="D294" s="43">
        <f>B294+C294+'344'!G7+'442'!G5+'475'!G12+'511'!G5+'517'!G8+'564'!G12</f>
        <v>0.18759999999952015</v>
      </c>
      <c r="E294" t="s">
        <v>987</v>
      </c>
    </row>
    <row r="326" spans="4:5" ht="14.25">
      <c r="D326" s="43">
        <f>B326+C326+'339'!G6+'359'!G7+'362'!G8+'422'!G4+'425'!G7+'470'!G6+'479'!G7+'514'!G6+'522'!G6</f>
        <v>-0.18308000000028812</v>
      </c>
      <c r="E326" t="s">
        <v>847</v>
      </c>
    </row>
    <row r="356" spans="2:5" ht="14.25">
      <c r="B356">
        <v>0</v>
      </c>
      <c r="D356" s="43">
        <f>'485'!G8+'488'!G6+'489'!G6+'491'!G4+'494'!G6+'495'!G4+'498'!G8+'502'!G5+'504'!G4+'508'!G5+'511'!G4+'514'!G7+'521'!G4+'522'!G8</f>
        <v>0.3647999999984677</v>
      </c>
      <c r="E356" t="s">
        <v>848</v>
      </c>
    </row>
    <row r="358" spans="4:5" ht="14.25">
      <c r="D358" s="43">
        <f>'485'!G8+'488'!G6+'489'!G6+'491'!G4+'494'!G6+'495'!G4+'498'!G8+'502'!G5+'504'!G4+'508'!G5+'511'!G4+'514'!G7+'521'!G4</f>
        <v>-0.41860000000156106</v>
      </c>
      <c r="E358" t="s">
        <v>840</v>
      </c>
    </row>
    <row r="377" spans="4:5" ht="14.25">
      <c r="D377" s="43">
        <f>'381'!G5+'411'!G5+'419'!G6+'468'!G4+'506'!G7+'511'!G6+'528'!G4+'531'!G6+'554'!G8+'558'!G5+'559'!G9+'564'!G11</f>
        <v>0.12918000000126995</v>
      </c>
      <c r="E377" t="s">
        <v>986</v>
      </c>
    </row>
    <row r="392" spans="4:5" ht="14.25">
      <c r="D392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92" t="s">
        <v>985</v>
      </c>
    </row>
  </sheetData>
  <sheetProtection/>
  <printOptions/>
  <pageMargins left="0.7" right="0.7" top="0.75" bottom="0.75" header="0.3" footer="0.3"/>
  <pageSetup orientation="portrait" paperSize="9"/>
</worksheet>
</file>

<file path=xl/worksheets/sheet302.xml><?xml version="1.0" encoding="utf-8"?>
<worksheet xmlns="http://schemas.openxmlformats.org/spreadsheetml/2006/main" xmlns:r="http://schemas.openxmlformats.org/officeDocument/2006/relationships">
  <dimension ref="A1:H386"/>
  <sheetViews>
    <sheetView zoomScale="90" zoomScaleNormal="90" zoomScalePageLayoutView="0" workbookViewId="0" topLeftCell="A1">
      <selection activeCell="G4" sqref="G4:G8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42648</v>
      </c>
      <c r="C1" s="3" t="s">
        <v>1</v>
      </c>
      <c r="D1" s="4">
        <v>63.13</v>
      </c>
      <c r="E1" s="5" t="s">
        <v>2</v>
      </c>
    </row>
    <row r="2" s="5" customFormat="1" ht="14.25">
      <c r="A2" s="6" t="s">
        <v>1145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223</v>
      </c>
      <c r="B4" s="135">
        <v>24.77</v>
      </c>
      <c r="C4" s="64"/>
      <c r="D4" s="103">
        <f>C4*1</f>
        <v>0</v>
      </c>
      <c r="E4" s="114">
        <f>(B4+D4)*$D$1</f>
        <v>1563.7301</v>
      </c>
      <c r="F4" s="85"/>
      <c r="G4" s="14">
        <f>-E4+F4</f>
        <v>-1563.7301</v>
      </c>
      <c r="H4" s="74"/>
    </row>
    <row r="5" spans="1:8" s="10" customFormat="1" ht="14.25">
      <c r="A5" s="11" t="s">
        <v>963</v>
      </c>
      <c r="B5" s="135">
        <v>8.49</v>
      </c>
      <c r="C5" s="64"/>
      <c r="D5" s="103">
        <f>C5*1</f>
        <v>0</v>
      </c>
      <c r="E5" s="114">
        <f>(B5+D5)*$D$1</f>
        <v>535.9737</v>
      </c>
      <c r="F5" s="85"/>
      <c r="G5" s="14">
        <f>-E5+F5</f>
        <v>-535.9737</v>
      </c>
      <c r="H5" s="74"/>
    </row>
    <row r="6" spans="1:7" s="10" customFormat="1" ht="14.25">
      <c r="A6" s="15" t="s">
        <v>1147</v>
      </c>
      <c r="B6" s="135">
        <v>16.74</v>
      </c>
      <c r="C6" s="64"/>
      <c r="D6" s="103">
        <f>C6*1</f>
        <v>0</v>
      </c>
      <c r="E6" s="114">
        <f>(B6+D6)*$D$1</f>
        <v>1056.7962</v>
      </c>
      <c r="F6" s="137"/>
      <c r="G6" s="77">
        <f>-E6+F6</f>
        <v>-1056.7962</v>
      </c>
    </row>
    <row r="7" spans="1:8" s="10" customFormat="1" ht="14.25">
      <c r="A7" s="11" t="s">
        <v>852</v>
      </c>
      <c r="B7" s="135">
        <v>10.03</v>
      </c>
      <c r="C7" s="64"/>
      <c r="D7" s="103">
        <f>C7*1</f>
        <v>0</v>
      </c>
      <c r="E7" s="114">
        <f>(B7+D7)*$D$1</f>
        <v>633.1939</v>
      </c>
      <c r="F7" s="85"/>
      <c r="G7" s="14">
        <f>-E7+F7</f>
        <v>-633.1939</v>
      </c>
      <c r="H7" s="74"/>
    </row>
    <row r="8" spans="1:8" s="10" customFormat="1" ht="14.25">
      <c r="A8" s="11" t="s">
        <v>1148</v>
      </c>
      <c r="B8" s="135">
        <v>11.15</v>
      </c>
      <c r="C8" s="64"/>
      <c r="D8" s="103">
        <f>C8*1</f>
        <v>0</v>
      </c>
      <c r="E8" s="114">
        <f>(B8+D8)*$D$1</f>
        <v>703.8995000000001</v>
      </c>
      <c r="F8" s="85"/>
      <c r="G8" s="14">
        <f>-E8+F8</f>
        <v>-703.8995000000001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 t="s">
        <v>1146</v>
      </c>
    </row>
    <row r="12" ht="28.5">
      <c r="A12" s="98" t="s">
        <v>932</v>
      </c>
    </row>
    <row r="13" ht="28.5">
      <c r="A13" s="98"/>
    </row>
    <row r="14" spans="1:2" ht="28.5">
      <c r="A14" s="98"/>
      <c r="B14" s="72"/>
    </row>
    <row r="15" ht="14.25">
      <c r="B15" s="72"/>
    </row>
    <row r="19" spans="4:5" ht="14.25">
      <c r="D19" s="43"/>
      <c r="E19" s="132"/>
    </row>
    <row r="30" spans="4:5" ht="14.25">
      <c r="D30" s="43">
        <f>B30+C30+'303'!G8+'313'!G7+'323'!G8+'345'!G5+'382'!G8+'383'!G8+'401'!G7+'426'!G6+'441'!G6+'457'!G5+'483'!G6+'500'!G4+'505'!G4+'531'!G13+'564'!G7</f>
        <v>0.10936026540684907</v>
      </c>
      <c r="E30" s="132" t="s">
        <v>988</v>
      </c>
    </row>
    <row r="98" spans="4:5" ht="14.25">
      <c r="D98" s="43">
        <f>'539'!G12+'564'!G9</f>
        <v>0.21879999999998745</v>
      </c>
      <c r="E98" t="s">
        <v>993</v>
      </c>
    </row>
    <row r="115" spans="4:5" ht="14.25">
      <c r="D115" s="43">
        <f>'562'!G7+'564'!G10</f>
        <v>-0.48919999999986885</v>
      </c>
      <c r="E115" t="s">
        <v>992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846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845</v>
      </c>
    </row>
    <row r="168" spans="1:5" ht="14.25">
      <c r="A168" t="s">
        <v>844</v>
      </c>
      <c r="B168">
        <v>0</v>
      </c>
      <c r="D168" s="43">
        <f>'522'!G7</f>
        <v>0.15050000000002228</v>
      </c>
      <c r="E168">
        <v>522</v>
      </c>
    </row>
    <row r="180" spans="4:5" ht="14.25">
      <c r="D180" s="43">
        <f>'469'!G6+'564'!G8</f>
        <v>0.0795999999995729</v>
      </c>
      <c r="E180" t="s">
        <v>991</v>
      </c>
    </row>
    <row r="187" spans="4:5" ht="14.25">
      <c r="D187" s="43">
        <f>'388'!G4+'413'!G5+'427'!G5+'428'!G6+'560'!G7+'561'!G4+'564'!G4</f>
        <v>0.6078799999989428</v>
      </c>
      <c r="E187" t="s">
        <v>990</v>
      </c>
    </row>
    <row r="256" spans="4:5" ht="14.25">
      <c r="D256" s="43">
        <f>B256+C256+'306'!G6+'344'!G5+'348'!G9+'394'!G4+'395'!G6+'397'!G4+'487'!G4+'564'!G5</f>
        <v>0.2569838709675878</v>
      </c>
      <c r="E256" s="132" t="s">
        <v>989</v>
      </c>
    </row>
    <row r="262" spans="4:5" ht="14.25">
      <c r="D262" s="43">
        <f>'435'!G4+'521'!G6</f>
        <v>0.19920000000001892</v>
      </c>
      <c r="E262" t="s">
        <v>839</v>
      </c>
    </row>
    <row r="288" spans="4:5" ht="14.25">
      <c r="D288" s="43">
        <f>B288+C288+'344'!G7+'442'!G5+'475'!G12+'511'!G5+'517'!G8+'564'!G12</f>
        <v>0.18759999999952015</v>
      </c>
      <c r="E288" t="s">
        <v>987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847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848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840</v>
      </c>
    </row>
    <row r="371" spans="4:5" ht="14.25">
      <c r="D371" s="43">
        <f>'381'!G5+'411'!G5+'419'!G6+'468'!G4+'506'!G7+'511'!G6+'528'!G4+'531'!G6+'554'!G8+'558'!G5+'559'!G9+'564'!G11</f>
        <v>0.12918000000126995</v>
      </c>
      <c r="E371" t="s">
        <v>986</v>
      </c>
    </row>
    <row r="386" spans="4:5" ht="14.25">
      <c r="D386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6" t="s">
        <v>985</v>
      </c>
    </row>
  </sheetData>
  <sheetProtection/>
  <printOptions/>
  <pageMargins left="0.7" right="0.7" top="0.75" bottom="0.75" header="0.3" footer="0.3"/>
  <pageSetup orientation="portrait" paperSize="9"/>
</worksheet>
</file>

<file path=xl/worksheets/sheet303.xml><?xml version="1.0" encoding="utf-8"?>
<worksheet xmlns="http://schemas.openxmlformats.org/spreadsheetml/2006/main" xmlns:r="http://schemas.openxmlformats.org/officeDocument/2006/relationships">
  <dimension ref="A1:H384"/>
  <sheetViews>
    <sheetView zoomScale="90" zoomScaleNormal="90" zoomScalePageLayoutView="0" workbookViewId="0" topLeftCell="A1">
      <selection activeCell="B4" sqref="B4:B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42648</v>
      </c>
      <c r="C1" s="3" t="s">
        <v>1</v>
      </c>
      <c r="D1" s="4">
        <v>63.13</v>
      </c>
      <c r="E1" s="5" t="s">
        <v>2</v>
      </c>
    </row>
    <row r="2" s="5" customFormat="1" ht="14.25">
      <c r="A2" s="6" t="s">
        <v>1145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229</v>
      </c>
      <c r="B4" s="135">
        <v>43.13</v>
      </c>
      <c r="C4" s="64"/>
      <c r="D4" s="103">
        <f>C4*1</f>
        <v>0</v>
      </c>
      <c r="E4" s="114">
        <f>(B4+D4)*$D$1</f>
        <v>2722.7969000000003</v>
      </c>
      <c r="F4" s="85"/>
      <c r="G4" s="14">
        <f>-E4+F4</f>
        <v>-2722.7969000000003</v>
      </c>
      <c r="H4" s="74"/>
    </row>
    <row r="5" spans="1:8" s="10" customFormat="1" ht="14.25">
      <c r="A5" s="11" t="s">
        <v>851</v>
      </c>
      <c r="B5" s="135">
        <v>20.39</v>
      </c>
      <c r="C5" s="64"/>
      <c r="D5" s="103">
        <f>C5*1</f>
        <v>0</v>
      </c>
      <c r="E5" s="114">
        <f>(B5+D5)*$D$1</f>
        <v>1287.2207</v>
      </c>
      <c r="F5" s="85"/>
      <c r="G5" s="14">
        <f>-E5+F5</f>
        <v>-1287.2207</v>
      </c>
      <c r="H5" s="74"/>
    </row>
    <row r="6" spans="1:7" s="10" customFormat="1" ht="14.25">
      <c r="A6" s="15" t="s">
        <v>408</v>
      </c>
      <c r="B6" s="135">
        <v>21.28</v>
      </c>
      <c r="C6" s="64"/>
      <c r="D6" s="103">
        <f>C6*1</f>
        <v>0</v>
      </c>
      <c r="E6" s="114">
        <f>(B6+D6)*$D$1</f>
        <v>1343.4064</v>
      </c>
      <c r="F6" s="137"/>
      <c r="G6" s="77">
        <f>-E6+F6</f>
        <v>-1343.4064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 t="s">
        <v>1146</v>
      </c>
    </row>
    <row r="10" ht="28.5">
      <c r="A10" s="98" t="s">
        <v>932</v>
      </c>
    </row>
    <row r="11" ht="28.5">
      <c r="A11" s="98"/>
    </row>
    <row r="12" spans="1:2" ht="28.5">
      <c r="A12" s="98"/>
      <c r="B12" s="72"/>
    </row>
    <row r="13" ht="14.25">
      <c r="B13" s="72"/>
    </row>
    <row r="17" spans="4:5" ht="14.25">
      <c r="D17" s="43"/>
      <c r="E17" s="132"/>
    </row>
    <row r="28" spans="4:5" ht="14.25">
      <c r="D28" s="43">
        <f>B28+C28+'303'!G8+'313'!G7+'323'!G8+'345'!G5+'382'!G8+'383'!G8+'401'!G7+'426'!G6+'441'!G6+'457'!G5+'483'!G6+'500'!G4+'505'!G4+'531'!G13+'564'!G7</f>
        <v>0.10936026540684907</v>
      </c>
      <c r="E28" s="132" t="s">
        <v>988</v>
      </c>
    </row>
    <row r="96" spans="4:5" ht="14.25">
      <c r="D96" s="43">
        <f>'539'!G12+'564'!G9</f>
        <v>0.21879999999998745</v>
      </c>
      <c r="E96" t="s">
        <v>993</v>
      </c>
    </row>
    <row r="113" spans="4:5" ht="14.25">
      <c r="D113" s="43">
        <f>'562'!G7+'564'!G10</f>
        <v>-0.48919999999986885</v>
      </c>
      <c r="E113" t="s">
        <v>992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846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845</v>
      </c>
    </row>
    <row r="166" spans="1:5" ht="14.25">
      <c r="A166" t="s">
        <v>844</v>
      </c>
      <c r="B166">
        <v>0</v>
      </c>
      <c r="D166" s="43">
        <f>'522'!G7</f>
        <v>0.15050000000002228</v>
      </c>
      <c r="E166">
        <v>522</v>
      </c>
    </row>
    <row r="178" spans="4:5" ht="14.25">
      <c r="D178" s="43">
        <f>'469'!G6+'564'!G8</f>
        <v>0.0795999999995729</v>
      </c>
      <c r="E178" t="s">
        <v>991</v>
      </c>
    </row>
    <row r="185" spans="4:5" ht="14.25">
      <c r="D185" s="43">
        <f>'388'!G4+'413'!G5+'427'!G5+'428'!G6+'560'!G7+'561'!G4+'564'!G4</f>
        <v>0.6078799999989428</v>
      </c>
      <c r="E185" t="s">
        <v>990</v>
      </c>
    </row>
    <row r="254" spans="4:5" ht="14.25">
      <c r="D254" s="43">
        <f>B254+C254+'306'!G6+'344'!G5+'348'!G9+'394'!G4+'395'!G6+'397'!G4+'487'!G4+'564'!G5</f>
        <v>0.2569838709675878</v>
      </c>
      <c r="E254" s="132" t="s">
        <v>989</v>
      </c>
    </row>
    <row r="260" spans="4:5" ht="14.25">
      <c r="D260" s="43">
        <f>'435'!G4+'521'!G6</f>
        <v>0.19920000000001892</v>
      </c>
      <c r="E260" t="s">
        <v>839</v>
      </c>
    </row>
    <row r="286" spans="4:5" ht="14.25">
      <c r="D286" s="43">
        <f>B286+C286+'344'!G7+'442'!G5+'475'!G12+'511'!G5+'517'!G8+'564'!G12</f>
        <v>0.18759999999952015</v>
      </c>
      <c r="E286" t="s">
        <v>987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847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848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840</v>
      </c>
    </row>
    <row r="369" spans="4:5" ht="14.25">
      <c r="D369" s="43">
        <f>'381'!G5+'411'!G5+'419'!G6+'468'!G4+'506'!G7+'511'!G6+'528'!G4+'531'!G6+'554'!G8+'558'!G5+'559'!G9+'564'!G11</f>
        <v>0.12918000000126995</v>
      </c>
      <c r="E369" t="s">
        <v>986</v>
      </c>
    </row>
    <row r="384" spans="4:5" ht="14.25">
      <c r="D384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4" t="s">
        <v>985</v>
      </c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42093</v>
      </c>
      <c r="C1" s="3" t="s">
        <v>1</v>
      </c>
      <c r="D1" s="4">
        <v>59.09</v>
      </c>
      <c r="E1" s="5" t="s">
        <v>2</v>
      </c>
    </row>
    <row r="2" s="5" customFormat="1" ht="14.25">
      <c r="A2" s="6" t="s">
        <v>386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387</v>
      </c>
      <c r="B4" s="63">
        <v>36.19</v>
      </c>
      <c r="C4" s="64">
        <v>1.1</v>
      </c>
      <c r="D4" s="11">
        <f aca="true" t="shared" si="0" ref="D4:D10">C4/$C$11*$D$11</f>
        <v>2.2044088176352705</v>
      </c>
      <c r="E4" s="11">
        <f aca="true" t="shared" si="1" ref="E4:E9">(B4+D4)*$D$1</f>
        <v>2268.725617034068</v>
      </c>
      <c r="F4" s="78">
        <v>2290</v>
      </c>
      <c r="G4" s="14">
        <f aca="true" t="shared" si="2" ref="G4:G9">-E4+F4</f>
        <v>21.27438296593209</v>
      </c>
      <c r="H4" s="74"/>
    </row>
    <row r="5" spans="1:7" s="10" customFormat="1" ht="14.25">
      <c r="A5" s="15" t="s">
        <v>388</v>
      </c>
      <c r="B5" s="12">
        <v>7.182</v>
      </c>
      <c r="C5" s="12">
        <v>0.28</v>
      </c>
      <c r="D5" s="11">
        <f t="shared" si="0"/>
        <v>0.561122244488978</v>
      </c>
      <c r="E5" s="76">
        <f t="shared" si="1"/>
        <v>457.54109342685376</v>
      </c>
      <c r="F5" s="79">
        <v>462</v>
      </c>
      <c r="G5" s="77">
        <f t="shared" si="2"/>
        <v>4.458906573146237</v>
      </c>
    </row>
    <row r="6" spans="1:7" s="10" customFormat="1" ht="14.25">
      <c r="A6" s="15" t="s">
        <v>384</v>
      </c>
      <c r="B6" s="63">
        <v>19.35</v>
      </c>
      <c r="C6" s="64">
        <v>0.08</v>
      </c>
      <c r="D6" s="11">
        <f t="shared" si="0"/>
        <v>0.16032064128256512</v>
      </c>
      <c r="E6" s="11">
        <f t="shared" si="1"/>
        <v>1152.8648466933869</v>
      </c>
      <c r="F6" s="69">
        <v>1350</v>
      </c>
      <c r="G6" s="14">
        <f t="shared" si="2"/>
        <v>197.13515330661312</v>
      </c>
    </row>
    <row r="7" spans="1:8" s="10" customFormat="1" ht="14.25">
      <c r="A7" s="11" t="s">
        <v>383</v>
      </c>
      <c r="B7" s="63">
        <v>9.98</v>
      </c>
      <c r="C7" s="64">
        <v>0.09</v>
      </c>
      <c r="D7" s="11">
        <f t="shared" si="0"/>
        <v>0.18036072144288573</v>
      </c>
      <c r="E7" s="11">
        <f t="shared" si="1"/>
        <v>600.3757150300602</v>
      </c>
      <c r="F7" s="78"/>
      <c r="G7" s="14">
        <f t="shared" si="2"/>
        <v>-600.3757150300602</v>
      </c>
      <c r="H7" s="74"/>
    </row>
    <row r="8" spans="1:7" s="10" customFormat="1" ht="14.25">
      <c r="A8" s="15" t="s">
        <v>93</v>
      </c>
      <c r="B8" s="63">
        <v>42.11</v>
      </c>
      <c r="C8" s="64">
        <v>0.62</v>
      </c>
      <c r="D8" s="11">
        <f t="shared" si="0"/>
        <v>1.2424849699398797</v>
      </c>
      <c r="E8" s="76">
        <f t="shared" si="1"/>
        <v>2561.698336873748</v>
      </c>
      <c r="F8" s="79">
        <v>2560</v>
      </c>
      <c r="G8" s="77">
        <f t="shared" si="2"/>
        <v>-1.6983368737478486</v>
      </c>
    </row>
    <row r="9" spans="1:7" s="10" customFormat="1" ht="14.25">
      <c r="A9" s="15" t="s">
        <v>218</v>
      </c>
      <c r="B9" s="12">
        <v>17.67</v>
      </c>
      <c r="C9" s="12">
        <v>1.04</v>
      </c>
      <c r="D9" s="11">
        <f t="shared" si="0"/>
        <v>2.0841683366733466</v>
      </c>
      <c r="E9" s="11">
        <f t="shared" si="1"/>
        <v>1167.2738070140283</v>
      </c>
      <c r="F9" s="69">
        <v>1178</v>
      </c>
      <c r="G9" s="14">
        <f t="shared" si="2"/>
        <v>10.726192985971693</v>
      </c>
    </row>
    <row r="10" spans="1:7" s="10" customFormat="1" ht="14.25">
      <c r="A10" s="15" t="s">
        <v>10</v>
      </c>
      <c r="B10" s="24"/>
      <c r="C10" s="12">
        <v>1.78</v>
      </c>
      <c r="D10" s="11">
        <f t="shared" si="0"/>
        <v>3.5671342685370737</v>
      </c>
      <c r="E10" s="24"/>
      <c r="F10" s="24"/>
      <c r="G10" s="24"/>
    </row>
    <row r="11" spans="1:7" s="25" customFormat="1" ht="14.25">
      <c r="A11" s="24"/>
      <c r="B11" s="24"/>
      <c r="C11" s="24">
        <f>SUM(C4:C10)</f>
        <v>4.99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42096</v>
      </c>
      <c r="C1" s="3" t="s">
        <v>1</v>
      </c>
      <c r="D1" s="4">
        <v>58.173</v>
      </c>
      <c r="E1" s="5" t="s">
        <v>2</v>
      </c>
    </row>
    <row r="2" s="5" customFormat="1" ht="14.25">
      <c r="A2" s="6" t="s">
        <v>390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5" t="s">
        <v>389</v>
      </c>
      <c r="B4" s="63">
        <v>529.19</v>
      </c>
      <c r="C4" s="64"/>
      <c r="D4" s="11"/>
      <c r="E4" s="11">
        <f>(B4+D4)*$D$1</f>
        <v>30784.569870000003</v>
      </c>
      <c r="F4" s="78">
        <f>31700-750-165</f>
        <v>30785</v>
      </c>
      <c r="G4" s="14">
        <f>-E4+F4</f>
        <v>0.43012999999700696</v>
      </c>
      <c r="H4" s="74" t="s">
        <v>405</v>
      </c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7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4.25">
      <c r="A2" s="6" t="s">
        <v>391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84" t="s">
        <v>381</v>
      </c>
      <c r="B4" s="63">
        <v>55.08</v>
      </c>
      <c r="C4" s="64"/>
      <c r="D4" s="11"/>
      <c r="E4" s="11">
        <f>(B4+D4)*$D$1</f>
        <v>3204.5544</v>
      </c>
      <c r="F4" s="78">
        <v>4906</v>
      </c>
      <c r="G4" s="14">
        <f>-E4+F4</f>
        <v>1701.4456</v>
      </c>
      <c r="H4" s="74" t="s">
        <v>392</v>
      </c>
    </row>
    <row r="5" spans="1:8" s="10" customFormat="1" ht="14.25">
      <c r="A5" s="84" t="s">
        <v>381</v>
      </c>
      <c r="B5" s="63">
        <v>29.68</v>
      </c>
      <c r="C5" s="64"/>
      <c r="D5" s="11"/>
      <c r="E5" s="76">
        <f>(B5+D5)*$D$1</f>
        <v>1726.7824</v>
      </c>
      <c r="F5" s="79">
        <v>43</v>
      </c>
      <c r="G5" s="77">
        <f>-E5+F5</f>
        <v>-1683.7824</v>
      </c>
      <c r="H5" s="73" t="s">
        <v>393</v>
      </c>
    </row>
    <row r="6" spans="1:7" s="10" customFormat="1" ht="14.25">
      <c r="A6" s="84" t="s">
        <v>34</v>
      </c>
      <c r="B6" s="12">
        <v>12.74</v>
      </c>
      <c r="C6" s="12"/>
      <c r="D6" s="11"/>
      <c r="E6" s="11">
        <f>(B6+D6)*$D$1</f>
        <v>741.2132</v>
      </c>
      <c r="F6" s="69">
        <f>798+4</f>
        <v>802</v>
      </c>
      <c r="G6" s="14">
        <f>-E6+F6</f>
        <v>60.78679999999997</v>
      </c>
    </row>
    <row r="7" spans="1:8" s="10" customFormat="1" ht="14.25">
      <c r="A7" s="84" t="s">
        <v>383</v>
      </c>
      <c r="B7" s="63">
        <v>13.99</v>
      </c>
      <c r="C7" s="64"/>
      <c r="D7" s="11"/>
      <c r="E7" s="11">
        <f>(B7+D7)*$D$1</f>
        <v>813.9382</v>
      </c>
      <c r="F7" s="78">
        <v>1411</v>
      </c>
      <c r="G7" s="14">
        <f>-E7+F7</f>
        <v>597.0618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hyperlinks>
    <hyperlink ref="A4:A5" r:id="rId1" display="Майк@"/>
  </hyperlink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4.25">
      <c r="A2" s="6" t="s">
        <v>391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394</v>
      </c>
      <c r="B4" s="63">
        <v>9.57</v>
      </c>
      <c r="C4" s="64"/>
      <c r="D4" s="11"/>
      <c r="E4" s="11">
        <f>(B4+D4)*$D$1</f>
        <v>556.7826</v>
      </c>
      <c r="F4" s="78">
        <f>554+3</f>
        <v>557</v>
      </c>
      <c r="G4" s="14">
        <f>-E4+F4</f>
        <v>0.21739999999999782</v>
      </c>
      <c r="H4" s="74"/>
    </row>
    <row r="5" spans="1:7" s="10" customFormat="1" ht="14.25">
      <c r="A5" s="15" t="s">
        <v>32</v>
      </c>
      <c r="B5" s="63">
        <v>5.39</v>
      </c>
      <c r="C5" s="64"/>
      <c r="D5" s="11"/>
      <c r="E5" s="76">
        <f>(B5+D5)*$D$1</f>
        <v>313.5902</v>
      </c>
      <c r="F5" s="79">
        <v>312</v>
      </c>
      <c r="G5" s="77">
        <f>-E5+F5</f>
        <v>-1.5901999999999816</v>
      </c>
    </row>
    <row r="6" spans="1:7" s="10" customFormat="1" ht="14.25">
      <c r="A6" s="15" t="s">
        <v>292</v>
      </c>
      <c r="B6" s="12">
        <v>78.16</v>
      </c>
      <c r="C6" s="12"/>
      <c r="D6" s="11"/>
      <c r="E6" s="11">
        <f>(B6+D6)*$D$1</f>
        <v>4547.3488</v>
      </c>
      <c r="F6" s="69">
        <f>4533+22</f>
        <v>4555</v>
      </c>
      <c r="G6" s="14">
        <f>-E6+F6</f>
        <v>7.6512000000002445</v>
      </c>
    </row>
    <row r="7" spans="1:8" s="10" customFormat="1" ht="14.25">
      <c r="A7" s="11" t="s">
        <v>387</v>
      </c>
      <c r="B7" s="63">
        <v>51.89</v>
      </c>
      <c r="C7" s="64"/>
      <c r="D7" s="11"/>
      <c r="E7" s="11">
        <f>(B7+D7)*$D$1</f>
        <v>3018.9602</v>
      </c>
      <c r="F7" s="79">
        <v>2983</v>
      </c>
      <c r="G7" s="14">
        <f>-E7+F7</f>
        <v>-35.960199999999986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4.25">
      <c r="A2" s="6" t="s">
        <v>391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395</v>
      </c>
      <c r="B4" s="63">
        <v>115.25</v>
      </c>
      <c r="C4" s="64"/>
      <c r="D4" s="11"/>
      <c r="E4" s="11">
        <f>(B4+D4)*$D$1</f>
        <v>6705.245</v>
      </c>
      <c r="F4" s="78">
        <f>6454+251</f>
        <v>6705</v>
      </c>
      <c r="G4" s="14">
        <f>-E4+F4</f>
        <v>-0.24499999999989086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7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4.25">
      <c r="A2" s="6" t="s">
        <v>399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194</v>
      </c>
      <c r="B4" s="63">
        <v>47.08</v>
      </c>
      <c r="C4" s="64"/>
      <c r="D4" s="11"/>
      <c r="E4" s="11">
        <f>(B4+D4)*$D$1</f>
        <v>2670.18928</v>
      </c>
      <c r="F4" s="78">
        <v>2714</v>
      </c>
      <c r="G4" s="14">
        <f>-E4+F4</f>
        <v>43.81071999999995</v>
      </c>
      <c r="H4" s="74"/>
    </row>
    <row r="5" spans="1:8" s="10" customFormat="1" ht="14.25">
      <c r="A5" s="15" t="s">
        <v>358</v>
      </c>
      <c r="B5" s="63">
        <v>3.25</v>
      </c>
      <c r="C5" s="64"/>
      <c r="D5" s="11"/>
      <c r="E5" s="76">
        <f>(B5+D5)*$D$1</f>
        <v>184.327</v>
      </c>
      <c r="F5" s="79">
        <f>187-3</f>
        <v>184</v>
      </c>
      <c r="G5" s="77">
        <f>-E5+F5</f>
        <v>-0.3269999999999982</v>
      </c>
      <c r="H5" s="10" t="s">
        <v>434</v>
      </c>
    </row>
    <row r="6" spans="1:7" s="10" customFormat="1" ht="14.25">
      <c r="A6" s="15" t="s">
        <v>373</v>
      </c>
      <c r="B6" s="63">
        <v>9.99</v>
      </c>
      <c r="C6" s="64"/>
      <c r="D6" s="11"/>
      <c r="E6" s="76">
        <f>(B6+D6)*$D$1</f>
        <v>566.59284</v>
      </c>
      <c r="F6" s="79">
        <v>576</v>
      </c>
      <c r="G6" s="77">
        <f>-E6+F6</f>
        <v>9.407159999999976</v>
      </c>
    </row>
    <row r="7" spans="1:7" s="10" customFormat="1" ht="14.25">
      <c r="A7" s="15" t="s">
        <v>70</v>
      </c>
      <c r="B7" s="12">
        <v>9.41</v>
      </c>
      <c r="C7" s="12"/>
      <c r="D7" s="11"/>
      <c r="E7" s="11">
        <f>(B7+D7)*$D$1</f>
        <v>533.6975600000001</v>
      </c>
      <c r="F7" s="69">
        <v>542</v>
      </c>
      <c r="G7" s="14">
        <f>-E7+F7</f>
        <v>8.302439999999933</v>
      </c>
    </row>
    <row r="8" spans="1:8" s="10" customFormat="1" ht="14.25">
      <c r="A8" s="11" t="s">
        <v>218</v>
      </c>
      <c r="B8" s="63">
        <v>22.39</v>
      </c>
      <c r="C8" s="64"/>
      <c r="D8" s="11"/>
      <c r="E8" s="11">
        <f>(B8+D8)*$D$1</f>
        <v>1269.87124</v>
      </c>
      <c r="F8" s="78">
        <v>1280</v>
      </c>
      <c r="G8" s="14">
        <f>-E8+F8</f>
        <v>10.128760000000057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7"/>
    </row>
    <row r="15" ht="14.25">
      <c r="A15" s="27"/>
    </row>
    <row r="16" ht="14.2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4.25">
      <c r="A2" s="6" t="s">
        <v>399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179</v>
      </c>
      <c r="B4" s="63">
        <v>50.15</v>
      </c>
      <c r="C4" s="64"/>
      <c r="D4" s="11"/>
      <c r="E4" s="11">
        <f aca="true" t="shared" si="0" ref="E4:E9">(B4+D4)*$D$1</f>
        <v>2844.3074</v>
      </c>
      <c r="F4" s="78">
        <v>2740</v>
      </c>
      <c r="G4" s="14">
        <f aca="true" t="shared" si="1" ref="G4:G9">-E4+F4</f>
        <v>-104.30740000000014</v>
      </c>
      <c r="H4" s="74"/>
    </row>
    <row r="5" spans="1:7" s="10" customFormat="1" ht="14.25">
      <c r="A5" s="15" t="s">
        <v>185</v>
      </c>
      <c r="B5" s="63">
        <v>11.98</v>
      </c>
      <c r="C5" s="64"/>
      <c r="D5" s="11"/>
      <c r="E5" s="76">
        <f t="shared" si="0"/>
        <v>679.45768</v>
      </c>
      <c r="F5" s="79">
        <v>692</v>
      </c>
      <c r="G5" s="77">
        <f t="shared" si="1"/>
        <v>12.542320000000018</v>
      </c>
    </row>
    <row r="6" spans="1:7" s="10" customFormat="1" ht="14.25">
      <c r="A6" s="15" t="s">
        <v>400</v>
      </c>
      <c r="B6" s="12">
        <v>14.39</v>
      </c>
      <c r="C6" s="12"/>
      <c r="D6" s="11"/>
      <c r="E6" s="11">
        <f t="shared" si="0"/>
        <v>816.14324</v>
      </c>
      <c r="F6" s="79">
        <v>830</v>
      </c>
      <c r="G6" s="14">
        <f t="shared" si="1"/>
        <v>13.856760000000008</v>
      </c>
    </row>
    <row r="7" spans="1:7" s="10" customFormat="1" ht="14.25">
      <c r="A7" s="15" t="s">
        <v>401</v>
      </c>
      <c r="B7" s="63">
        <v>11</v>
      </c>
      <c r="C7" s="64"/>
      <c r="D7" s="11"/>
      <c r="E7" s="76">
        <f t="shared" si="0"/>
        <v>623.876</v>
      </c>
      <c r="F7" s="85">
        <v>634</v>
      </c>
      <c r="G7" s="77">
        <f t="shared" si="1"/>
        <v>10.124000000000024</v>
      </c>
    </row>
    <row r="8" spans="1:7" s="10" customFormat="1" ht="14.25">
      <c r="A8" s="15" t="s">
        <v>383</v>
      </c>
      <c r="B8" s="12">
        <v>4.19</v>
      </c>
      <c r="C8" s="12"/>
      <c r="D8" s="11"/>
      <c r="E8" s="11">
        <f t="shared" si="0"/>
        <v>237.64004000000003</v>
      </c>
      <c r="F8" s="69">
        <v>241</v>
      </c>
      <c r="G8" s="14">
        <f t="shared" si="1"/>
        <v>3.3599599999999725</v>
      </c>
    </row>
    <row r="9" spans="1:8" s="10" customFormat="1" ht="14.25">
      <c r="A9" s="11" t="s">
        <v>331</v>
      </c>
      <c r="B9" s="63">
        <v>5.39</v>
      </c>
      <c r="C9" s="64"/>
      <c r="D9" s="11"/>
      <c r="E9" s="11">
        <f t="shared" si="0"/>
        <v>305.69924</v>
      </c>
      <c r="F9" s="78">
        <v>300</v>
      </c>
      <c r="G9" s="14">
        <f t="shared" si="1"/>
        <v>-5.699239999999975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7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57.9</v>
      </c>
      <c r="E1" s="5" t="s">
        <v>2</v>
      </c>
    </row>
    <row r="2" s="5" customFormat="1" ht="14.25">
      <c r="A2" s="6" t="s">
        <v>406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12">
        <v>14.03</v>
      </c>
      <c r="C4" s="12"/>
      <c r="D4" s="11"/>
      <c r="E4" s="11">
        <f aca="true" t="shared" si="0" ref="E4:E10">(B4+D4)*$D$1</f>
        <v>812.337</v>
      </c>
      <c r="F4" s="78">
        <f>751+55</f>
        <v>806</v>
      </c>
      <c r="G4" s="14">
        <f aca="true" t="shared" si="1" ref="G4:G10">-E4+F4</f>
        <v>-6.336999999999989</v>
      </c>
      <c r="H4" s="74"/>
    </row>
    <row r="5" spans="1:7" s="10" customFormat="1" ht="14.25">
      <c r="A5" s="15" t="s">
        <v>407</v>
      </c>
      <c r="B5" s="63">
        <v>22.63</v>
      </c>
      <c r="C5" s="64"/>
      <c r="D5" s="11"/>
      <c r="E5" s="76">
        <f t="shared" si="0"/>
        <v>1310.2769999999998</v>
      </c>
      <c r="F5" s="79">
        <f>1213+97</f>
        <v>1310</v>
      </c>
      <c r="G5" s="77">
        <f t="shared" si="1"/>
        <v>-0.2769999999998163</v>
      </c>
    </row>
    <row r="6" spans="1:7" s="10" customFormat="1" ht="14.25">
      <c r="A6" s="15" t="s">
        <v>284</v>
      </c>
      <c r="B6" s="12">
        <v>18.44</v>
      </c>
      <c r="C6" s="12"/>
      <c r="D6" s="11"/>
      <c r="E6" s="11">
        <f t="shared" si="0"/>
        <v>1067.6760000000002</v>
      </c>
      <c r="F6" s="79">
        <f>988+80</f>
        <v>1068</v>
      </c>
      <c r="G6" s="14">
        <f t="shared" si="1"/>
        <v>0.32399999999984175</v>
      </c>
    </row>
    <row r="7" spans="1:7" s="10" customFormat="1" ht="14.25">
      <c r="A7" s="15" t="s">
        <v>200</v>
      </c>
      <c r="B7" s="12">
        <v>23.04</v>
      </c>
      <c r="C7" s="12"/>
      <c r="D7" s="11"/>
      <c r="E7" s="11">
        <f t="shared" si="0"/>
        <v>1334.0159999999998</v>
      </c>
      <c r="F7" s="79">
        <f>1231+116</f>
        <v>1347</v>
      </c>
      <c r="G7" s="14">
        <f t="shared" si="1"/>
        <v>12.984000000000151</v>
      </c>
    </row>
    <row r="8" spans="1:7" s="10" customFormat="1" ht="14.25">
      <c r="A8" s="15" t="s">
        <v>384</v>
      </c>
      <c r="B8" s="63">
        <v>18.07</v>
      </c>
      <c r="C8" s="64"/>
      <c r="D8" s="11"/>
      <c r="E8" s="76">
        <f t="shared" si="0"/>
        <v>1046.253</v>
      </c>
      <c r="F8" s="79">
        <v>970</v>
      </c>
      <c r="G8" s="77">
        <f t="shared" si="1"/>
        <v>-76.25299999999993</v>
      </c>
    </row>
    <row r="9" spans="1:7" s="10" customFormat="1" ht="14.25">
      <c r="A9" s="15" t="s">
        <v>408</v>
      </c>
      <c r="B9" s="12">
        <v>19.67</v>
      </c>
      <c r="C9" s="12"/>
      <c r="D9" s="11"/>
      <c r="E9" s="11">
        <f t="shared" si="0"/>
        <v>1138.893</v>
      </c>
      <c r="F9" s="79">
        <f>1054+85</f>
        <v>1139</v>
      </c>
      <c r="G9" s="14">
        <f t="shared" si="1"/>
        <v>0.1069999999999709</v>
      </c>
    </row>
    <row r="10" spans="1:7" s="10" customFormat="1" ht="14.25">
      <c r="A10" s="15" t="s">
        <v>29</v>
      </c>
      <c r="B10" s="12">
        <v>21.47</v>
      </c>
      <c r="C10" s="12"/>
      <c r="D10" s="11"/>
      <c r="E10" s="11">
        <f t="shared" si="0"/>
        <v>1243.1129999999998</v>
      </c>
      <c r="F10" s="69">
        <f>1151+92</f>
        <v>1243</v>
      </c>
      <c r="G10" s="14">
        <f t="shared" si="1"/>
        <v>-0.11299999999982901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4.25">
      <c r="A2" s="6" t="s">
        <v>406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5" t="s">
        <v>229</v>
      </c>
      <c r="B4" s="63">
        <v>14.03</v>
      </c>
      <c r="C4" s="64"/>
      <c r="D4" s="11"/>
      <c r="E4" s="76">
        <f aca="true" t="shared" si="0" ref="E4:E9">(B4+D4)*$D$1</f>
        <v>734.4705</v>
      </c>
      <c r="F4" s="85">
        <v>776</v>
      </c>
      <c r="G4" s="77">
        <f aca="true" t="shared" si="1" ref="G4:G9">-E4+F4</f>
        <v>41.529499999999985</v>
      </c>
    </row>
    <row r="5" spans="1:8" s="10" customFormat="1" ht="14.25">
      <c r="A5" s="11" t="s">
        <v>409</v>
      </c>
      <c r="B5" s="63">
        <v>24.61</v>
      </c>
      <c r="C5" s="64"/>
      <c r="D5" s="11"/>
      <c r="E5" s="76">
        <f t="shared" si="0"/>
        <v>1288.3335</v>
      </c>
      <c r="F5" s="79">
        <v>1319</v>
      </c>
      <c r="G5" s="14">
        <f t="shared" si="1"/>
        <v>30.666500000000042</v>
      </c>
      <c r="H5" s="74"/>
    </row>
    <row r="6" spans="1:7" s="10" customFormat="1" ht="14.25">
      <c r="A6" s="15" t="s">
        <v>142</v>
      </c>
      <c r="B6" s="63">
        <v>53.51</v>
      </c>
      <c r="C6" s="64"/>
      <c r="D6" s="11"/>
      <c r="E6" s="76">
        <f t="shared" si="0"/>
        <v>2801.2485</v>
      </c>
      <c r="F6" s="79">
        <v>2868</v>
      </c>
      <c r="G6" s="77">
        <f t="shared" si="1"/>
        <v>66.75149999999985</v>
      </c>
    </row>
    <row r="7" spans="1:7" s="10" customFormat="1" ht="14.25">
      <c r="A7" s="15" t="s">
        <v>410</v>
      </c>
      <c r="B7" s="12">
        <v>25.19</v>
      </c>
      <c r="C7" s="12"/>
      <c r="D7" s="11"/>
      <c r="E7" s="76">
        <f t="shared" si="0"/>
        <v>1318.6965</v>
      </c>
      <c r="F7" s="79">
        <f>1350+31</f>
        <v>1381</v>
      </c>
      <c r="G7" s="14">
        <f t="shared" si="1"/>
        <v>62.303499999999985</v>
      </c>
    </row>
    <row r="8" spans="1:7" s="10" customFormat="1" ht="14.25">
      <c r="A8" s="15" t="s">
        <v>169</v>
      </c>
      <c r="B8" s="63">
        <v>39.68</v>
      </c>
      <c r="C8" s="64"/>
      <c r="D8" s="11"/>
      <c r="E8" s="76">
        <f t="shared" si="0"/>
        <v>2077.248</v>
      </c>
      <c r="F8" s="85">
        <f>2070+69</f>
        <v>2139</v>
      </c>
      <c r="G8" s="77">
        <f t="shared" si="1"/>
        <v>61.75199999999995</v>
      </c>
    </row>
    <row r="9" spans="1:7" s="10" customFormat="1" ht="14.25">
      <c r="A9" s="15" t="s">
        <v>271</v>
      </c>
      <c r="B9" s="12">
        <v>13.78</v>
      </c>
      <c r="C9" s="12"/>
      <c r="D9" s="11"/>
      <c r="E9" s="76">
        <f t="shared" si="0"/>
        <v>721.383</v>
      </c>
      <c r="F9" s="79">
        <v>744</v>
      </c>
      <c r="G9" s="14">
        <f t="shared" si="1"/>
        <v>22.616999999999962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7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64.31</v>
      </c>
      <c r="E1" s="5" t="s">
        <v>2</v>
      </c>
    </row>
    <row r="2" s="5" customFormat="1" ht="14.25">
      <c r="A2" s="6" t="s">
        <v>304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29</v>
      </c>
      <c r="B4" s="12">
        <v>10.94</v>
      </c>
      <c r="C4" s="12">
        <v>1.4</v>
      </c>
      <c r="D4" s="11">
        <f aca="true" t="shared" si="0" ref="D4:D10">C4/$C$11*$D$11</f>
        <v>2.816901408450705</v>
      </c>
      <c r="E4" s="11">
        <f aca="true" t="shared" si="1" ref="E4:E10">(B4+D4)*$D$1</f>
        <v>884.7063295774649</v>
      </c>
      <c r="F4" s="13">
        <v>817</v>
      </c>
      <c r="G4" s="14">
        <f aca="true" t="shared" si="2" ref="G4:G10">-E4+F4</f>
        <v>-67.70632957746489</v>
      </c>
    </row>
    <row r="5" spans="1:7" s="10" customFormat="1" ht="14.25">
      <c r="A5" s="15" t="s">
        <v>154</v>
      </c>
      <c r="B5" s="12">
        <v>13.89</v>
      </c>
      <c r="C5" s="12">
        <v>1.49</v>
      </c>
      <c r="D5" s="11">
        <f t="shared" si="0"/>
        <v>2.997987927565393</v>
      </c>
      <c r="E5" s="11">
        <f t="shared" si="1"/>
        <v>1086.0665036217306</v>
      </c>
      <c r="F5" s="13">
        <f>978+112</f>
        <v>1090</v>
      </c>
      <c r="G5" s="14">
        <f t="shared" si="2"/>
        <v>3.9334963782694103</v>
      </c>
    </row>
    <row r="6" spans="1:7" s="10" customFormat="1" ht="14.25">
      <c r="A6" s="11" t="s">
        <v>305</v>
      </c>
      <c r="B6" s="12">
        <v>13.3</v>
      </c>
      <c r="C6" s="12">
        <v>0.11</v>
      </c>
      <c r="D6" s="11">
        <f t="shared" si="0"/>
        <v>0.2213279678068411</v>
      </c>
      <c r="E6" s="11">
        <f t="shared" si="1"/>
        <v>869.5566016096581</v>
      </c>
      <c r="F6" s="13">
        <f>260+520</f>
        <v>780</v>
      </c>
      <c r="G6" s="14">
        <f t="shared" si="2"/>
        <v>-89.55660160965806</v>
      </c>
    </row>
    <row r="7" spans="1:7" s="10" customFormat="1" ht="14.25">
      <c r="A7" s="11" t="s">
        <v>169</v>
      </c>
      <c r="B7" s="12">
        <v>35.99</v>
      </c>
      <c r="C7" s="12">
        <v>0.36</v>
      </c>
      <c r="D7" s="11">
        <f t="shared" si="0"/>
        <v>0.7243460764587527</v>
      </c>
      <c r="E7" s="11">
        <f>(B7+D7)*$D$1</f>
        <v>2361.0995961770623</v>
      </c>
      <c r="F7" s="13">
        <v>2300</v>
      </c>
      <c r="G7" s="14">
        <f>-E7+F7</f>
        <v>-61.09959617706227</v>
      </c>
    </row>
    <row r="8" spans="1:7" s="10" customFormat="1" ht="14.25">
      <c r="A8" s="11" t="s">
        <v>228</v>
      </c>
      <c r="B8" s="12">
        <v>13.81</v>
      </c>
      <c r="C8" s="12">
        <v>0.11</v>
      </c>
      <c r="D8" s="11">
        <f t="shared" si="0"/>
        <v>0.2213279678068411</v>
      </c>
      <c r="E8" s="11">
        <f t="shared" si="1"/>
        <v>902.354701609658</v>
      </c>
      <c r="F8" s="13">
        <f>790+113</f>
        <v>903</v>
      </c>
      <c r="G8" s="14">
        <f t="shared" si="2"/>
        <v>0.6452983903419636</v>
      </c>
    </row>
    <row r="9" spans="1:7" s="10" customFormat="1" ht="14.25">
      <c r="A9" s="11" t="s">
        <v>50</v>
      </c>
      <c r="B9" s="12">
        <v>30.59</v>
      </c>
      <c r="C9" s="12">
        <v>0.27</v>
      </c>
      <c r="D9" s="11">
        <f t="shared" si="0"/>
        <v>0.5432595573440645</v>
      </c>
      <c r="E9" s="11">
        <f t="shared" si="1"/>
        <v>2002.179922132797</v>
      </c>
      <c r="F9" s="13">
        <f>1807+219</f>
        <v>2026</v>
      </c>
      <c r="G9" s="14">
        <f t="shared" si="2"/>
        <v>23.820077867203054</v>
      </c>
    </row>
    <row r="10" spans="1:7" s="10" customFormat="1" ht="14.25">
      <c r="A10" s="11" t="s">
        <v>126</v>
      </c>
      <c r="B10" s="12">
        <v>6.7</v>
      </c>
      <c r="C10" s="12">
        <v>1.23</v>
      </c>
      <c r="D10" s="11">
        <f t="shared" si="0"/>
        <v>2.4748490945674053</v>
      </c>
      <c r="E10" s="11">
        <f t="shared" si="1"/>
        <v>590.0345452716299</v>
      </c>
      <c r="F10" s="13">
        <f>150</f>
        <v>150</v>
      </c>
      <c r="G10" s="14">
        <f t="shared" si="2"/>
        <v>-440.0345452716299</v>
      </c>
    </row>
    <row r="11" spans="1:7" s="25" customFormat="1" ht="14.25">
      <c r="A11" s="24"/>
      <c r="B11" s="24"/>
      <c r="C11" s="24">
        <f>SUM(C4:C10)</f>
        <v>4.969999999999999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4.25">
      <c r="A2" s="6" t="s">
        <v>406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149</v>
      </c>
      <c r="B4" s="12">
        <v>3.95</v>
      </c>
      <c r="C4" s="64"/>
      <c r="D4" s="11"/>
      <c r="E4" s="11">
        <f>(B4+D4)*$D$1</f>
        <v>206.78250000000003</v>
      </c>
      <c r="F4" s="78">
        <v>212</v>
      </c>
      <c r="G4" s="14">
        <f>-E4+F4</f>
        <v>5.217499999999973</v>
      </c>
      <c r="H4" s="74"/>
    </row>
    <row r="5" spans="1:7" s="10" customFormat="1" ht="14.25">
      <c r="A5" s="15" t="s">
        <v>411</v>
      </c>
      <c r="B5" s="63">
        <v>49.24</v>
      </c>
      <c r="C5" s="64"/>
      <c r="D5" s="11"/>
      <c r="E5" s="76">
        <f>(B5+D5)*$D$1</f>
        <v>2577.7140000000004</v>
      </c>
      <c r="F5" s="79">
        <v>2639</v>
      </c>
      <c r="G5" s="77">
        <f>-E5+F5</f>
        <v>61.2859999999996</v>
      </c>
    </row>
    <row r="6" spans="1:7" s="10" customFormat="1" ht="14.25">
      <c r="A6" s="15" t="s">
        <v>412</v>
      </c>
      <c r="B6" s="12">
        <v>8.5</v>
      </c>
      <c r="C6" s="12"/>
      <c r="D6" s="11"/>
      <c r="E6" s="11">
        <f>(B6+D6)*$D$1</f>
        <v>444.975</v>
      </c>
      <c r="F6" s="79">
        <v>456</v>
      </c>
      <c r="G6" s="14">
        <f>-E6+F6</f>
        <v>11.024999999999977</v>
      </c>
    </row>
    <row r="7" spans="1:7" s="10" customFormat="1" ht="14.25">
      <c r="A7" s="15" t="s">
        <v>387</v>
      </c>
      <c r="B7" s="63">
        <v>11.1</v>
      </c>
      <c r="C7" s="64"/>
      <c r="D7" s="11"/>
      <c r="E7" s="76">
        <f>(B7+D7)*$D$1</f>
        <v>581.085</v>
      </c>
      <c r="F7" s="79">
        <v>600</v>
      </c>
      <c r="G7" s="77">
        <f>-E7+F7</f>
        <v>18.914999999999964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42104</v>
      </c>
      <c r="C1" s="3" t="s">
        <v>1</v>
      </c>
      <c r="D1" s="4">
        <v>52.35</v>
      </c>
      <c r="E1" s="5" t="s">
        <v>2</v>
      </c>
    </row>
    <row r="2" s="5" customFormat="1" ht="14.25">
      <c r="A2" s="6" t="s">
        <v>413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147.35</v>
      </c>
      <c r="C4" s="64"/>
      <c r="D4" s="11"/>
      <c r="E4" s="11">
        <f>(B4+D4)*$D$1</f>
        <v>7713.7725</v>
      </c>
      <c r="F4" s="78">
        <v>10000</v>
      </c>
      <c r="G4" s="14">
        <f>-E4+F4</f>
        <v>2286.2275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7" ht="30.75">
      <c r="A7" s="26"/>
    </row>
    <row r="8" ht="30.75">
      <c r="A8" s="26"/>
    </row>
    <row r="9" ht="30.75">
      <c r="A9" s="26"/>
    </row>
    <row r="10" ht="36.75" customHeight="1">
      <c r="A10" s="27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53.28</v>
      </c>
      <c r="E1" s="5" t="s">
        <v>2</v>
      </c>
    </row>
    <row r="2" s="5" customFormat="1" ht="14.25">
      <c r="A2" s="6" t="s">
        <v>414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200</v>
      </c>
      <c r="B4" s="12">
        <v>14.12</v>
      </c>
      <c r="C4" s="64"/>
      <c r="D4" s="11"/>
      <c r="E4" s="11">
        <f aca="true" t="shared" si="0" ref="E4:E10">(B4+D4)*$D$1</f>
        <v>752.3136</v>
      </c>
      <c r="F4" s="78">
        <v>735</v>
      </c>
      <c r="G4" s="14">
        <f aca="true" t="shared" si="1" ref="G4:G10">-E4+F4</f>
        <v>-17.31359999999995</v>
      </c>
      <c r="H4" s="74"/>
    </row>
    <row r="5" spans="1:7" s="10" customFormat="1" ht="14.25">
      <c r="A5" s="15" t="s">
        <v>188</v>
      </c>
      <c r="B5" s="63">
        <v>16.36</v>
      </c>
      <c r="C5" s="64"/>
      <c r="D5" s="11"/>
      <c r="E5" s="76">
        <f t="shared" si="0"/>
        <v>871.6608</v>
      </c>
      <c r="F5" s="79">
        <v>852</v>
      </c>
      <c r="G5" s="77">
        <f t="shared" si="1"/>
        <v>-19.660799999999995</v>
      </c>
    </row>
    <row r="6" spans="1:7" s="10" customFormat="1" ht="14.25">
      <c r="A6" s="15" t="s">
        <v>215</v>
      </c>
      <c r="B6" s="12">
        <v>38.99</v>
      </c>
      <c r="C6" s="12"/>
      <c r="D6" s="11"/>
      <c r="E6" s="11">
        <f t="shared" si="0"/>
        <v>2077.3872</v>
      </c>
      <c r="F6" s="79">
        <v>2031</v>
      </c>
      <c r="G6" s="14">
        <f t="shared" si="1"/>
        <v>-46.38720000000012</v>
      </c>
    </row>
    <row r="7" spans="1:7" s="10" customFormat="1" ht="14.25">
      <c r="A7" s="15" t="s">
        <v>415</v>
      </c>
      <c r="B7" s="63">
        <v>7.28</v>
      </c>
      <c r="C7" s="64"/>
      <c r="D7" s="11"/>
      <c r="E7" s="76">
        <f t="shared" si="0"/>
        <v>387.8784</v>
      </c>
      <c r="F7" s="79">
        <v>379</v>
      </c>
      <c r="G7" s="77">
        <f t="shared" si="1"/>
        <v>-8.8784</v>
      </c>
    </row>
    <row r="8" spans="1:7" s="10" customFormat="1" ht="14.25">
      <c r="A8" s="15" t="s">
        <v>355</v>
      </c>
      <c r="B8" s="63">
        <v>6.104</v>
      </c>
      <c r="C8" s="64"/>
      <c r="D8" s="11"/>
      <c r="E8" s="76">
        <f t="shared" si="0"/>
        <v>325.22112</v>
      </c>
      <c r="F8" s="79">
        <v>325</v>
      </c>
      <c r="G8" s="77">
        <f t="shared" si="1"/>
        <v>-0.22111999999998488</v>
      </c>
    </row>
    <row r="9" spans="1:8" s="10" customFormat="1" ht="28.5">
      <c r="A9" s="15" t="s">
        <v>116</v>
      </c>
      <c r="B9" s="12">
        <v>24.794</v>
      </c>
      <c r="C9" s="12"/>
      <c r="D9" s="11"/>
      <c r="E9" s="11">
        <f t="shared" si="0"/>
        <v>1321.02432</v>
      </c>
      <c r="F9" s="79">
        <f>1291+34</f>
        <v>1325</v>
      </c>
      <c r="G9" s="14">
        <f t="shared" si="1"/>
        <v>3.975680000000011</v>
      </c>
      <c r="H9" s="96" t="s">
        <v>462</v>
      </c>
    </row>
    <row r="10" spans="1:7" s="10" customFormat="1" ht="14.25">
      <c r="A10" s="15" t="s">
        <v>156</v>
      </c>
      <c r="B10" s="63">
        <v>7.78</v>
      </c>
      <c r="C10" s="64"/>
      <c r="D10" s="11"/>
      <c r="E10" s="76">
        <f t="shared" si="0"/>
        <v>414.51840000000004</v>
      </c>
      <c r="F10" s="79">
        <v>405</v>
      </c>
      <c r="G10" s="77">
        <f t="shared" si="1"/>
        <v>-9.518400000000042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6.75" customHeight="1">
      <c r="A14" s="26" t="s">
        <v>416</v>
      </c>
    </row>
    <row r="15" spans="1:2" ht="14.25">
      <c r="A15" s="87" t="s">
        <v>116</v>
      </c>
      <c r="B15" s="27" t="s">
        <v>419</v>
      </c>
    </row>
    <row r="16" ht="14.25">
      <c r="A16" s="27"/>
    </row>
  </sheetData>
  <sheetProtection/>
  <hyperlinks>
    <hyperlink ref="B15" r:id="rId1" display="http://ru.iherb.com/Desert-Essence-Travel-Size-Coconut-Hand-and-Body-Lotion-1-5-fl-oz-44-ml/59342 - p=1&amp;oos=0&amp;disc=0&amp;lc=ru-RU&amp;w=desert%20essence&amp;rc=109&amp;sr=4&amp;ic=3"/>
  </hyperlinks>
  <printOptions/>
  <pageMargins left="0.7" right="0.7" top="0.75" bottom="0.75" header="0.3" footer="0.3"/>
  <pageSetup orientation="portrait" paperSize="9"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4.25">
      <c r="A2" s="6" t="s">
        <v>414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18.81</v>
      </c>
      <c r="C4" s="64"/>
      <c r="D4" s="11"/>
      <c r="E4" s="11">
        <f aca="true" t="shared" si="0" ref="E4:E9">(B4+D4)*$D$1</f>
        <v>973.9817999999999</v>
      </c>
      <c r="F4" s="78">
        <v>984</v>
      </c>
      <c r="G4" s="14">
        <f aca="true" t="shared" si="1" ref="G4:G9">-E4+F4</f>
        <v>10.018200000000093</v>
      </c>
      <c r="H4" s="74"/>
    </row>
    <row r="5" spans="1:7" s="10" customFormat="1" ht="14.25">
      <c r="A5" s="15" t="s">
        <v>35</v>
      </c>
      <c r="B5" s="63">
        <v>32.55</v>
      </c>
      <c r="C5" s="64"/>
      <c r="D5" s="11"/>
      <c r="E5" s="76">
        <f t="shared" si="0"/>
        <v>1685.4389999999999</v>
      </c>
      <c r="F5" s="79">
        <v>1696</v>
      </c>
      <c r="G5" s="77">
        <f t="shared" si="1"/>
        <v>10.56100000000015</v>
      </c>
    </row>
    <row r="6" spans="1:7" s="10" customFormat="1" ht="14.25">
      <c r="A6" s="15" t="s">
        <v>126</v>
      </c>
      <c r="B6" s="12">
        <v>6.372</v>
      </c>
      <c r="C6" s="12"/>
      <c r="D6" s="11"/>
      <c r="E6" s="11">
        <f t="shared" si="0"/>
        <v>329.94216</v>
      </c>
      <c r="F6" s="79">
        <v>332</v>
      </c>
      <c r="G6" s="14">
        <f t="shared" si="1"/>
        <v>2.057839999999999</v>
      </c>
    </row>
    <row r="7" spans="1:7" s="10" customFormat="1" ht="14.25">
      <c r="A7" s="15" t="s">
        <v>387</v>
      </c>
      <c r="B7" s="63">
        <v>16.37</v>
      </c>
      <c r="C7" s="64"/>
      <c r="D7" s="11"/>
      <c r="E7" s="76">
        <f t="shared" si="0"/>
        <v>847.6386000000001</v>
      </c>
      <c r="F7" s="79">
        <f>21+853</f>
        <v>874</v>
      </c>
      <c r="G7" s="77">
        <f t="shared" si="1"/>
        <v>26.36139999999989</v>
      </c>
    </row>
    <row r="8" spans="1:7" s="10" customFormat="1" ht="14.25">
      <c r="A8" s="15" t="s">
        <v>384</v>
      </c>
      <c r="B8" s="12">
        <v>12</v>
      </c>
      <c r="C8" s="12"/>
      <c r="D8" s="11"/>
      <c r="E8" s="11">
        <f t="shared" si="0"/>
        <v>621.36</v>
      </c>
      <c r="F8" s="79">
        <v>561</v>
      </c>
      <c r="G8" s="14">
        <f t="shared" si="1"/>
        <v>-60.360000000000014</v>
      </c>
    </row>
    <row r="9" spans="1:7" s="10" customFormat="1" ht="14.25">
      <c r="A9" s="15" t="s">
        <v>229</v>
      </c>
      <c r="B9" s="63">
        <v>17.83</v>
      </c>
      <c r="C9" s="64"/>
      <c r="D9" s="11"/>
      <c r="E9" s="76">
        <f t="shared" si="0"/>
        <v>923.2374</v>
      </c>
      <c r="F9" s="79">
        <v>929</v>
      </c>
      <c r="G9" s="77">
        <f t="shared" si="1"/>
        <v>5.76260000000002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6.75" customHeight="1">
      <c r="A13" s="26" t="s">
        <v>416</v>
      </c>
    </row>
    <row r="14" spans="1:2" ht="14.25">
      <c r="A14" s="87" t="s">
        <v>229</v>
      </c>
      <c r="B14" s="27" t="s">
        <v>417</v>
      </c>
    </row>
    <row r="15" spans="1:2" ht="14.25">
      <c r="A15" s="87" t="s">
        <v>387</v>
      </c>
      <c r="B15" s="27" t="s">
        <v>418</v>
      </c>
    </row>
  </sheetData>
  <sheetProtection/>
  <hyperlinks>
    <hyperlink ref="B14" r:id="rId1" display="http://ru.iherb.com/FutureBiotics-VitOmegaMen-Mega-Multi-Flax-90-Veggie-Tabs/7299"/>
    <hyperlink ref="B15" r:id="rId2" display="http://ru.iherb.com/Optimum-Nutrition-100-Whey-Gold-Standard-Double-Rich-Chocolate-2-lb-909-g/27497"/>
  </hyperlinks>
  <printOptions/>
  <pageMargins left="0.7" right="0.7" top="0.75" bottom="0.75" header="0.3" footer="0.3"/>
  <pageSetup orientation="portrait" paperSize="9" r:id="rId3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4.25">
      <c r="A2" s="6" t="s">
        <v>414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223</v>
      </c>
      <c r="B4" s="63">
        <v>24.24</v>
      </c>
      <c r="C4" s="64"/>
      <c r="D4" s="11"/>
      <c r="E4" s="11">
        <f>(B4+D4)*$D$1</f>
        <v>1255.1471999999999</v>
      </c>
      <c r="F4" s="78">
        <v>1287</v>
      </c>
      <c r="G4" s="14">
        <f>-E4+F4</f>
        <v>31.852800000000116</v>
      </c>
      <c r="H4" s="74"/>
    </row>
    <row r="5" spans="1:7" s="10" customFormat="1" ht="14.25">
      <c r="A5" s="15" t="s">
        <v>373</v>
      </c>
      <c r="B5" s="63">
        <v>2.7</v>
      </c>
      <c r="C5" s="64"/>
      <c r="D5" s="11"/>
      <c r="E5" s="76">
        <f>(B5+D5)*$D$1</f>
        <v>139.806</v>
      </c>
      <c r="F5" s="79">
        <v>144</v>
      </c>
      <c r="G5" s="77">
        <f>-E5+F5</f>
        <v>4.193999999999988</v>
      </c>
    </row>
    <row r="6" spans="1:7" s="10" customFormat="1" ht="14.25">
      <c r="A6" s="15" t="s">
        <v>169</v>
      </c>
      <c r="B6" s="12">
        <v>16.63</v>
      </c>
      <c r="C6" s="12"/>
      <c r="D6" s="11"/>
      <c r="E6" s="11">
        <f>(B6+D6)*$D$1</f>
        <v>861.1014</v>
      </c>
      <c r="F6" s="79">
        <v>900</v>
      </c>
      <c r="G6" s="14">
        <f>-E6+F6</f>
        <v>38.89859999999999</v>
      </c>
    </row>
    <row r="7" spans="1:7" s="10" customFormat="1" ht="14.25">
      <c r="A7" s="15" t="s">
        <v>382</v>
      </c>
      <c r="B7" s="63">
        <v>2.7</v>
      </c>
      <c r="C7" s="64"/>
      <c r="D7" s="11"/>
      <c r="E7" s="76">
        <f>(B7+D7)*$D$1</f>
        <v>139.806</v>
      </c>
      <c r="F7" s="79">
        <v>144</v>
      </c>
      <c r="G7" s="77">
        <f>-E7+F7</f>
        <v>4.193999999999988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4.25">
      <c r="A2" s="6" t="s">
        <v>421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23.84</v>
      </c>
      <c r="C4" s="64"/>
      <c r="D4" s="11"/>
      <c r="E4" s="11">
        <f aca="true" t="shared" si="0" ref="E4:E11">(B4+D4)*$D$1</f>
        <v>1234.912</v>
      </c>
      <c r="F4" s="78"/>
      <c r="G4" s="14">
        <f aca="true" t="shared" si="1" ref="G4:G11">-E4+F4</f>
        <v>-1234.912</v>
      </c>
      <c r="H4" s="74"/>
    </row>
    <row r="5" spans="1:7" s="10" customFormat="1" ht="14.25">
      <c r="A5" s="15" t="s">
        <v>194</v>
      </c>
      <c r="B5" s="12">
        <v>34.05</v>
      </c>
      <c r="C5" s="12"/>
      <c r="D5" s="11"/>
      <c r="E5" s="11">
        <f t="shared" si="0"/>
        <v>1763.7899999999997</v>
      </c>
      <c r="F5" s="79">
        <v>1711</v>
      </c>
      <c r="G5" s="14">
        <f t="shared" si="1"/>
        <v>-52.789999999999736</v>
      </c>
    </row>
    <row r="6" spans="1:7" s="10" customFormat="1" ht="14.25">
      <c r="A6" s="15" t="s">
        <v>178</v>
      </c>
      <c r="B6" s="63">
        <v>16</v>
      </c>
      <c r="C6" s="64"/>
      <c r="D6" s="11"/>
      <c r="E6" s="76">
        <f t="shared" si="0"/>
        <v>828.8</v>
      </c>
      <c r="F6" s="79">
        <v>781</v>
      </c>
      <c r="G6" s="77">
        <f t="shared" si="1"/>
        <v>-47.799999999999955</v>
      </c>
    </row>
    <row r="7" spans="1:8" s="10" customFormat="1" ht="14.25">
      <c r="A7" s="11" t="s">
        <v>93</v>
      </c>
      <c r="B7" s="63">
        <v>30.56</v>
      </c>
      <c r="C7" s="64"/>
      <c r="D7" s="11"/>
      <c r="E7" s="11">
        <f t="shared" si="0"/>
        <v>1583.0079999999998</v>
      </c>
      <c r="F7" s="78">
        <v>1552</v>
      </c>
      <c r="G7" s="14">
        <f t="shared" si="1"/>
        <v>-31.00799999999981</v>
      </c>
      <c r="H7" s="74"/>
    </row>
    <row r="8" spans="1:7" s="10" customFormat="1" ht="14.25">
      <c r="A8" s="15" t="s">
        <v>156</v>
      </c>
      <c r="B8" s="63">
        <v>4.19</v>
      </c>
      <c r="C8" s="64"/>
      <c r="D8" s="11"/>
      <c r="E8" s="76">
        <f t="shared" si="0"/>
        <v>217.042</v>
      </c>
      <c r="F8" s="79">
        <v>226</v>
      </c>
      <c r="G8" s="77">
        <f t="shared" si="1"/>
        <v>8.957999999999998</v>
      </c>
    </row>
    <row r="9" spans="1:7" s="10" customFormat="1" ht="14.25">
      <c r="A9" s="15" t="s">
        <v>382</v>
      </c>
      <c r="B9" s="12">
        <v>6.87</v>
      </c>
      <c r="C9" s="12"/>
      <c r="D9" s="11"/>
      <c r="E9" s="11">
        <f t="shared" si="0"/>
        <v>355.866</v>
      </c>
      <c r="F9" s="79"/>
      <c r="G9" s="14">
        <f t="shared" si="1"/>
        <v>-355.866</v>
      </c>
    </row>
    <row r="10" spans="1:7" s="10" customFormat="1" ht="14.25">
      <c r="A10" s="15" t="s">
        <v>210</v>
      </c>
      <c r="B10" s="63">
        <v>5.83</v>
      </c>
      <c r="C10" s="64"/>
      <c r="D10" s="11"/>
      <c r="E10" s="76">
        <f t="shared" si="0"/>
        <v>301.99399999999997</v>
      </c>
      <c r="F10" s="89">
        <v>300</v>
      </c>
      <c r="G10" s="77">
        <f t="shared" si="1"/>
        <v>-1.9939999999999714</v>
      </c>
    </row>
    <row r="11" spans="1:7" s="10" customFormat="1" ht="14.25">
      <c r="A11" s="15" t="s">
        <v>422</v>
      </c>
      <c r="B11" s="63">
        <v>29.8</v>
      </c>
      <c r="C11" s="64"/>
      <c r="D11" s="11"/>
      <c r="E11" s="76">
        <f t="shared" si="0"/>
        <v>1543.6399999999999</v>
      </c>
      <c r="F11" s="85">
        <v>1536</v>
      </c>
      <c r="G11" s="77">
        <f t="shared" si="1"/>
        <v>-7.639999999999873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5" ht="30.75">
      <c r="A15" s="26"/>
    </row>
    <row r="16" ht="30.75">
      <c r="A16" s="26"/>
    </row>
    <row r="17" ht="36.75" customHeight="1">
      <c r="A17" s="26"/>
    </row>
    <row r="18" ht="14.25">
      <c r="B18" s="27"/>
    </row>
    <row r="19" ht="14.25">
      <c r="B19" s="27"/>
    </row>
  </sheetData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4.25">
      <c r="A2" s="6" t="s">
        <v>421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63">
        <v>23.58</v>
      </c>
      <c r="C4" s="64"/>
      <c r="D4" s="11"/>
      <c r="E4" s="11">
        <f aca="true" t="shared" si="0" ref="E4:E9">(B4+D4)*$D$1</f>
        <v>1221.4439999999997</v>
      </c>
      <c r="F4" s="79">
        <v>1253</v>
      </c>
      <c r="G4" s="14">
        <f aca="true" t="shared" si="1" ref="G4:G9">-E4+F4</f>
        <v>31.556000000000267</v>
      </c>
      <c r="H4" s="74"/>
    </row>
    <row r="5" spans="1:7" s="10" customFormat="1" ht="14.25">
      <c r="A5" s="15" t="s">
        <v>411</v>
      </c>
      <c r="B5" s="63">
        <v>48.08</v>
      </c>
      <c r="C5" s="64"/>
      <c r="D5" s="11"/>
      <c r="E5" s="76">
        <f t="shared" si="0"/>
        <v>2490.544</v>
      </c>
      <c r="F5" s="79">
        <v>2478</v>
      </c>
      <c r="G5" s="77">
        <f t="shared" si="1"/>
        <v>-12.543999999999869</v>
      </c>
    </row>
    <row r="6" spans="1:7" s="10" customFormat="1" ht="14.25">
      <c r="A6" s="15" t="s">
        <v>387</v>
      </c>
      <c r="B6" s="12">
        <v>48.66</v>
      </c>
      <c r="C6" s="12"/>
      <c r="D6" s="11"/>
      <c r="E6" s="11">
        <f t="shared" si="0"/>
        <v>2520.5879999999997</v>
      </c>
      <c r="F6" s="79">
        <f>2500+100</f>
        <v>2600</v>
      </c>
      <c r="G6" s="14">
        <f t="shared" si="1"/>
        <v>79.41200000000026</v>
      </c>
    </row>
    <row r="7" spans="1:7" s="10" customFormat="1" ht="14.25">
      <c r="A7" s="15" t="s">
        <v>219</v>
      </c>
      <c r="B7" s="63">
        <v>9.98</v>
      </c>
      <c r="C7" s="64"/>
      <c r="D7" s="11"/>
      <c r="E7" s="76">
        <f t="shared" si="0"/>
        <v>516.9639999999999</v>
      </c>
      <c r="F7" s="79">
        <v>508</v>
      </c>
      <c r="G7" s="77">
        <f t="shared" si="1"/>
        <v>-8.963999999999942</v>
      </c>
    </row>
    <row r="8" spans="1:8" s="10" customFormat="1" ht="14.25">
      <c r="A8" s="11" t="s">
        <v>49</v>
      </c>
      <c r="B8" s="63">
        <v>1.95</v>
      </c>
      <c r="C8" s="64"/>
      <c r="D8" s="11"/>
      <c r="E8" s="11">
        <f t="shared" si="0"/>
        <v>101.00999999999999</v>
      </c>
      <c r="F8" s="78">
        <v>100</v>
      </c>
      <c r="G8" s="14">
        <f t="shared" si="1"/>
        <v>-1.009999999999991</v>
      </c>
      <c r="H8" s="74"/>
    </row>
    <row r="9" spans="1:7" s="10" customFormat="1" ht="14.25">
      <c r="A9" s="15" t="s">
        <v>423</v>
      </c>
      <c r="B9" s="63">
        <v>13.5</v>
      </c>
      <c r="C9" s="64"/>
      <c r="D9" s="11"/>
      <c r="E9" s="76">
        <f t="shared" si="0"/>
        <v>699.3</v>
      </c>
      <c r="F9" s="79">
        <v>688</v>
      </c>
      <c r="G9" s="77">
        <f t="shared" si="1"/>
        <v>-11.299999999999955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</v>
      </c>
      <c r="E1" s="5" t="s">
        <v>2</v>
      </c>
    </row>
    <row r="2" s="5" customFormat="1" ht="14.25">
      <c r="A2" s="6" t="s">
        <v>426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373</v>
      </c>
      <c r="B4" s="63">
        <v>7.902</v>
      </c>
      <c r="C4" s="64"/>
      <c r="D4" s="11"/>
      <c r="E4" s="11">
        <f aca="true" t="shared" si="0" ref="E4:E10">(B4+D4)*$D$1</f>
        <v>437.13864</v>
      </c>
      <c r="F4" s="79">
        <v>415</v>
      </c>
      <c r="G4" s="14">
        <f aca="true" t="shared" si="1" ref="G4:G10">-E4+F4</f>
        <v>-22.13864000000001</v>
      </c>
      <c r="H4" s="74"/>
    </row>
    <row r="5" spans="1:7" s="10" customFormat="1" ht="14.25">
      <c r="A5" s="15" t="s">
        <v>409</v>
      </c>
      <c r="B5" s="63">
        <v>7.283</v>
      </c>
      <c r="C5" s="64"/>
      <c r="D5" s="11"/>
      <c r="E5" s="76">
        <f t="shared" si="0"/>
        <v>402.89556000000005</v>
      </c>
      <c r="F5" s="79">
        <f>352+20</f>
        <v>372</v>
      </c>
      <c r="G5" s="77">
        <f t="shared" si="1"/>
        <v>-30.895560000000046</v>
      </c>
    </row>
    <row r="6" spans="1:7" s="10" customFormat="1" ht="14.25">
      <c r="A6" s="15" t="s">
        <v>382</v>
      </c>
      <c r="B6" s="63">
        <v>7.902</v>
      </c>
      <c r="C6" s="12"/>
      <c r="D6" s="11"/>
      <c r="E6" s="11">
        <f t="shared" si="0"/>
        <v>437.13864</v>
      </c>
      <c r="F6" s="79">
        <f>769+19</f>
        <v>788</v>
      </c>
      <c r="G6" s="14">
        <f t="shared" si="1"/>
        <v>350.86136</v>
      </c>
    </row>
    <row r="7" spans="1:7" s="10" customFormat="1" ht="14.25">
      <c r="A7" s="15" t="s">
        <v>383</v>
      </c>
      <c r="B7" s="63">
        <v>15.89</v>
      </c>
      <c r="C7" s="64"/>
      <c r="D7" s="11"/>
      <c r="E7" s="76">
        <f t="shared" si="0"/>
        <v>879.0348</v>
      </c>
      <c r="F7" s="79">
        <v>835</v>
      </c>
      <c r="G7" s="77">
        <f t="shared" si="1"/>
        <v>-44.03480000000002</v>
      </c>
    </row>
    <row r="8" spans="1:8" s="10" customFormat="1" ht="14.25">
      <c r="A8" s="11" t="s">
        <v>58</v>
      </c>
      <c r="B8" s="63">
        <v>14.21</v>
      </c>
      <c r="C8" s="64"/>
      <c r="D8" s="11"/>
      <c r="E8" s="11">
        <f t="shared" si="0"/>
        <v>786.0972</v>
      </c>
      <c r="F8" s="78">
        <f>747+39</f>
        <v>786</v>
      </c>
      <c r="G8" s="14">
        <f t="shared" si="1"/>
        <v>-0.09720000000004347</v>
      </c>
      <c r="H8" s="74"/>
    </row>
    <row r="9" spans="1:7" s="10" customFormat="1" ht="14.25">
      <c r="A9" s="15" t="s">
        <v>29</v>
      </c>
      <c r="B9" s="63">
        <v>1.95</v>
      </c>
      <c r="C9" s="64"/>
      <c r="D9" s="11"/>
      <c r="E9" s="76">
        <f t="shared" si="0"/>
        <v>107.874</v>
      </c>
      <c r="F9" s="79">
        <v>102</v>
      </c>
      <c r="G9" s="77">
        <f t="shared" si="1"/>
        <v>-5.873999999999995</v>
      </c>
    </row>
    <row r="10" spans="1:7" s="10" customFormat="1" ht="14.25">
      <c r="A10" s="15" t="s">
        <v>355</v>
      </c>
      <c r="B10" s="12">
        <v>6.046</v>
      </c>
      <c r="C10" s="12"/>
      <c r="D10" s="11"/>
      <c r="E10" s="11">
        <f t="shared" si="0"/>
        <v>334.46472</v>
      </c>
      <c r="F10" s="79">
        <v>318</v>
      </c>
      <c r="G10" s="14">
        <f t="shared" si="1"/>
        <v>-16.46472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55.323</v>
      </c>
      <c r="E1" s="5" t="s">
        <v>2</v>
      </c>
    </row>
    <row r="2" s="5" customFormat="1" ht="14.25">
      <c r="A2" s="6" t="s">
        <v>426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427</v>
      </c>
      <c r="B4" s="63">
        <v>23.6</v>
      </c>
      <c r="C4" s="64"/>
      <c r="D4" s="11"/>
      <c r="E4" s="11">
        <f aca="true" t="shared" si="0" ref="E4:E11">(B4+D4)*$D$1</f>
        <v>1305.6228</v>
      </c>
      <c r="F4" s="78">
        <f>1240+66</f>
        <v>1306</v>
      </c>
      <c r="G4" s="14">
        <f aca="true" t="shared" si="1" ref="G4:G11">-E4+F4</f>
        <v>0.3771999999999025</v>
      </c>
      <c r="H4" s="74" t="s">
        <v>466</v>
      </c>
    </row>
    <row r="5" spans="1:7" s="10" customFormat="1" ht="14.25">
      <c r="A5" s="15" t="s">
        <v>381</v>
      </c>
      <c r="B5" s="63">
        <v>12.492</v>
      </c>
      <c r="C5" s="64"/>
      <c r="D5" s="11"/>
      <c r="E5" s="76">
        <f t="shared" si="0"/>
        <v>691.094916</v>
      </c>
      <c r="F5" s="79">
        <v>1885</v>
      </c>
      <c r="G5" s="77">
        <f t="shared" si="1"/>
        <v>1193.905084</v>
      </c>
    </row>
    <row r="6" spans="1:7" s="10" customFormat="1" ht="14.25">
      <c r="A6" s="15" t="s">
        <v>270</v>
      </c>
      <c r="B6" s="12">
        <v>8</v>
      </c>
      <c r="C6" s="12"/>
      <c r="D6" s="11"/>
      <c r="E6" s="11">
        <f t="shared" si="0"/>
        <v>442.584</v>
      </c>
      <c r="F6" s="79">
        <f>420+23</f>
        <v>443</v>
      </c>
      <c r="G6" s="14">
        <f t="shared" si="1"/>
        <v>0.4159999999999968</v>
      </c>
    </row>
    <row r="7" spans="1:7" s="10" customFormat="1" ht="14.25">
      <c r="A7" s="15" t="s">
        <v>428</v>
      </c>
      <c r="B7" s="12">
        <v>6.046</v>
      </c>
      <c r="C7" s="64"/>
      <c r="D7" s="11"/>
      <c r="E7" s="76">
        <f t="shared" si="0"/>
        <v>334.482858</v>
      </c>
      <c r="F7" s="79">
        <f>318+16</f>
        <v>334</v>
      </c>
      <c r="G7" s="77">
        <f t="shared" si="1"/>
        <v>-0.48285800000002155</v>
      </c>
    </row>
    <row r="8" spans="1:8" s="10" customFormat="1" ht="14.25">
      <c r="A8" s="11" t="s">
        <v>384</v>
      </c>
      <c r="B8" s="63">
        <v>11</v>
      </c>
      <c r="C8" s="64"/>
      <c r="D8" s="11"/>
      <c r="E8" s="11">
        <f t="shared" si="0"/>
        <v>608.553</v>
      </c>
      <c r="F8" s="78">
        <f>580+140</f>
        <v>720</v>
      </c>
      <c r="G8" s="14">
        <f t="shared" si="1"/>
        <v>111.447</v>
      </c>
      <c r="H8" s="74"/>
    </row>
    <row r="9" spans="1:7" s="10" customFormat="1" ht="14.25">
      <c r="A9" s="15" t="s">
        <v>429</v>
      </c>
      <c r="B9" s="12">
        <v>6.046</v>
      </c>
      <c r="C9" s="64"/>
      <c r="D9" s="11"/>
      <c r="E9" s="76">
        <f t="shared" si="0"/>
        <v>334.482858</v>
      </c>
      <c r="F9" s="79">
        <f>318+16</f>
        <v>334</v>
      </c>
      <c r="G9" s="77">
        <f t="shared" si="1"/>
        <v>-0.48285800000002155</v>
      </c>
    </row>
    <row r="10" spans="1:7" s="10" customFormat="1" ht="14.25">
      <c r="A10" s="15" t="s">
        <v>430</v>
      </c>
      <c r="B10" s="12">
        <v>6.046</v>
      </c>
      <c r="C10" s="12"/>
      <c r="D10" s="11"/>
      <c r="E10" s="11">
        <f t="shared" si="0"/>
        <v>334.482858</v>
      </c>
      <c r="F10" s="79">
        <f>318+20</f>
        <v>338</v>
      </c>
      <c r="G10" s="14">
        <f t="shared" si="1"/>
        <v>3.5171419999999785</v>
      </c>
    </row>
    <row r="11" spans="1:7" s="10" customFormat="1" ht="14.25">
      <c r="A11" s="15" t="s">
        <v>431</v>
      </c>
      <c r="B11" s="63">
        <v>1.95</v>
      </c>
      <c r="C11" s="64"/>
      <c r="D11" s="11"/>
      <c r="E11" s="76">
        <f t="shared" si="0"/>
        <v>107.87985</v>
      </c>
      <c r="F11" s="79">
        <v>102</v>
      </c>
      <c r="G11" s="77">
        <f t="shared" si="1"/>
        <v>-5.879850000000005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5" ht="36.75" customHeight="1">
      <c r="A15" s="26" t="s">
        <v>416</v>
      </c>
    </row>
    <row r="16" spans="1:2" ht="14.25">
      <c r="A16" s="11" t="s">
        <v>427</v>
      </c>
      <c r="B16" s="27" t="s">
        <v>432</v>
      </c>
    </row>
    <row r="17" ht="14.25">
      <c r="B17" s="27"/>
    </row>
  </sheetData>
  <sheetProtection/>
  <hyperlinks>
    <hyperlink ref="B16" r:id="rId1" display="http://ru.iherb.com/iHerb-Promotional-Materials-Day-Night-Pill-Organizer/57481 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4.25">
      <c r="A2" s="6" t="s">
        <v>436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42.91</v>
      </c>
      <c r="C4" s="64"/>
      <c r="D4" s="11"/>
      <c r="E4" s="11">
        <f>(B4+D4)*$D$1</f>
        <v>2210.2940999999996</v>
      </c>
      <c r="F4" s="78">
        <v>2070</v>
      </c>
      <c r="G4" s="14">
        <f>-E4+F4</f>
        <v>-140.29409999999962</v>
      </c>
      <c r="H4" s="74"/>
    </row>
    <row r="5" spans="1:7" s="10" customFormat="1" ht="14.25">
      <c r="A5" s="15" t="s">
        <v>437</v>
      </c>
      <c r="B5" s="63">
        <v>38.09</v>
      </c>
      <c r="C5" s="64"/>
      <c r="D5" s="11"/>
      <c r="E5" s="76">
        <f>(B5+D5)*$D$1</f>
        <v>1962.0159</v>
      </c>
      <c r="F5" s="79">
        <v>2005</v>
      </c>
      <c r="G5" s="77">
        <f>-E5+F5</f>
        <v>42.9840999999999</v>
      </c>
    </row>
    <row r="6" spans="1:7" s="10" customFormat="1" ht="14.25">
      <c r="A6" s="15" t="s">
        <v>223</v>
      </c>
      <c r="B6" s="12">
        <v>9.34</v>
      </c>
      <c r="C6" s="12"/>
      <c r="D6" s="11"/>
      <c r="E6" s="11">
        <f>(B6+D6)*$D$1</f>
        <v>481.10339999999997</v>
      </c>
      <c r="F6" s="79">
        <v>451</v>
      </c>
      <c r="G6" s="14">
        <f>-E6+F6</f>
        <v>-30.103399999999965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0.75">
      <c r="A10" s="26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304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306</v>
      </c>
      <c r="B4" s="12">
        <v>15.28</v>
      </c>
      <c r="C4" s="12">
        <v>0.59</v>
      </c>
      <c r="D4" s="11">
        <f aca="true" t="shared" si="0" ref="D4:D9">C4/$C$10*$D$10</f>
        <v>1.194331983805668</v>
      </c>
      <c r="E4" s="11">
        <f aca="true" t="shared" si="1" ref="E4:E9">(B4+D4)*$D$1</f>
        <v>1095.0488469635627</v>
      </c>
      <c r="F4" s="13">
        <f>953+145</f>
        <v>1098</v>
      </c>
      <c r="G4" s="14">
        <f aca="true" t="shared" si="2" ref="G4:G9">-E4+F4</f>
        <v>2.95115303643729</v>
      </c>
    </row>
    <row r="5" spans="1:7" s="10" customFormat="1" ht="14.25">
      <c r="A5" s="15" t="s">
        <v>191</v>
      </c>
      <c r="B5" s="16">
        <v>4.63</v>
      </c>
      <c r="C5" s="17">
        <v>0.14</v>
      </c>
      <c r="D5" s="11">
        <f t="shared" si="0"/>
        <v>0.28340080971659926</v>
      </c>
      <c r="E5" s="11">
        <f t="shared" si="1"/>
        <v>326.5937518218623</v>
      </c>
      <c r="F5" s="13">
        <f>283+44</f>
        <v>327</v>
      </c>
      <c r="G5" s="14">
        <f t="shared" si="2"/>
        <v>0.4062481781376732</v>
      </c>
    </row>
    <row r="6" spans="1:7" s="10" customFormat="1" ht="14.25">
      <c r="A6" s="11" t="s">
        <v>126</v>
      </c>
      <c r="B6" s="16">
        <v>9.39</v>
      </c>
      <c r="C6" s="17">
        <v>0.37</v>
      </c>
      <c r="D6" s="11">
        <f t="shared" si="0"/>
        <v>0.7489878542510122</v>
      </c>
      <c r="E6" s="11">
        <f t="shared" si="1"/>
        <v>673.9385226720649</v>
      </c>
      <c r="F6" s="13">
        <v>1114</v>
      </c>
      <c r="G6" s="14">
        <f t="shared" si="2"/>
        <v>440.0614773279351</v>
      </c>
    </row>
    <row r="7" spans="1:7" s="10" customFormat="1" ht="14.25">
      <c r="A7" s="11" t="s">
        <v>21</v>
      </c>
      <c r="B7" s="16">
        <v>14.99</v>
      </c>
      <c r="C7" s="17">
        <v>0.17</v>
      </c>
      <c r="D7" s="11">
        <f t="shared" si="0"/>
        <v>0.3441295546558705</v>
      </c>
      <c r="E7" s="11">
        <f t="shared" si="1"/>
        <v>1019.2595914979757</v>
      </c>
      <c r="F7" s="13">
        <f>796+224</f>
        <v>1020</v>
      </c>
      <c r="G7" s="14">
        <f t="shared" si="2"/>
        <v>0.7404085020242519</v>
      </c>
    </row>
    <row r="8" spans="1:8" s="10" customFormat="1" ht="72">
      <c r="A8" s="11" t="s">
        <v>35</v>
      </c>
      <c r="B8" s="16">
        <v>12.35</v>
      </c>
      <c r="C8" s="17">
        <v>0.16</v>
      </c>
      <c r="D8" s="11">
        <f t="shared" si="0"/>
        <v>0.3238866396761134</v>
      </c>
      <c r="E8" s="11">
        <f t="shared" si="1"/>
        <v>842.4332449392712</v>
      </c>
      <c r="F8" s="13">
        <f>765+77</f>
        <v>842</v>
      </c>
      <c r="G8" s="14">
        <f t="shared" si="2"/>
        <v>-0.43324493927116237</v>
      </c>
      <c r="H8" s="73" t="s">
        <v>328</v>
      </c>
    </row>
    <row r="9" spans="1:7" s="10" customFormat="1" ht="14.25">
      <c r="A9" s="11" t="s">
        <v>204</v>
      </c>
      <c r="B9" s="18">
        <v>72.37</v>
      </c>
      <c r="C9" s="19">
        <v>3.51</v>
      </c>
      <c r="D9" s="11">
        <f t="shared" si="0"/>
        <v>7.105263157894736</v>
      </c>
      <c r="E9" s="11">
        <f t="shared" si="1"/>
        <v>5282.7207421052635</v>
      </c>
      <c r="F9" s="13">
        <f>4582+701</f>
        <v>5283</v>
      </c>
      <c r="G9" s="14">
        <f t="shared" si="2"/>
        <v>0.27925789473647455</v>
      </c>
    </row>
    <row r="10" spans="1:7" s="25" customFormat="1" ht="14.25">
      <c r="A10" s="24"/>
      <c r="B10" s="24"/>
      <c r="C10" s="24">
        <f>SUM(C4:C9)</f>
        <v>4.9399999999999995</v>
      </c>
      <c r="D10" s="24">
        <v>10</v>
      </c>
      <c r="E10" s="24"/>
      <c r="F10" s="24"/>
      <c r="G10" s="24"/>
    </row>
    <row r="13" ht="30.75">
      <c r="A13" s="26" t="s">
        <v>307</v>
      </c>
    </row>
    <row r="14" ht="14.25">
      <c r="A14" s="11" t="s">
        <v>204</v>
      </c>
    </row>
    <row r="15" ht="14.25">
      <c r="A15" s="27" t="s">
        <v>308</v>
      </c>
    </row>
  </sheetData>
  <sheetProtection/>
  <hyperlinks>
    <hyperlink ref="A15" r:id="rId1" display="http://ru.iherb.com/Sundesa-Blender-Bottle-with-Blender-Ball-Color-Green-28-oz-Bottle/23575"/>
  </hyperlink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B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4.25">
      <c r="A2" s="6" t="s">
        <v>436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4.81</v>
      </c>
      <c r="C4" s="64"/>
      <c r="D4" s="11"/>
      <c r="E4" s="11">
        <f aca="true" t="shared" si="0" ref="E4:E10">(B4+D4)*$D$1</f>
        <v>247.76309999999998</v>
      </c>
      <c r="F4" s="78">
        <v>254</v>
      </c>
      <c r="G4" s="14">
        <f aca="true" t="shared" si="1" ref="G4:G10">-E4+F4</f>
        <v>6.23690000000002</v>
      </c>
      <c r="H4" s="74"/>
    </row>
    <row r="5" spans="1:7" s="10" customFormat="1" ht="14.25">
      <c r="A5" s="15" t="s">
        <v>189</v>
      </c>
      <c r="B5" s="63">
        <v>16.77</v>
      </c>
      <c r="C5" s="64"/>
      <c r="D5" s="11"/>
      <c r="E5" s="76">
        <f t="shared" si="0"/>
        <v>863.8226999999999</v>
      </c>
      <c r="F5" s="79">
        <v>882</v>
      </c>
      <c r="G5" s="77">
        <f t="shared" si="1"/>
        <v>18.17730000000006</v>
      </c>
    </row>
    <row r="6" spans="1:7" s="10" customFormat="1" ht="14.25">
      <c r="A6" s="15" t="s">
        <v>383</v>
      </c>
      <c r="B6" s="12">
        <v>5.47</v>
      </c>
      <c r="C6" s="12"/>
      <c r="D6" s="11"/>
      <c r="E6" s="11">
        <f t="shared" si="0"/>
        <v>281.75969999999995</v>
      </c>
      <c r="F6" s="79">
        <v>288</v>
      </c>
      <c r="G6" s="14">
        <f t="shared" si="1"/>
        <v>6.2403000000000475</v>
      </c>
    </row>
    <row r="7" spans="1:7" s="10" customFormat="1" ht="14.25">
      <c r="A7" s="15" t="s">
        <v>214</v>
      </c>
      <c r="B7" s="63">
        <v>11.46</v>
      </c>
      <c r="C7" s="64"/>
      <c r="D7" s="11"/>
      <c r="E7" s="76">
        <f t="shared" si="0"/>
        <v>590.3046</v>
      </c>
      <c r="F7" s="79">
        <v>603</v>
      </c>
      <c r="G7" s="77">
        <f t="shared" si="1"/>
        <v>12.69539999999995</v>
      </c>
    </row>
    <row r="8" spans="1:8" s="10" customFormat="1" ht="14.25">
      <c r="A8" s="11" t="s">
        <v>430</v>
      </c>
      <c r="B8" s="63">
        <v>8.09</v>
      </c>
      <c r="C8" s="64"/>
      <c r="D8" s="11"/>
      <c r="E8" s="11">
        <f t="shared" si="0"/>
        <v>416.7159</v>
      </c>
      <c r="F8" s="78">
        <v>426</v>
      </c>
      <c r="G8" s="14">
        <f t="shared" si="1"/>
        <v>9.284100000000024</v>
      </c>
      <c r="H8" s="74"/>
    </row>
    <row r="9" spans="1:8" s="10" customFormat="1" ht="28.5">
      <c r="A9" s="15" t="s">
        <v>438</v>
      </c>
      <c r="B9" s="63">
        <v>95.5</v>
      </c>
      <c r="C9" s="64"/>
      <c r="D9" s="11"/>
      <c r="E9" s="76">
        <f t="shared" si="0"/>
        <v>4919.205</v>
      </c>
      <c r="F9" s="79">
        <f>5026-80</f>
        <v>4946</v>
      </c>
      <c r="G9" s="77">
        <f t="shared" si="1"/>
        <v>26.795000000000073</v>
      </c>
      <c r="H9" s="10" t="s">
        <v>517</v>
      </c>
    </row>
    <row r="10" spans="1:7" s="10" customFormat="1" ht="14.25">
      <c r="A10" s="15" t="s">
        <v>194</v>
      </c>
      <c r="B10" s="63">
        <v>11.8</v>
      </c>
      <c r="C10" s="12"/>
      <c r="D10" s="11"/>
      <c r="E10" s="11">
        <f t="shared" si="0"/>
        <v>607.818</v>
      </c>
      <c r="F10" s="79">
        <v>630</v>
      </c>
      <c r="G10" s="14">
        <f t="shared" si="1"/>
        <v>22.182000000000016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42121</v>
      </c>
      <c r="C1" s="3" t="s">
        <v>1</v>
      </c>
      <c r="D1" s="4">
        <v>53.612</v>
      </c>
      <c r="E1" s="5" t="s">
        <v>2</v>
      </c>
    </row>
    <row r="2" s="5" customFormat="1" ht="14.25">
      <c r="A2" s="6" t="s">
        <v>441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442</v>
      </c>
      <c r="B4" s="63">
        <v>26.3</v>
      </c>
      <c r="C4" s="64"/>
      <c r="D4" s="11"/>
      <c r="E4" s="11">
        <f>(B4+D4)*$D$1</f>
        <v>1409.9956000000002</v>
      </c>
      <c r="F4" s="78">
        <f>1670-260</f>
        <v>1410</v>
      </c>
      <c r="G4" s="14">
        <f>-E4+F4</f>
        <v>0.004399999999805004</v>
      </c>
      <c r="H4" s="74"/>
    </row>
    <row r="5" spans="1:7" s="10" customFormat="1" ht="14.25">
      <c r="A5" s="15" t="s">
        <v>149</v>
      </c>
      <c r="B5" s="63">
        <v>25.93</v>
      </c>
      <c r="C5" s="64"/>
      <c r="D5" s="11"/>
      <c r="E5" s="76">
        <f>(B5+D5)*$D$1</f>
        <v>1390.15916</v>
      </c>
      <c r="F5" s="79">
        <v>1323</v>
      </c>
      <c r="G5" s="77">
        <f>-E5+F5</f>
        <v>-67.15915999999993</v>
      </c>
    </row>
    <row r="6" spans="1:7" s="10" customFormat="1" ht="14.25">
      <c r="A6" s="15" t="s">
        <v>355</v>
      </c>
      <c r="B6" s="12">
        <v>12.88</v>
      </c>
      <c r="C6" s="12"/>
      <c r="D6" s="11"/>
      <c r="E6" s="11">
        <f>(B6+D6)*$D$1</f>
        <v>690.5225600000001</v>
      </c>
      <c r="F6" s="79">
        <v>699</v>
      </c>
      <c r="G6" s="14">
        <f>-E6+F6</f>
        <v>8.477439999999888</v>
      </c>
    </row>
    <row r="7" spans="1:7" s="10" customFormat="1" ht="14.25">
      <c r="A7" s="15" t="s">
        <v>150</v>
      </c>
      <c r="B7" s="63">
        <v>3.18</v>
      </c>
      <c r="C7" s="64"/>
      <c r="D7" s="11"/>
      <c r="E7" s="76">
        <f>(B7+D7)*$D$1</f>
        <v>170.48616</v>
      </c>
      <c r="F7" s="79">
        <v>160</v>
      </c>
      <c r="G7" s="77">
        <f>-E7+F7</f>
        <v>-10.486160000000012</v>
      </c>
    </row>
    <row r="8" spans="1:8" s="10" customFormat="1" ht="14.25">
      <c r="A8" s="11" t="s">
        <v>373</v>
      </c>
      <c r="B8" s="63">
        <v>5.92</v>
      </c>
      <c r="C8" s="64"/>
      <c r="D8" s="11"/>
      <c r="E8" s="11">
        <f>(B8+D8)*$D$1</f>
        <v>317.38304</v>
      </c>
      <c r="F8" s="78">
        <v>303</v>
      </c>
      <c r="G8" s="14">
        <f>-E8+F8</f>
        <v>-14.383039999999994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0" spans="1:7" ht="14.25">
      <c r="A10" s="81"/>
      <c r="B10" s="81"/>
      <c r="C10" s="81"/>
      <c r="D10" s="81"/>
      <c r="E10" s="81"/>
      <c r="F10" s="81"/>
      <c r="G10" s="81"/>
    </row>
    <row r="11" spans="1:7" ht="14.25">
      <c r="A11" s="81"/>
      <c r="B11" s="81"/>
      <c r="C11" s="81"/>
      <c r="D11" s="81"/>
      <c r="E11" s="81"/>
      <c r="F11" s="81"/>
      <c r="G11" s="81"/>
    </row>
    <row r="12" spans="1:7" ht="30.75">
      <c r="A12" s="82"/>
      <c r="B12" s="81"/>
      <c r="C12" s="81"/>
      <c r="D12" s="81"/>
      <c r="E12" s="81"/>
      <c r="F12" s="81"/>
      <c r="G12" s="81"/>
    </row>
    <row r="13" spans="1:7" ht="30.75">
      <c r="A13" s="82"/>
      <c r="B13" s="81"/>
      <c r="C13" s="81"/>
      <c r="D13" s="81"/>
      <c r="E13" s="81"/>
      <c r="F13" s="81"/>
      <c r="G13" s="81"/>
    </row>
    <row r="14" spans="1:7" ht="36.75" customHeight="1">
      <c r="A14" s="82"/>
      <c r="B14" s="81"/>
      <c r="C14" s="81"/>
      <c r="D14" s="81"/>
      <c r="E14" s="81"/>
      <c r="F14" s="81"/>
      <c r="G14" s="81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53</v>
      </c>
      <c r="E1" s="5" t="s">
        <v>2</v>
      </c>
    </row>
    <row r="2" s="5" customFormat="1" ht="14.25">
      <c r="A2" s="6" t="s">
        <v>444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250.2</v>
      </c>
      <c r="C4" s="64"/>
      <c r="D4" s="11"/>
      <c r="E4" s="11">
        <f>(B4+D4)*$D$1</f>
        <v>13260.599999999999</v>
      </c>
      <c r="F4" s="78">
        <v>10000</v>
      </c>
      <c r="G4" s="14">
        <f>-E4+F4</f>
        <v>-3260.5999999999985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338</v>
      </c>
      <c r="B4" s="12">
        <f>14.39</f>
        <v>14.39</v>
      </c>
      <c r="C4" s="12"/>
      <c r="D4" s="11"/>
      <c r="E4" s="11">
        <f>(B4+D4)*$D$1</f>
        <v>754.33819</v>
      </c>
      <c r="F4" s="78">
        <v>869</v>
      </c>
      <c r="G4" s="14">
        <f>-E4+F4</f>
        <v>114.66180999999995</v>
      </c>
      <c r="H4" s="74"/>
    </row>
    <row r="5" spans="1:7" s="10" customFormat="1" ht="14.25">
      <c r="A5" s="15" t="s">
        <v>373</v>
      </c>
      <c r="B5" s="63">
        <v>11.86</v>
      </c>
      <c r="C5" s="64"/>
      <c r="D5" s="11"/>
      <c r="E5" s="76">
        <f>(B5+D5)*$D$1</f>
        <v>621.7130599999999</v>
      </c>
      <c r="F5" s="79">
        <v>633</v>
      </c>
      <c r="G5" s="77">
        <f>-E5+F5</f>
        <v>11.286940000000072</v>
      </c>
    </row>
    <row r="6" spans="1:7" s="10" customFormat="1" ht="14.25">
      <c r="A6" s="15" t="s">
        <v>169</v>
      </c>
      <c r="B6" s="12">
        <v>28.57</v>
      </c>
      <c r="C6" s="12"/>
      <c r="D6" s="11"/>
      <c r="E6" s="11">
        <f>(B6+D6)*$D$1</f>
        <v>1497.66797</v>
      </c>
      <c r="F6" s="79">
        <v>1585</v>
      </c>
      <c r="G6" s="14">
        <f>-E6+F6</f>
        <v>87.33203000000003</v>
      </c>
    </row>
    <row r="7" spans="1:7" s="10" customFormat="1" ht="14.25">
      <c r="A7" s="15" t="s">
        <v>194</v>
      </c>
      <c r="B7" s="63">
        <v>9.86</v>
      </c>
      <c r="C7" s="64"/>
      <c r="D7" s="11"/>
      <c r="E7" s="76">
        <f>(B7+D7)*$D$1</f>
        <v>516.8710599999999</v>
      </c>
      <c r="F7" s="79">
        <f>526+50</f>
        <v>576</v>
      </c>
      <c r="G7" s="77">
        <f>-E7+F7</f>
        <v>59.12894000000006</v>
      </c>
    </row>
    <row r="8" spans="1:8" s="10" customFormat="1" ht="14.25">
      <c r="A8" s="11" t="s">
        <v>348</v>
      </c>
      <c r="B8" s="63">
        <v>7.98</v>
      </c>
      <c r="C8" s="64"/>
      <c r="D8" s="11"/>
      <c r="E8" s="11">
        <f>(B8+D8)*$D$1</f>
        <v>418.31958000000003</v>
      </c>
      <c r="F8" s="78">
        <v>426</v>
      </c>
      <c r="G8" s="14">
        <f>-E8+F8</f>
        <v>7.68041999999997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6.75" customHeight="1">
      <c r="A12" s="26" t="s">
        <v>446</v>
      </c>
    </row>
    <row r="13" spans="1:2" ht="14.25">
      <c r="A13" s="71" t="s">
        <v>373</v>
      </c>
      <c r="B13" s="27"/>
    </row>
    <row r="14" spans="1:2" ht="14.25">
      <c r="A14" s="27" t="s">
        <v>447</v>
      </c>
      <c r="B14" s="27"/>
    </row>
  </sheetData>
  <sheetProtection/>
  <hyperlinks>
    <hyperlink ref="A14" r:id="rId1" display="http://ru.iherb.com/Blum-Naturals-Oil-Absorbing-Facial-Tissues-50-Sheets/30588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448</v>
      </c>
      <c r="B4" s="63">
        <v>15.46</v>
      </c>
      <c r="C4" s="64"/>
      <c r="D4" s="11"/>
      <c r="E4" s="11">
        <f>(B4+D4)*$D$1</f>
        <v>810.42866</v>
      </c>
      <c r="F4" s="79">
        <f>825-10</f>
        <v>815</v>
      </c>
      <c r="G4" s="14">
        <f>-E4+F4</f>
        <v>4.571339999999964</v>
      </c>
      <c r="H4" s="74" t="s">
        <v>485</v>
      </c>
    </row>
    <row r="5" spans="1:7" s="10" customFormat="1" ht="14.25">
      <c r="A5" s="15" t="s">
        <v>449</v>
      </c>
      <c r="B5" s="63">
        <v>20.76</v>
      </c>
      <c r="C5" s="64"/>
      <c r="D5" s="11"/>
      <c r="E5" s="76">
        <f>(B5+D5)*$D$1</f>
        <v>1088.25996</v>
      </c>
      <c r="F5" s="79">
        <v>1100</v>
      </c>
      <c r="G5" s="77">
        <f>-E5+F5</f>
        <v>11.740039999999908</v>
      </c>
    </row>
    <row r="6" spans="1:7" s="10" customFormat="1" ht="14.25">
      <c r="A6" s="15" t="s">
        <v>355</v>
      </c>
      <c r="B6" s="12">
        <v>18.71</v>
      </c>
      <c r="C6" s="12"/>
      <c r="D6" s="11"/>
      <c r="E6" s="11">
        <f>(B6+D6)*$D$1</f>
        <v>980.79691</v>
      </c>
      <c r="F6" s="79">
        <v>1000</v>
      </c>
      <c r="G6" s="14">
        <f>-E6+F6</f>
        <v>19.203089999999975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263</v>
      </c>
      <c r="B4" s="63">
        <v>5.99</v>
      </c>
      <c r="C4" s="64"/>
      <c r="D4" s="11"/>
      <c r="E4" s="11">
        <f aca="true" t="shared" si="0" ref="E4:E11">(B4+D4)*$D$1</f>
        <v>314.00179</v>
      </c>
      <c r="F4" s="78">
        <v>317</v>
      </c>
      <c r="G4" s="14">
        <f aca="true" t="shared" si="1" ref="G4:G11">-E4+F4</f>
        <v>2.998209999999972</v>
      </c>
      <c r="H4" s="74"/>
    </row>
    <row r="5" spans="1:7" s="10" customFormat="1" ht="14.25">
      <c r="A5" s="15" t="s">
        <v>452</v>
      </c>
      <c r="B5" s="63">
        <v>4.19</v>
      </c>
      <c r="C5" s="64"/>
      <c r="D5" s="11"/>
      <c r="E5" s="76">
        <f t="shared" si="0"/>
        <v>219.64399000000003</v>
      </c>
      <c r="F5" s="79">
        <v>219</v>
      </c>
      <c r="G5" s="77">
        <f t="shared" si="1"/>
        <v>-0.6439900000000307</v>
      </c>
    </row>
    <row r="6" spans="1:7" s="10" customFormat="1" ht="14.25">
      <c r="A6" s="15" t="s">
        <v>453</v>
      </c>
      <c r="B6" s="12">
        <v>4.25</v>
      </c>
      <c r="C6" s="12"/>
      <c r="D6" s="11"/>
      <c r="E6" s="11">
        <f t="shared" si="0"/>
        <v>222.78925</v>
      </c>
      <c r="F6" s="79">
        <v>222</v>
      </c>
      <c r="G6" s="14">
        <f t="shared" si="1"/>
        <v>-0.7892500000000098</v>
      </c>
    </row>
    <row r="7" spans="1:7" s="10" customFormat="1" ht="14.25">
      <c r="A7" s="15" t="s">
        <v>454</v>
      </c>
      <c r="B7" s="63">
        <v>41.49</v>
      </c>
      <c r="C7" s="64"/>
      <c r="D7" s="11"/>
      <c r="E7" s="76">
        <f t="shared" si="0"/>
        <v>2174.94729</v>
      </c>
      <c r="F7" s="79">
        <f>2164+11</f>
        <v>2175</v>
      </c>
      <c r="G7" s="77">
        <f t="shared" si="1"/>
        <v>0.05270999999993364</v>
      </c>
    </row>
    <row r="8" spans="1:8" s="10" customFormat="1" ht="14.25">
      <c r="A8" s="11" t="s">
        <v>455</v>
      </c>
      <c r="B8" s="63">
        <v>7.49</v>
      </c>
      <c r="C8" s="64"/>
      <c r="D8" s="11"/>
      <c r="E8" s="11">
        <f t="shared" si="0"/>
        <v>392.63329</v>
      </c>
      <c r="F8" s="78">
        <v>398</v>
      </c>
      <c r="G8" s="14">
        <f t="shared" si="1"/>
        <v>5.366710000000012</v>
      </c>
      <c r="H8" s="74"/>
    </row>
    <row r="9" spans="1:8" s="10" customFormat="1" ht="14.25">
      <c r="A9" s="11" t="s">
        <v>346</v>
      </c>
      <c r="B9" s="63">
        <v>7.27</v>
      </c>
      <c r="C9" s="64"/>
      <c r="D9" s="11"/>
      <c r="E9" s="11">
        <f t="shared" si="0"/>
        <v>381.10067</v>
      </c>
      <c r="F9" s="78">
        <v>379</v>
      </c>
      <c r="G9" s="14">
        <f t="shared" si="1"/>
        <v>-2.1006699999999796</v>
      </c>
      <c r="H9" s="74"/>
    </row>
    <row r="10" spans="1:7" s="10" customFormat="1" ht="14.25">
      <c r="A10" s="15" t="s">
        <v>437</v>
      </c>
      <c r="B10" s="63">
        <v>29</v>
      </c>
      <c r="C10" s="64"/>
      <c r="D10" s="11"/>
      <c r="E10" s="76">
        <f t="shared" si="0"/>
        <v>1520.209</v>
      </c>
      <c r="F10" s="79">
        <v>1512</v>
      </c>
      <c r="G10" s="77">
        <f t="shared" si="1"/>
        <v>-8.20900000000006</v>
      </c>
    </row>
    <row r="11" spans="1:7" s="10" customFormat="1" ht="14.25">
      <c r="A11" s="15" t="s">
        <v>381</v>
      </c>
      <c r="B11" s="12">
        <v>30.18</v>
      </c>
      <c r="C11" s="12"/>
      <c r="D11" s="11"/>
      <c r="E11" s="11">
        <f t="shared" si="0"/>
        <v>1582.06578</v>
      </c>
      <c r="F11" s="79">
        <v>1615</v>
      </c>
      <c r="G11" s="14">
        <f t="shared" si="1"/>
        <v>32.934220000000096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>
        <v>15.48</v>
      </c>
      <c r="C4" s="64"/>
      <c r="D4" s="11"/>
      <c r="E4" s="11">
        <f>(B4+D4)*$D$1</f>
        <v>811.47708</v>
      </c>
      <c r="F4" s="78">
        <v>770</v>
      </c>
      <c r="G4" s="14">
        <f>-E4+F4</f>
        <v>-41.47708</v>
      </c>
      <c r="H4" s="74"/>
    </row>
    <row r="5" spans="1:7" s="10" customFormat="1" ht="14.25">
      <c r="A5" s="15" t="s">
        <v>456</v>
      </c>
      <c r="B5" s="63">
        <v>16.18</v>
      </c>
      <c r="C5" s="64"/>
      <c r="D5" s="11"/>
      <c r="E5" s="76">
        <f>(B5+D5)*$D$1</f>
        <v>848.17178</v>
      </c>
      <c r="F5" s="79">
        <f>844+4</f>
        <v>848</v>
      </c>
      <c r="G5" s="77">
        <f>-E5+F5</f>
        <v>-0.17178000000001248</v>
      </c>
    </row>
    <row r="6" spans="1:7" s="10" customFormat="1" ht="14.25">
      <c r="A6" s="15" t="s">
        <v>383</v>
      </c>
      <c r="B6" s="12">
        <v>38.28</v>
      </c>
      <c r="C6" s="12"/>
      <c r="D6" s="11"/>
      <c r="E6" s="11">
        <f>(B6+D6)*$D$1</f>
        <v>2006.67588</v>
      </c>
      <c r="F6" s="79">
        <v>2035</v>
      </c>
      <c r="G6" s="14">
        <f>-E6+F6</f>
        <v>28.324119999999994</v>
      </c>
    </row>
    <row r="7" spans="1:7" s="10" customFormat="1" ht="14.25">
      <c r="A7" s="15" t="s">
        <v>408</v>
      </c>
      <c r="B7" s="63">
        <v>15.65</v>
      </c>
      <c r="C7" s="64"/>
      <c r="D7" s="11"/>
      <c r="E7" s="76">
        <f>(B7+D7)*$D$1</f>
        <v>820.38865</v>
      </c>
      <c r="F7" s="79">
        <f>816+4</f>
        <v>820</v>
      </c>
      <c r="G7" s="77">
        <f>-E7+F7</f>
        <v>-0.3886499999999842</v>
      </c>
    </row>
    <row r="8" spans="1:8" s="10" customFormat="1" ht="14.25">
      <c r="A8" s="11" t="s">
        <v>457</v>
      </c>
      <c r="B8" s="63">
        <v>22.38</v>
      </c>
      <c r="C8" s="64"/>
      <c r="D8" s="11"/>
      <c r="E8" s="11">
        <f>(B8+D8)*$D$1</f>
        <v>1173.1819799999998</v>
      </c>
      <c r="F8" s="78">
        <f>1167+6</f>
        <v>1173</v>
      </c>
      <c r="G8" s="14">
        <f>-E8+F8</f>
        <v>-0.1819799999998395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4.25">
      <c r="A2" s="6" t="s">
        <v>463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>
        <v>29.07</v>
      </c>
      <c r="C4" s="64"/>
      <c r="D4" s="11"/>
      <c r="E4" s="11">
        <f>(B4+D4)*$D$1</f>
        <v>1500.62247</v>
      </c>
      <c r="F4" s="78">
        <v>1482</v>
      </c>
      <c r="G4" s="14">
        <f>-E4+F4</f>
        <v>-18.62247000000002</v>
      </c>
      <c r="H4" s="74"/>
    </row>
    <row r="5" spans="1:7" s="10" customFormat="1" ht="14.25">
      <c r="A5" s="15" t="s">
        <v>215</v>
      </c>
      <c r="B5" s="63">
        <v>10.79</v>
      </c>
      <c r="C5" s="64"/>
      <c r="D5" s="11"/>
      <c r="E5" s="76">
        <f>(B5+D5)*$D$1</f>
        <v>556.99059</v>
      </c>
      <c r="F5" s="79">
        <v>557</v>
      </c>
      <c r="G5" s="77">
        <f>-E5+F5</f>
        <v>0.009410000000002583</v>
      </c>
    </row>
    <row r="6" spans="1:7" s="10" customFormat="1" ht="14.25">
      <c r="A6" s="15" t="s">
        <v>175</v>
      </c>
      <c r="B6" s="12">
        <v>12.99</v>
      </c>
      <c r="C6" s="12"/>
      <c r="D6" s="11"/>
      <c r="E6" s="11">
        <f>(B6+D6)*$D$1</f>
        <v>670.5567900000001</v>
      </c>
      <c r="F6" s="79">
        <v>666</v>
      </c>
      <c r="G6" s="14">
        <f>-E6+F6</f>
        <v>-4.556790000000092</v>
      </c>
    </row>
    <row r="7" spans="1:7" s="10" customFormat="1" ht="14.25">
      <c r="A7" s="15" t="s">
        <v>400</v>
      </c>
      <c r="B7" s="63">
        <v>17.05</v>
      </c>
      <c r="C7" s="64"/>
      <c r="D7" s="11"/>
      <c r="E7" s="76">
        <f>(B7+D7)*$D$1</f>
        <v>880.13805</v>
      </c>
      <c r="F7" s="79">
        <v>855</v>
      </c>
      <c r="G7" s="77">
        <f>-E7+F7</f>
        <v>-25.13805000000002</v>
      </c>
    </row>
    <row r="8" spans="1:8" s="10" customFormat="1" ht="14.25">
      <c r="A8" s="11" t="s">
        <v>228</v>
      </c>
      <c r="B8" s="63">
        <v>51.49</v>
      </c>
      <c r="C8" s="64"/>
      <c r="D8" s="11"/>
      <c r="E8" s="11">
        <f>(B8+D8)*$D$1</f>
        <v>2657.96529</v>
      </c>
      <c r="F8" s="78">
        <v>2631</v>
      </c>
      <c r="G8" s="14">
        <f>-E8+F8</f>
        <v>-26.965290000000095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4.25">
      <c r="A2" s="6" t="s">
        <v>463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271</v>
      </c>
      <c r="B4" s="63">
        <v>79.22</v>
      </c>
      <c r="C4" s="64"/>
      <c r="D4" s="11"/>
      <c r="E4" s="11">
        <f>(B4+D4)*$D$1</f>
        <v>4089.41562</v>
      </c>
      <c r="F4" s="78">
        <f>4039+33</f>
        <v>4072</v>
      </c>
      <c r="G4" s="14">
        <f>-E4+F4</f>
        <v>-17.415620000000217</v>
      </c>
      <c r="H4" s="74"/>
    </row>
    <row r="5" spans="1:7" s="10" customFormat="1" ht="14.25">
      <c r="A5" s="15" t="s">
        <v>169</v>
      </c>
      <c r="B5" s="63">
        <v>33.07</v>
      </c>
      <c r="C5" s="64"/>
      <c r="D5" s="11"/>
      <c r="E5" s="76">
        <f>(B5+D5)*$D$1</f>
        <v>1707.1064700000002</v>
      </c>
      <c r="F5" s="79">
        <v>1600</v>
      </c>
      <c r="G5" s="77">
        <f>-E5+F5</f>
        <v>-107.10647000000017</v>
      </c>
    </row>
    <row r="6" spans="1:7" s="10" customFormat="1" ht="14.25">
      <c r="A6" s="15" t="s">
        <v>464</v>
      </c>
      <c r="B6" s="12">
        <v>0.95</v>
      </c>
      <c r="C6" s="12"/>
      <c r="D6" s="11"/>
      <c r="E6" s="11">
        <f>(B6+D6)*$D$1</f>
        <v>49.03995</v>
      </c>
      <c r="F6" s="79">
        <v>48</v>
      </c>
      <c r="G6" s="14">
        <f>-E6+F6</f>
        <v>-1.0399499999999975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0.75">
      <c r="A10" s="26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</v>
      </c>
      <c r="E1" s="5" t="s">
        <v>2</v>
      </c>
    </row>
    <row r="2" s="5" customFormat="1" ht="14.25">
      <c r="A2" s="6" t="s">
        <v>467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65.94</v>
      </c>
      <c r="C4" s="64"/>
      <c r="D4" s="11"/>
      <c r="E4" s="11">
        <f>(B4+D4)*$D$1</f>
        <v>3430.1988</v>
      </c>
      <c r="F4" s="78">
        <v>4500</v>
      </c>
      <c r="G4" s="14">
        <f>-E4+F4</f>
        <v>1069.8011999999999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66.73</v>
      </c>
      <c r="E1" s="5" t="s">
        <v>2</v>
      </c>
    </row>
    <row r="2" s="5" customFormat="1" ht="14.25">
      <c r="A2" s="6" t="s">
        <v>312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287</v>
      </c>
      <c r="B4" s="12">
        <v>1.7</v>
      </c>
      <c r="C4" s="12">
        <v>0.02</v>
      </c>
      <c r="D4" s="11">
        <f aca="true" t="shared" si="0" ref="D4:D11">C4/$C$12*$D$12</f>
        <v>0.04008016032064128</v>
      </c>
      <c r="E4" s="11">
        <f aca="true" t="shared" si="1" ref="E4:E10">(B4+D4)*$D$1</f>
        <v>116.1155490981964</v>
      </c>
      <c r="F4" s="13">
        <v>114</v>
      </c>
      <c r="G4" s="14">
        <f aca="true" t="shared" si="2" ref="G4:G10">-E4+F4</f>
        <v>-2.1155490981963965</v>
      </c>
    </row>
    <row r="5" spans="1:7" s="10" customFormat="1" ht="14.25">
      <c r="A5" s="15" t="s">
        <v>284</v>
      </c>
      <c r="B5" s="16">
        <v>23.08</v>
      </c>
      <c r="C5" s="17">
        <v>0.65</v>
      </c>
      <c r="D5" s="11">
        <f t="shared" si="0"/>
        <v>1.3026052104208417</v>
      </c>
      <c r="E5" s="11">
        <f t="shared" si="1"/>
        <v>1627.0512456913827</v>
      </c>
      <c r="F5" s="13"/>
      <c r="G5" s="14">
        <f t="shared" si="2"/>
        <v>-1627.0512456913827</v>
      </c>
    </row>
    <row r="6" spans="1:7" s="10" customFormat="1" ht="14.25">
      <c r="A6" s="11" t="s">
        <v>191</v>
      </c>
      <c r="B6" s="16">
        <v>1.79</v>
      </c>
      <c r="C6" s="17">
        <v>0.05</v>
      </c>
      <c r="D6" s="11">
        <f t="shared" si="0"/>
        <v>0.1002004008016032</v>
      </c>
      <c r="E6" s="11">
        <f t="shared" si="1"/>
        <v>126.13307274549098</v>
      </c>
      <c r="F6" s="67">
        <v>124</v>
      </c>
      <c r="G6" s="14">
        <f t="shared" si="2"/>
        <v>-2.1330727454909777</v>
      </c>
    </row>
    <row r="7" spans="1:7" s="10" customFormat="1" ht="14.25">
      <c r="A7" s="11" t="s">
        <v>255</v>
      </c>
      <c r="B7" s="16">
        <v>10.47</v>
      </c>
      <c r="C7" s="17">
        <v>0.11</v>
      </c>
      <c r="D7" s="11">
        <f t="shared" si="0"/>
        <v>0.22044088176352702</v>
      </c>
      <c r="E7" s="11">
        <f t="shared" si="1"/>
        <v>713.3731200400802</v>
      </c>
      <c r="F7" s="13">
        <f>700+11</f>
        <v>711</v>
      </c>
      <c r="G7" s="14">
        <f t="shared" si="2"/>
        <v>-2.3731200400801526</v>
      </c>
    </row>
    <row r="8" spans="1:7" s="10" customFormat="1" ht="14.25">
      <c r="A8" s="11" t="s">
        <v>314</v>
      </c>
      <c r="B8" s="16">
        <v>4.92</v>
      </c>
      <c r="C8" s="17">
        <v>0.73</v>
      </c>
      <c r="D8" s="11">
        <f t="shared" si="0"/>
        <v>1.4629258517034067</v>
      </c>
      <c r="E8" s="11">
        <f>(B8+D8)*$D$1</f>
        <v>425.9326420841684</v>
      </c>
      <c r="F8" s="67">
        <v>418</v>
      </c>
      <c r="G8" s="14">
        <f>-E8+F8</f>
        <v>-7.9326420841683785</v>
      </c>
    </row>
    <row r="9" spans="1:7" s="10" customFormat="1" ht="14.25">
      <c r="A9" s="11" t="s">
        <v>315</v>
      </c>
      <c r="B9" s="16">
        <v>16.200000000000003</v>
      </c>
      <c r="C9" s="17">
        <v>0.36</v>
      </c>
      <c r="D9" s="11">
        <f t="shared" si="0"/>
        <v>0.7214428857715429</v>
      </c>
      <c r="E9" s="11">
        <f>(B9+D9)*$D$1</f>
        <v>1129.1678837675354</v>
      </c>
      <c r="F9" s="67">
        <f>1110+19</f>
        <v>1129</v>
      </c>
      <c r="G9" s="14">
        <f>-E9+F9</f>
        <v>-0.16788376753538614</v>
      </c>
    </row>
    <row r="10" spans="1:7" s="10" customFormat="1" ht="14.25">
      <c r="A10" s="11" t="s">
        <v>142</v>
      </c>
      <c r="B10" s="16">
        <v>41.61</v>
      </c>
      <c r="C10" s="17">
        <v>0.72</v>
      </c>
      <c r="D10" s="11">
        <f t="shared" si="0"/>
        <v>1.4428857715430858</v>
      </c>
      <c r="E10" s="11">
        <f t="shared" si="1"/>
        <v>2872.9190675350706</v>
      </c>
      <c r="F10" s="67">
        <f>2758+48</f>
        <v>2806</v>
      </c>
      <c r="G10" s="14">
        <f t="shared" si="2"/>
        <v>-66.91906753507055</v>
      </c>
    </row>
    <row r="11" spans="1:7" s="10" customFormat="1" ht="14.25">
      <c r="A11" s="15" t="s">
        <v>10</v>
      </c>
      <c r="B11" s="20"/>
      <c r="C11" s="20">
        <v>2.35</v>
      </c>
      <c r="D11" s="11">
        <f t="shared" si="0"/>
        <v>4.709418837675351</v>
      </c>
      <c r="E11" s="21"/>
      <c r="F11" s="22"/>
      <c r="G11" s="23"/>
    </row>
    <row r="12" spans="1:7" s="25" customFormat="1" ht="14.25">
      <c r="A12" s="24"/>
      <c r="B12" s="24"/>
      <c r="C12" s="24">
        <f>SUM(C4:C11)</f>
        <v>4.99</v>
      </c>
      <c r="D12" s="24">
        <v>10</v>
      </c>
      <c r="E12" s="24"/>
      <c r="F12" s="24"/>
      <c r="G12" s="24"/>
    </row>
    <row r="15" ht="30.75">
      <c r="A15" s="26"/>
    </row>
    <row r="16" ht="30.75">
      <c r="A16" s="26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52.021</v>
      </c>
      <c r="E1" s="5" t="s">
        <v>2</v>
      </c>
    </row>
    <row r="2" s="5" customFormat="1" ht="14.25">
      <c r="A2" s="6" t="s">
        <v>467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183</v>
      </c>
      <c r="B4" s="63">
        <v>14.03</v>
      </c>
      <c r="C4" s="64"/>
      <c r="D4" s="11"/>
      <c r="E4" s="11">
        <f>(B4+D4)*$D$1</f>
        <v>729.8546299999999</v>
      </c>
      <c r="F4" s="78">
        <f>728+3</f>
        <v>731</v>
      </c>
      <c r="G4" s="14">
        <f>-E4+F4</f>
        <v>1.1453700000000708</v>
      </c>
      <c r="H4" s="74"/>
    </row>
    <row r="5" spans="1:7" s="10" customFormat="1" ht="14.25">
      <c r="A5" s="15" t="s">
        <v>215</v>
      </c>
      <c r="B5" s="63">
        <v>28.98</v>
      </c>
      <c r="C5" s="64"/>
      <c r="D5" s="11"/>
      <c r="E5" s="76">
        <f>(B5+D5)*$D$1</f>
        <v>1507.56858</v>
      </c>
      <c r="F5" s="79">
        <v>1507</v>
      </c>
      <c r="G5" s="77">
        <f>-E5+F5</f>
        <v>-0.5685800000001109</v>
      </c>
    </row>
    <row r="6" spans="1:7" s="10" customFormat="1" ht="14.25">
      <c r="A6" s="15" t="s">
        <v>468</v>
      </c>
      <c r="B6" s="12">
        <v>68.65</v>
      </c>
      <c r="C6" s="12"/>
      <c r="D6" s="11"/>
      <c r="E6" s="11">
        <f>(B6+D6)*$D$1</f>
        <v>3571.2416500000004</v>
      </c>
      <c r="F6" s="79">
        <f>2054+1500</f>
        <v>3554</v>
      </c>
      <c r="G6" s="14">
        <f>-E6+F6</f>
        <v>-17.24165000000039</v>
      </c>
    </row>
    <row r="7" spans="1:7" s="10" customFormat="1" ht="14.25">
      <c r="A7" s="15" t="s">
        <v>469</v>
      </c>
      <c r="B7" s="63">
        <v>14.39</v>
      </c>
      <c r="C7" s="64"/>
      <c r="D7" s="11"/>
      <c r="E7" s="76">
        <f>(B7+D7)*$D$1</f>
        <v>748.5821900000001</v>
      </c>
      <c r="F7" s="79">
        <v>745</v>
      </c>
      <c r="G7" s="77">
        <f>-E7+F7</f>
        <v>-3.5821900000000824</v>
      </c>
    </row>
    <row r="8" spans="1:8" s="10" customFormat="1" ht="14.25">
      <c r="A8" s="11" t="s">
        <v>400</v>
      </c>
      <c r="B8" s="63">
        <v>7.49</v>
      </c>
      <c r="C8" s="64"/>
      <c r="D8" s="11"/>
      <c r="E8" s="11">
        <f>(B8+D8)*$D$1</f>
        <v>389.63729</v>
      </c>
      <c r="F8" s="78">
        <v>400</v>
      </c>
      <c r="G8" s="14">
        <f>-E8+F8</f>
        <v>10.362709999999993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54.07</v>
      </c>
      <c r="C4" s="64"/>
      <c r="D4" s="11"/>
      <c r="E4" s="11">
        <f aca="true" t="shared" si="0" ref="E4:E9">(B4+D4)*$D$1</f>
        <v>2775.4130999999998</v>
      </c>
      <c r="F4" s="78">
        <v>2866</v>
      </c>
      <c r="G4" s="14">
        <f aca="true" t="shared" si="1" ref="G4:G9">-E4+F4</f>
        <v>90.58690000000024</v>
      </c>
      <c r="H4" s="74"/>
    </row>
    <row r="5" spans="1:7" s="10" customFormat="1" ht="14.25">
      <c r="A5" s="15" t="s">
        <v>471</v>
      </c>
      <c r="B5" s="63">
        <v>8.99</v>
      </c>
      <c r="C5" s="64"/>
      <c r="D5" s="11"/>
      <c r="E5" s="76">
        <f t="shared" si="0"/>
        <v>461.4567</v>
      </c>
      <c r="F5" s="79">
        <v>467</v>
      </c>
      <c r="G5" s="77">
        <f t="shared" si="1"/>
        <v>5.543299999999988</v>
      </c>
    </row>
    <row r="6" spans="1:7" s="10" customFormat="1" ht="14.25">
      <c r="A6" s="15" t="s">
        <v>472</v>
      </c>
      <c r="B6" s="63">
        <v>20.8</v>
      </c>
      <c r="C6" s="64"/>
      <c r="D6" s="11"/>
      <c r="E6" s="76">
        <f t="shared" si="0"/>
        <v>1067.664</v>
      </c>
      <c r="F6" s="79">
        <v>1080</v>
      </c>
      <c r="G6" s="77">
        <f t="shared" si="1"/>
        <v>12.336000000000013</v>
      </c>
    </row>
    <row r="7" spans="1:7" s="10" customFormat="1" ht="14.25">
      <c r="A7" s="15" t="s">
        <v>223</v>
      </c>
      <c r="B7" s="12">
        <v>18.62</v>
      </c>
      <c r="C7" s="12"/>
      <c r="D7" s="11"/>
      <c r="E7" s="11">
        <f t="shared" si="0"/>
        <v>955.7646</v>
      </c>
      <c r="F7" s="79">
        <v>956</v>
      </c>
      <c r="G7" s="14">
        <f t="shared" si="1"/>
        <v>0.23540000000002692</v>
      </c>
    </row>
    <row r="8" spans="1:7" s="10" customFormat="1" ht="14.25">
      <c r="A8" s="15" t="s">
        <v>215</v>
      </c>
      <c r="B8" s="63">
        <v>18.94</v>
      </c>
      <c r="C8" s="64"/>
      <c r="D8" s="11"/>
      <c r="E8" s="76">
        <f t="shared" si="0"/>
        <v>972.1902</v>
      </c>
      <c r="F8" s="79">
        <v>991</v>
      </c>
      <c r="G8" s="77">
        <f t="shared" si="1"/>
        <v>18.809799999999996</v>
      </c>
    </row>
    <row r="9" spans="1:8" s="10" customFormat="1" ht="14.25">
      <c r="A9" s="11" t="s">
        <v>438</v>
      </c>
      <c r="B9" s="63">
        <v>12.99</v>
      </c>
      <c r="C9" s="64"/>
      <c r="D9" s="11"/>
      <c r="E9" s="11">
        <f t="shared" si="0"/>
        <v>666.7767</v>
      </c>
      <c r="F9" s="78">
        <v>657</v>
      </c>
      <c r="G9" s="14">
        <f t="shared" si="1"/>
        <v>-9.776700000000005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214</v>
      </c>
      <c r="B4" s="63">
        <v>10.31</v>
      </c>
      <c r="C4" s="64"/>
      <c r="D4" s="11"/>
      <c r="E4" s="11">
        <f aca="true" t="shared" si="0" ref="E4:E9">(B4+D4)*$D$1</f>
        <v>529.2123</v>
      </c>
      <c r="F4" s="78">
        <v>523</v>
      </c>
      <c r="G4" s="14">
        <f aca="true" t="shared" si="1" ref="G4:G9">-E4+F4</f>
        <v>-6.2123000000000275</v>
      </c>
      <c r="H4" s="74"/>
    </row>
    <row r="5" spans="1:8" s="10" customFormat="1" ht="14.25">
      <c r="A5" s="15" t="s">
        <v>200</v>
      </c>
      <c r="B5" s="63">
        <v>16.53</v>
      </c>
      <c r="C5" s="64"/>
      <c r="D5" s="11"/>
      <c r="E5" s="76">
        <f t="shared" si="0"/>
        <v>848.4849</v>
      </c>
      <c r="F5" s="79">
        <f>859-10</f>
        <v>849</v>
      </c>
      <c r="G5" s="77">
        <f t="shared" si="1"/>
        <v>0.5150999999999613</v>
      </c>
      <c r="H5" s="10" t="s">
        <v>527</v>
      </c>
    </row>
    <row r="6" spans="1:7" s="10" customFormat="1" ht="14.25">
      <c r="A6" s="15" t="s">
        <v>175</v>
      </c>
      <c r="B6" s="63">
        <v>18.72</v>
      </c>
      <c r="C6" s="64"/>
      <c r="D6" s="11"/>
      <c r="E6" s="76">
        <f t="shared" si="0"/>
        <v>960.8975999999999</v>
      </c>
      <c r="F6" s="79">
        <v>980</v>
      </c>
      <c r="G6" s="77">
        <f t="shared" si="1"/>
        <v>19.102400000000102</v>
      </c>
    </row>
    <row r="7" spans="1:7" s="10" customFormat="1" ht="14.25">
      <c r="A7" s="15" t="s">
        <v>373</v>
      </c>
      <c r="B7" s="12">
        <v>21.63</v>
      </c>
      <c r="C7" s="12"/>
      <c r="D7" s="11"/>
      <c r="E7" s="11">
        <f t="shared" si="0"/>
        <v>1110.2678999999998</v>
      </c>
      <c r="F7" s="79">
        <v>1135</v>
      </c>
      <c r="G7" s="14">
        <f t="shared" si="1"/>
        <v>24.732100000000173</v>
      </c>
    </row>
    <row r="8" spans="1:7" s="10" customFormat="1" ht="14.25">
      <c r="A8" s="15" t="s">
        <v>452</v>
      </c>
      <c r="B8" s="63">
        <v>5.09</v>
      </c>
      <c r="C8" s="64"/>
      <c r="D8" s="11"/>
      <c r="E8" s="76">
        <f t="shared" si="0"/>
        <v>261.2697</v>
      </c>
      <c r="F8" s="79">
        <v>265</v>
      </c>
      <c r="G8" s="77">
        <f t="shared" si="1"/>
        <v>3.7302999999999997</v>
      </c>
    </row>
    <row r="9" spans="1:8" s="10" customFormat="1" ht="14.25">
      <c r="A9" s="11" t="s">
        <v>410</v>
      </c>
      <c r="B9" s="63">
        <v>32.82</v>
      </c>
      <c r="C9" s="64"/>
      <c r="D9" s="11"/>
      <c r="E9" s="11">
        <f t="shared" si="0"/>
        <v>1684.6506</v>
      </c>
      <c r="F9" s="78">
        <v>1705</v>
      </c>
      <c r="G9" s="14">
        <f t="shared" si="1"/>
        <v>20.34940000000006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37</v>
      </c>
      <c r="B4" s="63">
        <v>5.5</v>
      </c>
      <c r="C4" s="64"/>
      <c r="D4" s="11"/>
      <c r="E4" s="11">
        <f>(B4+D4)*$D$1</f>
        <v>282.315</v>
      </c>
      <c r="F4" s="78">
        <v>285</v>
      </c>
      <c r="G4" s="14">
        <f>-E4+F4</f>
        <v>2.6850000000000023</v>
      </c>
      <c r="H4" s="74"/>
    </row>
    <row r="5" spans="1:7" s="10" customFormat="1" ht="14.25">
      <c r="A5" s="15" t="s">
        <v>384</v>
      </c>
      <c r="B5" s="63">
        <v>62.19</v>
      </c>
      <c r="C5" s="64"/>
      <c r="D5" s="11"/>
      <c r="E5" s="76">
        <f>(B5+D5)*$D$1</f>
        <v>3192.2126999999996</v>
      </c>
      <c r="F5" s="79">
        <v>3260</v>
      </c>
      <c r="G5" s="77">
        <f>-E5+F5</f>
        <v>67.78730000000041</v>
      </c>
    </row>
    <row r="6" spans="1:7" s="10" customFormat="1" ht="14.25">
      <c r="A6" s="15" t="s">
        <v>473</v>
      </c>
      <c r="B6" s="12">
        <v>20.8</v>
      </c>
      <c r="C6" s="12"/>
      <c r="D6" s="11"/>
      <c r="E6" s="11">
        <f>(B6+D6)*$D$1</f>
        <v>1067.664</v>
      </c>
      <c r="F6" s="79">
        <v>1080</v>
      </c>
      <c r="G6" s="14">
        <f>-E6+F6</f>
        <v>12.336000000000013</v>
      </c>
    </row>
    <row r="7" spans="1:7" s="10" customFormat="1" ht="14.25">
      <c r="A7" s="15" t="s">
        <v>93</v>
      </c>
      <c r="B7" s="63">
        <v>22.11</v>
      </c>
      <c r="C7" s="64"/>
      <c r="D7" s="11"/>
      <c r="E7" s="76">
        <f>(B7+D7)*$D$1</f>
        <v>1134.9062999999999</v>
      </c>
      <c r="F7" s="79">
        <v>1156</v>
      </c>
      <c r="G7" s="77">
        <f>-E7+F7</f>
        <v>21.093700000000126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42137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188.57</v>
      </c>
      <c r="C4" s="64"/>
      <c r="D4" s="11"/>
      <c r="E4" s="11">
        <f>(B4+D4)*$D$1</f>
        <v>9679.2981</v>
      </c>
      <c r="F4" s="78">
        <v>10000</v>
      </c>
      <c r="G4" s="14">
        <f>-E4+F4</f>
        <v>320.7019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4.25">
      <c r="A2" s="6" t="s">
        <v>477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228</v>
      </c>
      <c r="B4" s="63">
        <v>108.28</v>
      </c>
      <c r="C4" s="64"/>
      <c r="D4" s="11"/>
      <c r="E4" s="11">
        <f>(B4+D4)*$D$1</f>
        <v>5550.4328</v>
      </c>
      <c r="F4" s="78">
        <v>5567</v>
      </c>
      <c r="G4" s="14">
        <f>-E4+F4</f>
        <v>16.567200000000412</v>
      </c>
      <c r="H4" s="74"/>
    </row>
    <row r="5" spans="1:7" s="10" customFormat="1" ht="14.25">
      <c r="A5" s="15" t="s">
        <v>93</v>
      </c>
      <c r="B5" s="12">
        <v>47.85</v>
      </c>
      <c r="C5" s="12"/>
      <c r="D5" s="11"/>
      <c r="E5" s="11">
        <f>(B5+D5)*$D$1</f>
        <v>2452.791</v>
      </c>
      <c r="F5" s="79">
        <v>2432</v>
      </c>
      <c r="G5" s="14">
        <f>-E5+F5</f>
        <v>-20.791000000000167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9" ht="30.75">
      <c r="A9" s="26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4.25">
      <c r="A2" s="6" t="s">
        <v>477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5" t="s">
        <v>384</v>
      </c>
      <c r="B4" s="63">
        <v>70.264</v>
      </c>
      <c r="C4" s="64"/>
      <c r="D4" s="11"/>
      <c r="E4" s="76">
        <f>(B4+D4)*$D$1</f>
        <v>3601.7326399999997</v>
      </c>
      <c r="F4" s="79">
        <v>5500</v>
      </c>
      <c r="G4" s="77">
        <f>-E4+F4</f>
        <v>1898.2673600000003</v>
      </c>
    </row>
    <row r="5" spans="1:7" s="10" customFormat="1" ht="14.25">
      <c r="A5" s="15" t="s">
        <v>139</v>
      </c>
      <c r="B5" s="63">
        <v>41.882</v>
      </c>
      <c r="C5" s="64"/>
      <c r="D5" s="11"/>
      <c r="E5" s="76">
        <f>(B5+D5)*$D$1</f>
        <v>2146.8713199999997</v>
      </c>
      <c r="F5" s="79">
        <f>2085+6</f>
        <v>2091</v>
      </c>
      <c r="G5" s="77">
        <f>-E5+F5</f>
        <v>-55.87131999999974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9" ht="30.75">
      <c r="A9" s="26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4.25">
      <c r="A2" s="6" t="s">
        <v>477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3.82</v>
      </c>
      <c r="C4" s="64"/>
      <c r="D4" s="11"/>
      <c r="E4" s="11">
        <f aca="true" t="shared" si="0" ref="E4:E12">(B4+D4)*$D$1</f>
        <v>195.8132</v>
      </c>
      <c r="F4" s="78">
        <v>195</v>
      </c>
      <c r="G4" s="14">
        <f aca="true" t="shared" si="1" ref="G4:G12">-E4+F4</f>
        <v>-0.8131999999999948</v>
      </c>
      <c r="H4" s="74"/>
    </row>
    <row r="5" spans="1:7" s="10" customFormat="1" ht="14.25">
      <c r="A5" s="15" t="s">
        <v>203</v>
      </c>
      <c r="B5" s="63">
        <v>31.04</v>
      </c>
      <c r="C5" s="64"/>
      <c r="D5" s="11"/>
      <c r="E5" s="76">
        <f t="shared" si="0"/>
        <v>1591.1103999999998</v>
      </c>
      <c r="F5" s="79">
        <v>1587</v>
      </c>
      <c r="G5" s="77">
        <f t="shared" si="1"/>
        <v>-4.1103999999997995</v>
      </c>
    </row>
    <row r="6" spans="1:7" s="10" customFormat="1" ht="14.25">
      <c r="A6" s="15" t="s">
        <v>223</v>
      </c>
      <c r="B6" s="63">
        <v>21.2</v>
      </c>
      <c r="C6" s="64"/>
      <c r="D6" s="11"/>
      <c r="E6" s="76">
        <f t="shared" si="0"/>
        <v>1086.712</v>
      </c>
      <c r="F6" s="79">
        <v>1086</v>
      </c>
      <c r="G6" s="77">
        <f t="shared" si="1"/>
        <v>-0.7119999999999891</v>
      </c>
    </row>
    <row r="7" spans="1:8" s="10" customFormat="1" ht="14.25">
      <c r="A7" s="11" t="s">
        <v>479</v>
      </c>
      <c r="B7" s="63">
        <v>11.69</v>
      </c>
      <c r="C7" s="64"/>
      <c r="D7" s="11"/>
      <c r="E7" s="11">
        <f>(B7+D7)*$D$1</f>
        <v>599.2293999999999</v>
      </c>
      <c r="F7" s="78">
        <v>598</v>
      </c>
      <c r="G7" s="14">
        <f>-E7+F7</f>
        <v>-1.2293999999999414</v>
      </c>
      <c r="H7" s="74"/>
    </row>
    <row r="8" spans="1:7" s="10" customFormat="1" ht="14.25">
      <c r="A8" s="15" t="s">
        <v>104</v>
      </c>
      <c r="B8" s="63">
        <v>24.586</v>
      </c>
      <c r="C8" s="64"/>
      <c r="D8" s="11"/>
      <c r="E8" s="76">
        <f>(B8+D8)*$D$1</f>
        <v>1260.2783599999998</v>
      </c>
      <c r="F8" s="79">
        <v>1250</v>
      </c>
      <c r="G8" s="77">
        <f>-E8+F8</f>
        <v>-10.278359999999793</v>
      </c>
    </row>
    <row r="9" spans="1:7" s="10" customFormat="1" ht="14.25">
      <c r="A9" s="15" t="s">
        <v>301</v>
      </c>
      <c r="B9" s="63">
        <v>19.7</v>
      </c>
      <c r="C9" s="64"/>
      <c r="D9" s="11"/>
      <c r="E9" s="76">
        <f>(B9+D9)*$D$1</f>
        <v>1009.8219999999999</v>
      </c>
      <c r="F9" s="79">
        <v>1007</v>
      </c>
      <c r="G9" s="77">
        <f>-E9+F9</f>
        <v>-2.821999999999889</v>
      </c>
    </row>
    <row r="10" spans="1:7" s="10" customFormat="1" ht="14.25">
      <c r="A10" s="15" t="s">
        <v>480</v>
      </c>
      <c r="B10" s="12">
        <v>8.42</v>
      </c>
      <c r="C10" s="12"/>
      <c r="D10" s="11"/>
      <c r="E10" s="11">
        <f t="shared" si="0"/>
        <v>431.6092</v>
      </c>
      <c r="F10" s="79">
        <v>430</v>
      </c>
      <c r="G10" s="14">
        <f t="shared" si="1"/>
        <v>-1.609199999999987</v>
      </c>
    </row>
    <row r="11" spans="1:7" s="10" customFormat="1" ht="14.25">
      <c r="A11" s="15" t="s">
        <v>481</v>
      </c>
      <c r="B11" s="63">
        <v>6.29</v>
      </c>
      <c r="C11" s="64"/>
      <c r="D11" s="11"/>
      <c r="E11" s="76">
        <f t="shared" si="0"/>
        <v>322.42539999999997</v>
      </c>
      <c r="F11" s="79">
        <v>321</v>
      </c>
      <c r="G11" s="77">
        <f t="shared" si="1"/>
        <v>-1.4253999999999678</v>
      </c>
    </row>
    <row r="12" spans="1:8" s="10" customFormat="1" ht="14.25">
      <c r="A12" s="11" t="s">
        <v>472</v>
      </c>
      <c r="B12" s="63">
        <v>23.72</v>
      </c>
      <c r="C12" s="64"/>
      <c r="D12" s="11"/>
      <c r="E12" s="11">
        <f t="shared" si="0"/>
        <v>1215.8872</v>
      </c>
      <c r="F12" s="78">
        <v>1200</v>
      </c>
      <c r="G12" s="14">
        <f t="shared" si="1"/>
        <v>-15.887199999999893</v>
      </c>
      <c r="H12" s="74"/>
    </row>
    <row r="13" spans="1:7" s="25" customFormat="1" ht="14.25">
      <c r="A13" s="24"/>
      <c r="B13" s="24"/>
      <c r="C13" s="24"/>
      <c r="D13" s="24"/>
      <c r="E13" s="24"/>
      <c r="F13" s="24"/>
      <c r="G13" s="24"/>
    </row>
    <row r="16" ht="30.75">
      <c r="A16" s="26"/>
    </row>
    <row r="17" ht="30.75">
      <c r="A17" s="26"/>
    </row>
    <row r="18" ht="36.75" customHeight="1">
      <c r="A18" s="26"/>
    </row>
    <row r="19" ht="14.25">
      <c r="B19" s="27"/>
    </row>
    <row r="20" ht="14.25">
      <c r="B20" s="27"/>
    </row>
  </sheetData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50.45</v>
      </c>
      <c r="E1" s="5" t="s">
        <v>2</v>
      </c>
    </row>
    <row r="2" s="5" customFormat="1" ht="14.25">
      <c r="A2" s="6" t="s">
        <v>477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333</v>
      </c>
      <c r="B4" s="63">
        <v>75.13</v>
      </c>
      <c r="C4" s="64"/>
      <c r="D4" s="11"/>
      <c r="E4" s="11">
        <f>(B4+D4)*$D$1</f>
        <v>3790.3085</v>
      </c>
      <c r="F4" s="78">
        <v>4000</v>
      </c>
      <c r="G4" s="14">
        <f>-E4+F4</f>
        <v>209.6914999999999</v>
      </c>
      <c r="H4" s="74"/>
    </row>
    <row r="5" spans="1:7" s="10" customFormat="1" ht="14.25">
      <c r="A5" s="15" t="s">
        <v>142</v>
      </c>
      <c r="B5" s="63">
        <v>38.62</v>
      </c>
      <c r="C5" s="64"/>
      <c r="D5" s="11"/>
      <c r="E5" s="76">
        <f>(B5+D5)*$D$1</f>
        <v>1948.379</v>
      </c>
      <c r="F5" s="79">
        <v>1907</v>
      </c>
      <c r="G5" s="77">
        <f>-E5+F5</f>
        <v>-41.378999999999905</v>
      </c>
    </row>
    <row r="6" spans="1:7" s="10" customFormat="1" ht="14.25">
      <c r="A6" s="15" t="s">
        <v>373</v>
      </c>
      <c r="B6" s="63">
        <v>8.99</v>
      </c>
      <c r="C6" s="64"/>
      <c r="D6" s="11"/>
      <c r="E6" s="76">
        <f>(B6+D6)*$D$1</f>
        <v>453.54550000000006</v>
      </c>
      <c r="F6" s="79">
        <v>459</v>
      </c>
      <c r="G6" s="77">
        <f>-E6+F6</f>
        <v>5.454499999999939</v>
      </c>
    </row>
    <row r="7" spans="1:7" s="10" customFormat="1" ht="14.25">
      <c r="A7" s="15" t="s">
        <v>482</v>
      </c>
      <c r="B7" s="12">
        <v>13.08</v>
      </c>
      <c r="C7" s="12"/>
      <c r="D7" s="11"/>
      <c r="E7" s="11">
        <f>(B7+D7)*$D$1</f>
        <v>659.8860000000001</v>
      </c>
      <c r="F7" s="79">
        <f>655+5</f>
        <v>660</v>
      </c>
      <c r="G7" s="14">
        <f>-E7+F7</f>
        <v>0.11399999999991905</v>
      </c>
    </row>
    <row r="8" spans="1:7" s="10" customFormat="1" ht="14.25">
      <c r="A8" s="15" t="s">
        <v>194</v>
      </c>
      <c r="B8" s="63">
        <v>9.12</v>
      </c>
      <c r="C8" s="64"/>
      <c r="D8" s="11"/>
      <c r="E8" s="76">
        <f>(B8+D8)*$D$1</f>
        <v>460.104</v>
      </c>
      <c r="F8" s="79">
        <v>394</v>
      </c>
      <c r="G8" s="77">
        <f>-E8+F8</f>
        <v>-66.10399999999998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B1">
      <selection activeCell="R28" sqref="R2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50.41</v>
      </c>
      <c r="E1" s="5" t="s">
        <v>2</v>
      </c>
    </row>
    <row r="2" s="5" customFormat="1" ht="14.25">
      <c r="A2" s="6" t="s">
        <v>478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483</v>
      </c>
      <c r="B4" s="63">
        <v>26.946</v>
      </c>
      <c r="C4" s="64"/>
      <c r="D4" s="11"/>
      <c r="E4" s="11">
        <f>(B4+D4)*$D$1</f>
        <v>1358.34786</v>
      </c>
      <c r="F4" s="78">
        <v>1400</v>
      </c>
      <c r="G4" s="14">
        <f>-E4+F4</f>
        <v>41.65213999999992</v>
      </c>
      <c r="H4" s="74"/>
    </row>
    <row r="5" spans="1:8" s="10" customFormat="1" ht="28.5">
      <c r="A5" s="15" t="s">
        <v>356</v>
      </c>
      <c r="B5" s="63">
        <v>23.53</v>
      </c>
      <c r="C5" s="64"/>
      <c r="D5" s="11"/>
      <c r="E5" s="76">
        <f>(B5+D5)*$D$1</f>
        <v>1186.1473</v>
      </c>
      <c r="F5" s="79">
        <f>1203-25</f>
        <v>1178</v>
      </c>
      <c r="G5" s="77">
        <f>-E5+F5</f>
        <v>-8.147300000000087</v>
      </c>
      <c r="H5" s="10" t="s">
        <v>526</v>
      </c>
    </row>
    <row r="6" spans="1:7" s="10" customFormat="1" ht="14.25">
      <c r="A6" s="15" t="s">
        <v>154</v>
      </c>
      <c r="B6" s="63">
        <v>42.22</v>
      </c>
      <c r="C6" s="64"/>
      <c r="D6" s="11"/>
      <c r="E6" s="76">
        <f>(B6+D6)*$D$1</f>
        <v>2128.3102</v>
      </c>
      <c r="F6" s="79">
        <v>2158</v>
      </c>
      <c r="G6" s="77">
        <f>-E6+F6</f>
        <v>29.689800000000105</v>
      </c>
    </row>
    <row r="7" spans="1:7" s="10" customFormat="1" ht="14.25">
      <c r="A7" s="15" t="s">
        <v>384</v>
      </c>
      <c r="B7" s="12">
        <v>38.22</v>
      </c>
      <c r="C7" s="12"/>
      <c r="D7" s="11"/>
      <c r="E7" s="11">
        <f>(B7+D7)*$D$1</f>
        <v>1926.6701999999998</v>
      </c>
      <c r="F7" s="79"/>
      <c r="G7" s="14">
        <f>-E7+F7</f>
        <v>-1926.6701999999998</v>
      </c>
    </row>
    <row r="8" spans="1:7" s="10" customFormat="1" ht="14.25">
      <c r="A8" s="15" t="s">
        <v>333</v>
      </c>
      <c r="B8" s="63">
        <v>12.09</v>
      </c>
      <c r="C8" s="64"/>
      <c r="D8" s="11"/>
      <c r="E8" s="76">
        <f>(B8+D8)*$D$1</f>
        <v>609.4568999999999</v>
      </c>
      <c r="F8" s="79"/>
      <c r="G8" s="77">
        <f>-E8+F8</f>
        <v>-609.4568999999999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66.13</v>
      </c>
      <c r="E1" s="5" t="s">
        <v>2</v>
      </c>
    </row>
    <row r="2" s="5" customFormat="1" ht="14.25">
      <c r="A2" s="6" t="s">
        <v>313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34</v>
      </c>
      <c r="B4" s="12">
        <v>48.07</v>
      </c>
      <c r="C4" s="12">
        <v>1.24</v>
      </c>
      <c r="D4" s="11">
        <f>C4/$C$9*$D$9</f>
        <v>2.5101214574898787</v>
      </c>
      <c r="E4" s="11">
        <f>(B4+D4)*$D$1</f>
        <v>3344.8634319838056</v>
      </c>
      <c r="F4" s="67">
        <v>3319</v>
      </c>
      <c r="G4" s="14">
        <f>-E4+F4</f>
        <v>-25.86343198380564</v>
      </c>
    </row>
    <row r="5" spans="1:7" s="10" customFormat="1" ht="14.25">
      <c r="A5" s="15" t="s">
        <v>316</v>
      </c>
      <c r="B5" s="63">
        <v>8.51</v>
      </c>
      <c r="C5" s="64">
        <v>0.19</v>
      </c>
      <c r="D5" s="11">
        <f>C5/$C$9*$D$9</f>
        <v>0.38461538461538464</v>
      </c>
      <c r="E5" s="11">
        <f>(B5+D5)*$D$1</f>
        <v>588.2009153846153</v>
      </c>
      <c r="F5" s="70">
        <v>2184</v>
      </c>
      <c r="G5" s="14">
        <f>-E5+F5</f>
        <v>1595.7990846153848</v>
      </c>
    </row>
    <row r="6" spans="1:7" s="10" customFormat="1" ht="14.25">
      <c r="A6" s="11" t="s">
        <v>182</v>
      </c>
      <c r="B6" s="16">
        <v>61.89</v>
      </c>
      <c r="C6" s="17">
        <v>0.57</v>
      </c>
      <c r="D6" s="11">
        <f>C6/$C$9*$D$9</f>
        <v>1.153846153846154</v>
      </c>
      <c r="E6" s="11">
        <f>(B6+D6)*$D$1</f>
        <v>4169.089546153846</v>
      </c>
      <c r="F6" s="69">
        <f>4150+19</f>
        <v>4169</v>
      </c>
      <c r="G6" s="14">
        <f>-E6+F6</f>
        <v>-0.08954615384573117</v>
      </c>
    </row>
    <row r="7" spans="1:7" s="10" customFormat="1" ht="14.25">
      <c r="A7" s="11" t="s">
        <v>317</v>
      </c>
      <c r="B7" s="64">
        <f>7.63*0.9</f>
        <v>6.867</v>
      </c>
      <c r="C7" s="64">
        <v>0.27</v>
      </c>
      <c r="D7" s="11">
        <f>C7/$C$9*$D$9</f>
        <v>0.5465587044534413</v>
      </c>
      <c r="E7" s="11">
        <f>(B7+D7)*$D$1</f>
        <v>490.258637125506</v>
      </c>
      <c r="F7" s="68">
        <v>486</v>
      </c>
      <c r="G7" s="14">
        <f>-E7+F7</f>
        <v>-4.258637125506027</v>
      </c>
    </row>
    <row r="8" spans="1:7" s="10" customFormat="1" ht="14.25">
      <c r="A8" s="15" t="s">
        <v>10</v>
      </c>
      <c r="B8" s="20"/>
      <c r="C8" s="20">
        <v>2.67</v>
      </c>
      <c r="D8" s="11">
        <f>C8/$C$9*$D$9</f>
        <v>5.404858299595142</v>
      </c>
      <c r="E8" s="21"/>
      <c r="F8" s="22"/>
      <c r="G8" s="23"/>
    </row>
    <row r="9" spans="1:7" s="25" customFormat="1" ht="14.25">
      <c r="A9" s="24"/>
      <c r="B9" s="24"/>
      <c r="C9" s="24">
        <f>SUM(C4:C8)</f>
        <v>4.9399999999999995</v>
      </c>
      <c r="D9" s="24">
        <v>10</v>
      </c>
      <c r="E9" s="24"/>
      <c r="F9" s="24"/>
      <c r="G9" s="24"/>
    </row>
    <row r="12" ht="30.75">
      <c r="A12" s="26"/>
    </row>
    <row r="13" ht="30.75">
      <c r="A13" s="26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4.25">
      <c r="A2" s="6" t="s">
        <v>486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315</v>
      </c>
      <c r="B4" s="63">
        <v>16.38</v>
      </c>
      <c r="C4" s="64"/>
      <c r="D4" s="11"/>
      <c r="E4" s="11">
        <f>(B4+D4)*$D$1</f>
        <v>836.0351999999999</v>
      </c>
      <c r="F4" s="78">
        <v>837</v>
      </c>
      <c r="G4" s="14">
        <f>-E4+F4</f>
        <v>0.964800000000082</v>
      </c>
      <c r="H4" s="74"/>
    </row>
    <row r="5" spans="1:7" s="10" customFormat="1" ht="14.25">
      <c r="A5" s="15" t="s">
        <v>169</v>
      </c>
      <c r="B5" s="63">
        <v>52.04</v>
      </c>
      <c r="C5" s="64"/>
      <c r="D5" s="11"/>
      <c r="E5" s="76">
        <f>(B5+D5)*$D$1</f>
        <v>2656.1216</v>
      </c>
      <c r="F5" s="79">
        <v>2655</v>
      </c>
      <c r="G5" s="77">
        <f>-E5+F5</f>
        <v>-1.121599999999944</v>
      </c>
    </row>
    <row r="6" spans="1:7" s="10" customFormat="1" ht="14.25">
      <c r="A6" s="15" t="s">
        <v>487</v>
      </c>
      <c r="B6" s="63">
        <v>25.92</v>
      </c>
      <c r="C6" s="64"/>
      <c r="D6" s="11"/>
      <c r="E6" s="76">
        <f>(B6+D6)*$D$1</f>
        <v>1322.9568000000002</v>
      </c>
      <c r="F6" s="79">
        <v>1325</v>
      </c>
      <c r="G6" s="77">
        <f>-E6+F6</f>
        <v>2.0431999999998425</v>
      </c>
    </row>
    <row r="7" spans="1:7" s="10" customFormat="1" ht="14.25">
      <c r="A7" s="15" t="s">
        <v>331</v>
      </c>
      <c r="B7" s="12">
        <v>15.11</v>
      </c>
      <c r="C7" s="12"/>
      <c r="D7" s="11"/>
      <c r="E7" s="11">
        <f>(B7+D7)*$D$1</f>
        <v>771.2144</v>
      </c>
      <c r="F7" s="79">
        <v>772</v>
      </c>
      <c r="G7" s="14">
        <f>-E7+F7</f>
        <v>0.7856000000000449</v>
      </c>
    </row>
    <row r="8" spans="1:7" s="10" customFormat="1" ht="14.25">
      <c r="A8" s="15" t="s">
        <v>381</v>
      </c>
      <c r="B8" s="63">
        <v>32.58</v>
      </c>
      <c r="C8" s="64"/>
      <c r="D8" s="11"/>
      <c r="E8" s="76">
        <f>(B8+D8)*$D$1</f>
        <v>1662.8832</v>
      </c>
      <c r="F8" s="79">
        <f>8+1673</f>
        <v>1681</v>
      </c>
      <c r="G8" s="77">
        <f>-E8+F8</f>
        <v>18.116800000000012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6.75" customHeight="1">
      <c r="A12" s="26" t="s">
        <v>416</v>
      </c>
    </row>
    <row r="13" spans="1:3" ht="14.25">
      <c r="A13" s="15" t="s">
        <v>381</v>
      </c>
      <c r="B13" s="97" t="s">
        <v>489</v>
      </c>
      <c r="C13" s="27" t="s">
        <v>488</v>
      </c>
    </row>
    <row r="14" ht="14.25">
      <c r="B14" s="27"/>
    </row>
  </sheetData>
  <sheetProtection/>
  <hyperlinks>
    <hyperlink ref="C13" r:id="rId1" display="http://ru.iherb.com/Rainbow-Light-Nutri-Stars-Food-Based-Multivitamin-Fruit-Punch-Flavor-120-Chewable-Tablets/4628?at=0&amp;rcode=VUT178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4.25">
      <c r="A2" s="6" t="s">
        <v>486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74.97</v>
      </c>
      <c r="C4" s="64"/>
      <c r="D4" s="11"/>
      <c r="E4" s="11">
        <f>(B4+D4)*$D$1</f>
        <v>3826.4688</v>
      </c>
      <c r="F4" s="78">
        <v>5000</v>
      </c>
      <c r="G4" s="14">
        <f>-E4+F4</f>
        <v>1173.5312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</sheetData>
  <sheetProtection/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4.25">
      <c r="A2" s="6" t="s">
        <v>491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223</v>
      </c>
      <c r="B4" s="63">
        <v>24.13</v>
      </c>
      <c r="C4" s="64"/>
      <c r="D4" s="11"/>
      <c r="E4" s="11">
        <f aca="true" t="shared" si="0" ref="E4:E9">(B4+D4)*$D$1</f>
        <v>1233.043</v>
      </c>
      <c r="F4" s="78">
        <v>1215</v>
      </c>
      <c r="G4" s="14">
        <f aca="true" t="shared" si="1" ref="G4:G9">-E4+F4</f>
        <v>-18.042999999999893</v>
      </c>
      <c r="H4" s="74"/>
    </row>
    <row r="5" spans="1:7" s="10" customFormat="1" ht="14.25">
      <c r="A5" s="15" t="s">
        <v>268</v>
      </c>
      <c r="B5" s="63">
        <v>11.69</v>
      </c>
      <c r="C5" s="64"/>
      <c r="D5" s="11"/>
      <c r="E5" s="76">
        <f t="shared" si="0"/>
        <v>597.359</v>
      </c>
      <c r="F5" s="79">
        <v>599</v>
      </c>
      <c r="G5" s="77">
        <f t="shared" si="1"/>
        <v>1.6409999999999627</v>
      </c>
    </row>
    <row r="6" spans="1:7" s="10" customFormat="1" ht="14.25">
      <c r="A6" s="15" t="s">
        <v>483</v>
      </c>
      <c r="B6" s="63">
        <v>14.97</v>
      </c>
      <c r="C6" s="64"/>
      <c r="D6" s="11"/>
      <c r="E6" s="76">
        <f t="shared" si="0"/>
        <v>764.9670000000001</v>
      </c>
      <c r="F6" s="79">
        <v>760</v>
      </c>
      <c r="G6" s="77">
        <f t="shared" si="1"/>
        <v>-4.967000000000098</v>
      </c>
    </row>
    <row r="7" spans="1:7" s="10" customFormat="1" ht="14.25">
      <c r="A7" s="15" t="s">
        <v>229</v>
      </c>
      <c r="B7" s="63">
        <v>13.41</v>
      </c>
      <c r="C7" s="64"/>
      <c r="D7" s="11"/>
      <c r="E7" s="76">
        <f t="shared" si="0"/>
        <v>685.251</v>
      </c>
      <c r="F7" s="79">
        <v>630</v>
      </c>
      <c r="G7" s="77">
        <f t="shared" si="1"/>
        <v>-55.250999999999976</v>
      </c>
    </row>
    <row r="8" spans="1:7" s="10" customFormat="1" ht="14.25">
      <c r="A8" s="15" t="s">
        <v>492</v>
      </c>
      <c r="B8" s="12">
        <v>13.43</v>
      </c>
      <c r="C8" s="12"/>
      <c r="D8" s="11"/>
      <c r="E8" s="11">
        <f t="shared" si="0"/>
        <v>686.273</v>
      </c>
      <c r="F8" s="79">
        <f>682+4</f>
        <v>686</v>
      </c>
      <c r="G8" s="14">
        <f t="shared" si="1"/>
        <v>-0.27300000000002456</v>
      </c>
    </row>
    <row r="9" spans="1:7" s="10" customFormat="1" ht="14.25">
      <c r="A9" s="15" t="s">
        <v>301</v>
      </c>
      <c r="B9" s="63">
        <v>3.68</v>
      </c>
      <c r="C9" s="64"/>
      <c r="D9" s="11"/>
      <c r="E9" s="76">
        <f t="shared" si="0"/>
        <v>188.048</v>
      </c>
      <c r="F9" s="79">
        <v>188</v>
      </c>
      <c r="G9" s="77">
        <f t="shared" si="1"/>
        <v>-0.04800000000000182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4.25">
      <c r="A2" s="6" t="s">
        <v>491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228</v>
      </c>
      <c r="B4" s="63">
        <v>43.34</v>
      </c>
      <c r="C4" s="64"/>
      <c r="D4" s="11"/>
      <c r="E4" s="11">
        <f>(B4+D4)*$D$1</f>
        <v>2214.6740000000004</v>
      </c>
      <c r="F4" s="78">
        <v>2217</v>
      </c>
      <c r="G4" s="14">
        <f>-E4+F4</f>
        <v>2.325999999999567</v>
      </c>
      <c r="H4" s="74"/>
    </row>
    <row r="5" spans="1:7" s="10" customFormat="1" ht="14.25">
      <c r="A5" s="15" t="s">
        <v>333</v>
      </c>
      <c r="B5" s="63">
        <v>44.69</v>
      </c>
      <c r="C5" s="64"/>
      <c r="D5" s="11"/>
      <c r="E5" s="76">
        <f>(B5+D5)*$D$1</f>
        <v>2283.659</v>
      </c>
      <c r="F5" s="79">
        <v>1000</v>
      </c>
      <c r="G5" s="77">
        <f>-E5+F5</f>
        <v>-1283.659</v>
      </c>
    </row>
    <row r="6" spans="1:7" s="10" customFormat="1" ht="14.25">
      <c r="A6" s="15" t="s">
        <v>165</v>
      </c>
      <c r="B6" s="63">
        <v>37.7</v>
      </c>
      <c r="C6" s="64"/>
      <c r="D6" s="11"/>
      <c r="E6" s="76">
        <f>(B6+D6)*$D$1</f>
        <v>1926.4700000000003</v>
      </c>
      <c r="F6" s="79">
        <f>1915+8</f>
        <v>1923</v>
      </c>
      <c r="G6" s="77">
        <f>-E6+F6</f>
        <v>-3.4700000000002547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0.75">
      <c r="A10" s="26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141.28</v>
      </c>
      <c r="C4" s="64"/>
      <c r="D4" s="11"/>
      <c r="E4" s="11">
        <f>(B4+D4)*$D$1</f>
        <v>7572.608</v>
      </c>
      <c r="F4" s="78">
        <v>10131</v>
      </c>
      <c r="G4" s="14">
        <f>-E4+F4</f>
        <v>2558.392</v>
      </c>
      <c r="H4" s="74"/>
    </row>
    <row r="5" spans="1:7" s="10" customFormat="1" ht="14.25">
      <c r="A5" s="15" t="s">
        <v>496</v>
      </c>
      <c r="B5" s="63">
        <v>11.14</v>
      </c>
      <c r="C5" s="64"/>
      <c r="D5" s="11"/>
      <c r="E5" s="76">
        <f>(B5+D5)*$D$1</f>
        <v>597.104</v>
      </c>
      <c r="F5" s="79">
        <f>572+25</f>
        <v>597</v>
      </c>
      <c r="G5" s="77">
        <f>-E5+F5</f>
        <v>-0.10400000000004184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497</v>
      </c>
      <c r="B4" s="63">
        <v>128.97</v>
      </c>
      <c r="C4" s="64"/>
      <c r="D4" s="11"/>
      <c r="E4" s="11">
        <f>(B4+D4)*$D$1</f>
        <v>6912.792</v>
      </c>
      <c r="F4" s="78">
        <f>6506+293</f>
        <v>6799</v>
      </c>
      <c r="G4" s="14">
        <f>-E4+F4</f>
        <v>-113.79200000000037</v>
      </c>
      <c r="H4" s="74"/>
    </row>
    <row r="5" spans="1:7" s="10" customFormat="1" ht="14.25">
      <c r="A5" s="15" t="s">
        <v>498</v>
      </c>
      <c r="B5" s="63">
        <v>16.71</v>
      </c>
      <c r="C5" s="64"/>
      <c r="D5" s="11"/>
      <c r="E5" s="76">
        <f>(B5+D5)*$D$1</f>
        <v>895.6560000000001</v>
      </c>
      <c r="F5" s="79">
        <f>858+38</f>
        <v>896</v>
      </c>
      <c r="G5" s="77">
        <f>-E5+F5</f>
        <v>0.34399999999993724</v>
      </c>
    </row>
    <row r="6" spans="1:8" s="10" customFormat="1" ht="14.25">
      <c r="A6" s="11" t="s">
        <v>479</v>
      </c>
      <c r="B6" s="63">
        <v>9.78</v>
      </c>
      <c r="C6" s="64"/>
      <c r="D6" s="11"/>
      <c r="E6" s="11">
        <f>(B6+D6)*$D$1</f>
        <v>524.208</v>
      </c>
      <c r="F6" s="78">
        <v>503</v>
      </c>
      <c r="G6" s="14">
        <f>-E6+F6</f>
        <v>-21.20799999999997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65.43</v>
      </c>
      <c r="C4" s="64"/>
      <c r="D4" s="11"/>
      <c r="E4" s="11">
        <f aca="true" t="shared" si="0" ref="E4:E9">(B4+D4)*$D$1</f>
        <v>3507.0480000000007</v>
      </c>
      <c r="F4" s="78">
        <v>3416</v>
      </c>
      <c r="G4" s="14">
        <f aca="true" t="shared" si="1" ref="G4:G9">-E4+F4</f>
        <v>-91.04800000000068</v>
      </c>
      <c r="H4" s="74"/>
    </row>
    <row r="5" spans="1:7" s="10" customFormat="1" ht="14.25">
      <c r="A5" s="15" t="s">
        <v>471</v>
      </c>
      <c r="B5" s="63">
        <v>13.98</v>
      </c>
      <c r="C5" s="64"/>
      <c r="D5" s="11"/>
      <c r="E5" s="76">
        <f t="shared" si="0"/>
        <v>749.3280000000001</v>
      </c>
      <c r="F5" s="79">
        <f>500+212+32</f>
        <v>744</v>
      </c>
      <c r="G5" s="77">
        <f t="shared" si="1"/>
        <v>-5.328000000000088</v>
      </c>
    </row>
    <row r="6" spans="1:8" s="10" customFormat="1" ht="14.25">
      <c r="A6" s="11" t="s">
        <v>499</v>
      </c>
      <c r="B6" s="63">
        <v>7.63</v>
      </c>
      <c r="C6" s="64"/>
      <c r="D6" s="11"/>
      <c r="E6" s="11">
        <f t="shared" si="0"/>
        <v>408.968</v>
      </c>
      <c r="F6" s="78">
        <f>392+26</f>
        <v>418</v>
      </c>
      <c r="G6" s="14">
        <f t="shared" si="1"/>
        <v>9.031999999999982</v>
      </c>
      <c r="H6" s="74"/>
    </row>
    <row r="7" spans="1:8" s="10" customFormat="1" ht="14.25">
      <c r="A7" s="11" t="s">
        <v>116</v>
      </c>
      <c r="B7" s="63">
        <v>26.02</v>
      </c>
      <c r="C7" s="64"/>
      <c r="D7" s="11"/>
      <c r="E7" s="11">
        <f t="shared" si="0"/>
        <v>1394.672</v>
      </c>
      <c r="F7" s="78">
        <f>1252+83</f>
        <v>1335</v>
      </c>
      <c r="G7" s="14">
        <f t="shared" si="1"/>
        <v>-59.672000000000025</v>
      </c>
      <c r="H7" s="74" t="s">
        <v>502</v>
      </c>
    </row>
    <row r="8" spans="1:7" s="10" customFormat="1" ht="14.25">
      <c r="A8" s="15" t="s">
        <v>234</v>
      </c>
      <c r="B8" s="63">
        <v>14.15</v>
      </c>
      <c r="C8" s="64"/>
      <c r="D8" s="11"/>
      <c r="E8" s="76">
        <f t="shared" si="0"/>
        <v>758.44</v>
      </c>
      <c r="F8" s="79">
        <f>724+32</f>
        <v>756</v>
      </c>
      <c r="G8" s="77">
        <f t="shared" si="1"/>
        <v>-2.4400000000000546</v>
      </c>
    </row>
    <row r="9" spans="1:7" s="10" customFormat="1" ht="14.25">
      <c r="A9" s="15" t="s">
        <v>422</v>
      </c>
      <c r="B9" s="63">
        <v>19.89</v>
      </c>
      <c r="C9" s="64"/>
      <c r="D9" s="11"/>
      <c r="E9" s="76">
        <f t="shared" si="0"/>
        <v>1066.104</v>
      </c>
      <c r="F9" s="79">
        <f>1029+45</f>
        <v>1074</v>
      </c>
      <c r="G9" s="77">
        <f t="shared" si="1"/>
        <v>7.895999999999958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33.24</v>
      </c>
      <c r="C4" s="64"/>
      <c r="D4" s="11"/>
      <c r="E4" s="11">
        <f>(B4+D4)*$D$1</f>
        <v>1781.6640000000002</v>
      </c>
      <c r="F4" s="78">
        <f>1696+80</f>
        <v>1776</v>
      </c>
      <c r="G4" s="14">
        <f>-E4+F4</f>
        <v>-5.664000000000215</v>
      </c>
      <c r="H4" s="74"/>
    </row>
    <row r="5" spans="1:7" s="10" customFormat="1" ht="14.25">
      <c r="A5" s="15" t="s">
        <v>203</v>
      </c>
      <c r="B5" s="63">
        <v>56.07</v>
      </c>
      <c r="C5" s="64"/>
      <c r="D5" s="11"/>
      <c r="E5" s="76">
        <f>(B5+D5)*$D$1</f>
        <v>3005.3520000000003</v>
      </c>
      <c r="F5" s="79"/>
      <c r="G5" s="77">
        <f>-E5+F5</f>
        <v>-3005.3520000000003</v>
      </c>
    </row>
    <row r="6" spans="1:7" s="10" customFormat="1" ht="14.25">
      <c r="A6" s="15" t="s">
        <v>500</v>
      </c>
      <c r="B6" s="63">
        <v>6.75</v>
      </c>
      <c r="C6" s="64"/>
      <c r="D6" s="11"/>
      <c r="E6" s="76">
        <f>(B6+D6)*$D$1</f>
        <v>361.8</v>
      </c>
      <c r="F6" s="79">
        <v>346</v>
      </c>
      <c r="G6" s="77">
        <f>-E6+F6</f>
        <v>-15.800000000000011</v>
      </c>
    </row>
    <row r="7" spans="1:7" s="10" customFormat="1" ht="14.25">
      <c r="A7" s="15" t="s">
        <v>93</v>
      </c>
      <c r="B7" s="12">
        <v>26.46</v>
      </c>
      <c r="C7" s="12"/>
      <c r="D7" s="11"/>
      <c r="E7" s="11">
        <f>(B7+D7)*$D$1</f>
        <v>1418.256</v>
      </c>
      <c r="F7" s="79">
        <v>1366</v>
      </c>
      <c r="G7" s="14">
        <f>-E7+F7</f>
        <v>-52.256000000000085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4.25">
      <c r="A2" s="6" t="s">
        <v>503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>
        <v>54.28</v>
      </c>
      <c r="C4" s="64"/>
      <c r="D4" s="11"/>
      <c r="E4" s="11">
        <f>(B4+D4)*$D$1</f>
        <v>2946.8612</v>
      </c>
      <c r="F4" s="78">
        <v>2993</v>
      </c>
      <c r="G4" s="14">
        <f>-E4+F4</f>
        <v>46.138800000000174</v>
      </c>
      <c r="H4" s="74"/>
    </row>
    <row r="5" spans="1:8" s="10" customFormat="1" ht="14.25">
      <c r="A5" s="15" t="s">
        <v>86</v>
      </c>
      <c r="B5" s="63">
        <v>27.18</v>
      </c>
      <c r="C5" s="64"/>
      <c r="D5" s="11"/>
      <c r="E5" s="76">
        <f>(B5+D5)*$D$1</f>
        <v>1475.6022</v>
      </c>
      <c r="F5" s="79">
        <f>1479+7</f>
        <v>1486</v>
      </c>
      <c r="G5" s="77">
        <f>-E5+F5</f>
        <v>10.397799999999961</v>
      </c>
      <c r="H5" s="10" t="s">
        <v>518</v>
      </c>
    </row>
    <row r="6" spans="1:7" s="10" customFormat="1" ht="14.25">
      <c r="A6" s="15" t="s">
        <v>504</v>
      </c>
      <c r="B6" s="63">
        <v>2.69</v>
      </c>
      <c r="C6" s="64"/>
      <c r="D6" s="11"/>
      <c r="E6" s="76">
        <f>(B6+D6)*$D$1</f>
        <v>146.0401</v>
      </c>
      <c r="F6" s="79">
        <v>145</v>
      </c>
      <c r="G6" s="77">
        <f>-E6+F6</f>
        <v>-1.0400999999999954</v>
      </c>
    </row>
    <row r="7" spans="1:7" s="10" customFormat="1" ht="14.25">
      <c r="A7" s="15" t="s">
        <v>505</v>
      </c>
      <c r="B7" s="12">
        <v>37.4</v>
      </c>
      <c r="C7" s="12"/>
      <c r="D7" s="11"/>
      <c r="E7" s="11">
        <f>(B7+D7)*$D$1</f>
        <v>2030.446</v>
      </c>
      <c r="F7" s="79">
        <v>2021</v>
      </c>
      <c r="G7" s="14">
        <f>-E7+F7</f>
        <v>-9.445999999999913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4.25">
      <c r="A2" s="6" t="s">
        <v>503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25.9</v>
      </c>
      <c r="C4" s="64"/>
      <c r="D4" s="11"/>
      <c r="E4" s="11">
        <f>(B4+D4)*$D$1</f>
        <v>1406.1109999999999</v>
      </c>
      <c r="F4" s="78">
        <v>1399</v>
      </c>
      <c r="G4" s="14">
        <f>-E4+F4</f>
        <v>-7.110999999999876</v>
      </c>
      <c r="H4" s="74"/>
    </row>
    <row r="5" spans="1:7" s="10" customFormat="1" ht="14.25">
      <c r="A5" s="15" t="s">
        <v>506</v>
      </c>
      <c r="B5" s="63">
        <v>54.22</v>
      </c>
      <c r="C5" s="64"/>
      <c r="D5" s="11"/>
      <c r="E5" s="76">
        <f>(B5+D5)*$D$1</f>
        <v>2943.6038</v>
      </c>
      <c r="F5" s="79">
        <f>2930+14</f>
        <v>2944</v>
      </c>
      <c r="G5" s="77">
        <f>-E5+F5</f>
        <v>0.39620000000013533</v>
      </c>
    </row>
    <row r="6" spans="1:7" s="10" customFormat="1" ht="14.25">
      <c r="A6" s="15" t="s">
        <v>223</v>
      </c>
      <c r="B6" s="63">
        <v>23.28</v>
      </c>
      <c r="C6" s="64"/>
      <c r="D6" s="11"/>
      <c r="E6" s="76">
        <f>(B6+D6)*$D$1</f>
        <v>1263.8712</v>
      </c>
      <c r="F6" s="79"/>
      <c r="G6" s="77">
        <f>-E6+F6</f>
        <v>-1263.8712</v>
      </c>
    </row>
    <row r="7" spans="1:7" s="10" customFormat="1" ht="14.25">
      <c r="A7" s="15" t="s">
        <v>194</v>
      </c>
      <c r="B7" s="12">
        <v>25.19</v>
      </c>
      <c r="C7" s="12"/>
      <c r="D7" s="11"/>
      <c r="E7" s="11">
        <f>(B7+D7)*$D$1</f>
        <v>1367.5651</v>
      </c>
      <c r="F7" s="79">
        <v>1361</v>
      </c>
      <c r="G7" s="14">
        <f>-E7+F7</f>
        <v>-6.5651000000000295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42027</v>
      </c>
      <c r="C1" s="3" t="s">
        <v>1</v>
      </c>
      <c r="D1" s="4">
        <v>64.97</v>
      </c>
      <c r="E1" s="5" t="s">
        <v>2</v>
      </c>
    </row>
    <row r="2" s="5" customFormat="1" ht="14.25">
      <c r="A2" s="6" t="s">
        <v>320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321</v>
      </c>
      <c r="B4" s="12">
        <v>12.95</v>
      </c>
      <c r="C4" s="12">
        <v>0.57</v>
      </c>
      <c r="D4" s="11">
        <f aca="true" t="shared" si="0" ref="D4:D10">C4/$C$11*$D$11</f>
        <v>1.1491935483870968</v>
      </c>
      <c r="E4" s="11">
        <f aca="true" t="shared" si="1" ref="E4:E9">(B4+D4)*$D$1</f>
        <v>916.0246048387096</v>
      </c>
      <c r="F4" s="13">
        <v>931</v>
      </c>
      <c r="G4" s="14">
        <f aca="true" t="shared" si="2" ref="G4:G9">-E4+F4</f>
        <v>14.975395161290407</v>
      </c>
    </row>
    <row r="5" spans="1:7" s="10" customFormat="1" ht="14.25">
      <c r="A5" s="15" t="s">
        <v>178</v>
      </c>
      <c r="B5" s="63">
        <v>38.2</v>
      </c>
      <c r="C5" s="64">
        <v>0.73</v>
      </c>
      <c r="D5" s="11">
        <f t="shared" si="0"/>
        <v>1.4717741935483872</v>
      </c>
      <c r="E5" s="11">
        <f t="shared" si="1"/>
        <v>2577.4751693548387</v>
      </c>
      <c r="F5" s="13">
        <v>2621</v>
      </c>
      <c r="G5" s="14">
        <f t="shared" si="2"/>
        <v>43.52483064516127</v>
      </c>
    </row>
    <row r="6" spans="1:7" s="10" customFormat="1" ht="14.25">
      <c r="A6" s="11" t="s">
        <v>188</v>
      </c>
      <c r="B6" s="12">
        <v>23.46</v>
      </c>
      <c r="C6" s="12">
        <v>0.66</v>
      </c>
      <c r="D6" s="11">
        <f t="shared" si="0"/>
        <v>1.3306451612903227</v>
      </c>
      <c r="E6" s="11">
        <f t="shared" si="1"/>
        <v>1610.6482161290323</v>
      </c>
      <c r="F6" s="13">
        <v>1638</v>
      </c>
      <c r="G6" s="14">
        <f t="shared" si="2"/>
        <v>27.351783870967665</v>
      </c>
    </row>
    <row r="7" spans="1:7" s="10" customFormat="1" ht="14.25">
      <c r="A7" s="15" t="s">
        <v>317</v>
      </c>
      <c r="B7" s="63">
        <v>7.65</v>
      </c>
      <c r="C7" s="64">
        <v>0.32</v>
      </c>
      <c r="D7" s="11">
        <f t="shared" si="0"/>
        <v>0.6451612903225806</v>
      </c>
      <c r="E7" s="11">
        <f t="shared" si="1"/>
        <v>538.936629032258</v>
      </c>
      <c r="F7" s="13">
        <v>548</v>
      </c>
      <c r="G7" s="14">
        <f t="shared" si="2"/>
        <v>9.063370967742003</v>
      </c>
    </row>
    <row r="8" spans="1:7" s="10" customFormat="1" ht="14.25">
      <c r="A8" s="11" t="s">
        <v>227</v>
      </c>
      <c r="B8" s="16">
        <v>52.53</v>
      </c>
      <c r="C8" s="17">
        <v>0.61</v>
      </c>
      <c r="D8" s="11">
        <f t="shared" si="0"/>
        <v>1.2298387096774195</v>
      </c>
      <c r="E8" s="11">
        <f t="shared" si="1"/>
        <v>3492.7767209677418</v>
      </c>
      <c r="F8" s="13">
        <v>3544</v>
      </c>
      <c r="G8" s="14">
        <f t="shared" si="2"/>
        <v>51.22327903225823</v>
      </c>
    </row>
    <row r="9" spans="1:7" s="10" customFormat="1" ht="14.25">
      <c r="A9" s="11" t="s">
        <v>189</v>
      </c>
      <c r="B9" s="64">
        <v>22.88</v>
      </c>
      <c r="C9" s="64">
        <v>0.78</v>
      </c>
      <c r="D9" s="11">
        <f t="shared" si="0"/>
        <v>1.5725806451612903</v>
      </c>
      <c r="E9" s="11">
        <f t="shared" si="1"/>
        <v>1588.684164516129</v>
      </c>
      <c r="F9" s="13">
        <v>1609</v>
      </c>
      <c r="G9" s="14">
        <f t="shared" si="2"/>
        <v>20.31583548387107</v>
      </c>
    </row>
    <row r="10" spans="1:7" s="10" customFormat="1" ht="14.25">
      <c r="A10" s="15" t="s">
        <v>10</v>
      </c>
      <c r="B10" s="24"/>
      <c r="C10" s="20">
        <v>1.29</v>
      </c>
      <c r="D10" s="11">
        <f t="shared" si="0"/>
        <v>2.600806451612903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4.96</v>
      </c>
      <c r="D11" s="24">
        <v>10</v>
      </c>
      <c r="E11" s="24"/>
      <c r="F11" s="24"/>
      <c r="G11" s="24"/>
    </row>
    <row r="14" ht="14.25">
      <c r="A14" s="27"/>
    </row>
    <row r="15" ht="30.75">
      <c r="A15" s="26" t="s">
        <v>307</v>
      </c>
    </row>
    <row r="16" ht="14.25">
      <c r="A16" s="11" t="s">
        <v>227</v>
      </c>
    </row>
    <row r="17" ht="14.25">
      <c r="A17" s="27" t="s">
        <v>322</v>
      </c>
    </row>
  </sheetData>
  <sheetProtection/>
  <hyperlinks>
    <hyperlink ref="A17" r:id="rId1" display="http://ru.iherb.com/Real-Techniques-by-Samantha-Chapman-Your-Finish-Perfected-Setting-Brush/42483"/>
  </hyperlink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4.25">
      <c r="A2" s="6" t="s">
        <v>503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507</v>
      </c>
      <c r="B4" s="63">
        <v>21.44</v>
      </c>
      <c r="C4" s="64"/>
      <c r="D4" s="11"/>
      <c r="E4" s="11">
        <f>(B4+D4)*$D$1</f>
        <v>1163.9776</v>
      </c>
      <c r="F4" s="78">
        <f>1158+6</f>
        <v>1164</v>
      </c>
      <c r="G4" s="14">
        <f>-E4+F4</f>
        <v>0.022400000000061482</v>
      </c>
      <c r="H4" s="74"/>
    </row>
    <row r="5" spans="1:7" s="10" customFormat="1" ht="14.25">
      <c r="A5" s="15" t="s">
        <v>223</v>
      </c>
      <c r="B5" s="63">
        <v>20.1</v>
      </c>
      <c r="C5" s="64"/>
      <c r="D5" s="11"/>
      <c r="E5" s="76">
        <f>(B5+D5)*$D$1</f>
        <v>1091.229</v>
      </c>
      <c r="F5" s="79">
        <v>2351</v>
      </c>
      <c r="G5" s="77">
        <f>-E5+F5</f>
        <v>1259.771</v>
      </c>
    </row>
    <row r="6" spans="1:7" s="10" customFormat="1" ht="14.25">
      <c r="A6" s="15" t="s">
        <v>169</v>
      </c>
      <c r="B6" s="63">
        <v>15.01</v>
      </c>
      <c r="C6" s="64"/>
      <c r="D6" s="11"/>
      <c r="E6" s="76">
        <f>(B6+D6)*$D$1</f>
        <v>814.8928999999999</v>
      </c>
      <c r="F6" s="79">
        <v>807</v>
      </c>
      <c r="G6" s="77">
        <f>-E6+F6</f>
        <v>-7.8928999999999405</v>
      </c>
    </row>
    <row r="7" spans="1:7" s="10" customFormat="1" ht="14.25">
      <c r="A7" s="15" t="s">
        <v>189</v>
      </c>
      <c r="B7" s="12">
        <v>2.98</v>
      </c>
      <c r="C7" s="12"/>
      <c r="D7" s="11"/>
      <c r="E7" s="11">
        <f>(B7+D7)*$D$1</f>
        <v>161.7842</v>
      </c>
      <c r="F7" s="79">
        <v>142</v>
      </c>
      <c r="G7" s="14">
        <f>-E7+F7</f>
        <v>-19.7842</v>
      </c>
    </row>
    <row r="8" spans="1:7" s="10" customFormat="1" ht="14.25">
      <c r="A8" s="15" t="s">
        <v>35</v>
      </c>
      <c r="B8" s="63">
        <v>9.59</v>
      </c>
      <c r="C8" s="64"/>
      <c r="D8" s="11"/>
      <c r="E8" s="76">
        <f>(B8+D8)*$D$1</f>
        <v>520.6410999999999</v>
      </c>
      <c r="F8" s="79">
        <v>27</v>
      </c>
      <c r="G8" s="77">
        <f>-E8+F8</f>
        <v>-493.64109999999994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30.75">
      <c r="A11" s="26" t="s">
        <v>416</v>
      </c>
    </row>
    <row r="12" spans="1:2" ht="14.25">
      <c r="A12" s="71" t="s">
        <v>35</v>
      </c>
      <c r="B12" s="72" t="s">
        <v>508</v>
      </c>
    </row>
    <row r="13" ht="14.25">
      <c r="B13" s="27"/>
    </row>
    <row r="14" ht="14.25">
      <c r="B14" s="27"/>
    </row>
  </sheetData>
  <sheetProtection/>
  <hyperlinks>
    <hyperlink ref="B12" r:id="rId1" display="http://www.iherb.com/Rainbow-Light-Just-Once-Women-s-One-Food-Based-Multivitamin-30-Tablets/40970"/>
  </hyperlink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4.25">
      <c r="A2" s="6" t="s">
        <v>510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99">
        <v>5.45</v>
      </c>
      <c r="C4" s="64"/>
      <c r="D4" s="11"/>
      <c r="E4" s="11">
        <f aca="true" t="shared" si="0" ref="E4:E10">(B4+D4)*$D$1</f>
        <v>298.551</v>
      </c>
      <c r="F4" s="78">
        <f>282+5</f>
        <v>287</v>
      </c>
      <c r="G4" s="14">
        <f aca="true" t="shared" si="1" ref="G4:G10">-E4+F4</f>
        <v>-11.550999999999988</v>
      </c>
      <c r="H4" s="74"/>
    </row>
    <row r="5" spans="1:7" s="10" customFormat="1" ht="14.25">
      <c r="A5" s="15" t="s">
        <v>499</v>
      </c>
      <c r="B5" s="99">
        <v>10.683</v>
      </c>
      <c r="C5" s="64"/>
      <c r="D5" s="11"/>
      <c r="E5" s="76">
        <f t="shared" si="0"/>
        <v>585.21474</v>
      </c>
      <c r="F5" s="79">
        <v>576</v>
      </c>
      <c r="G5" s="77">
        <f t="shared" si="1"/>
        <v>-9.214740000000006</v>
      </c>
    </row>
    <row r="6" spans="1:8" s="10" customFormat="1" ht="14.25">
      <c r="A6" s="15" t="s">
        <v>512</v>
      </c>
      <c r="B6" s="99">
        <v>10.683</v>
      </c>
      <c r="C6" s="64"/>
      <c r="D6" s="11"/>
      <c r="E6" s="76">
        <f t="shared" si="0"/>
        <v>585.21474</v>
      </c>
      <c r="F6" s="79">
        <f>600-20</f>
        <v>580</v>
      </c>
      <c r="G6" s="77">
        <f t="shared" si="1"/>
        <v>-5.214740000000006</v>
      </c>
      <c r="H6" s="10" t="s">
        <v>533</v>
      </c>
    </row>
    <row r="7" spans="1:7" s="10" customFormat="1" ht="14.25">
      <c r="A7" s="15" t="s">
        <v>29</v>
      </c>
      <c r="B7" s="99">
        <v>9.95</v>
      </c>
      <c r="C7" s="64"/>
      <c r="D7" s="11"/>
      <c r="E7" s="76">
        <f t="shared" si="0"/>
        <v>545.0609999999999</v>
      </c>
      <c r="F7" s="79">
        <v>536</v>
      </c>
      <c r="G7" s="77">
        <f t="shared" si="1"/>
        <v>-9.060999999999922</v>
      </c>
    </row>
    <row r="8" spans="1:7" s="10" customFormat="1" ht="14.25">
      <c r="A8" s="15" t="s">
        <v>35</v>
      </c>
      <c r="B8" s="99">
        <v>27.98</v>
      </c>
      <c r="C8" s="64"/>
      <c r="D8" s="11"/>
      <c r="E8" s="76">
        <f t="shared" si="0"/>
        <v>1532.7444</v>
      </c>
      <c r="F8" s="79">
        <v>1995</v>
      </c>
      <c r="G8" s="77">
        <f t="shared" si="1"/>
        <v>462.25559999999996</v>
      </c>
    </row>
    <row r="9" spans="1:7" s="10" customFormat="1" ht="14.25">
      <c r="A9" s="15" t="s">
        <v>373</v>
      </c>
      <c r="B9" s="100">
        <v>26.313</v>
      </c>
      <c r="C9" s="12"/>
      <c r="D9" s="11"/>
      <c r="E9" s="11">
        <f t="shared" si="0"/>
        <v>1441.42614</v>
      </c>
      <c r="F9" s="79">
        <v>1418</v>
      </c>
      <c r="G9" s="14">
        <f t="shared" si="1"/>
        <v>-23.426140000000032</v>
      </c>
    </row>
    <row r="10" spans="1:7" s="10" customFormat="1" ht="14.25">
      <c r="A10" s="15" t="s">
        <v>482</v>
      </c>
      <c r="B10" s="99">
        <v>15.27</v>
      </c>
      <c r="C10" s="64"/>
      <c r="D10" s="11"/>
      <c r="E10" s="76">
        <f t="shared" si="0"/>
        <v>836.4906</v>
      </c>
      <c r="F10" s="79">
        <f>823+13</f>
        <v>836</v>
      </c>
      <c r="G10" s="77">
        <f t="shared" si="1"/>
        <v>-0.49059999999997217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4.25">
      <c r="A2" s="6" t="s">
        <v>511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448</v>
      </c>
      <c r="B4" s="63">
        <v>5.39</v>
      </c>
      <c r="C4" s="64"/>
      <c r="D4" s="11"/>
      <c r="E4" s="11">
        <f>(B4+D4)*$D$1</f>
        <v>295.2642</v>
      </c>
      <c r="F4" s="78">
        <f>290+1</f>
        <v>291</v>
      </c>
      <c r="G4" s="14">
        <f>-E4+F4</f>
        <v>-4.264200000000017</v>
      </c>
      <c r="H4" s="74"/>
    </row>
    <row r="5" spans="1:7" s="10" customFormat="1" ht="14.25">
      <c r="A5" s="15" t="s">
        <v>280</v>
      </c>
      <c r="B5" s="63">
        <v>9.72</v>
      </c>
      <c r="C5" s="64"/>
      <c r="D5" s="11"/>
      <c r="E5" s="76">
        <f>(B5+D5)*$D$1</f>
        <v>532.4616000000001</v>
      </c>
      <c r="F5" s="79">
        <v>524</v>
      </c>
      <c r="G5" s="77">
        <f>-E5+F5</f>
        <v>-8.46160000000009</v>
      </c>
    </row>
    <row r="6" spans="1:7" s="10" customFormat="1" ht="14.25">
      <c r="A6" s="15" t="s">
        <v>116</v>
      </c>
      <c r="B6" s="63">
        <v>21.68</v>
      </c>
      <c r="C6" s="64"/>
      <c r="D6" s="11"/>
      <c r="E6" s="76">
        <f>(B6+D6)*$D$1</f>
        <v>1187.6304</v>
      </c>
      <c r="F6" s="79">
        <v>1168</v>
      </c>
      <c r="G6" s="77">
        <f>-E6+F6</f>
        <v>-19.63040000000001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30.75">
      <c r="A9" s="26" t="s">
        <v>416</v>
      </c>
    </row>
    <row r="10" ht="36.75" customHeight="1">
      <c r="A10" s="15" t="s">
        <v>280</v>
      </c>
    </row>
    <row r="11" spans="1:2" ht="14.25">
      <c r="A11" s="102" t="s">
        <v>514</v>
      </c>
      <c r="B11" s="27"/>
    </row>
    <row r="12" spans="1:2" ht="14.25">
      <c r="A12" s="101" t="s">
        <v>513</v>
      </c>
      <c r="B12" s="27"/>
    </row>
  </sheetData>
  <sheetProtection/>
  <hyperlinks>
    <hyperlink ref="A11" r:id="rId1" display="http://ru.iherb.com/product-reviews/All-Terrain-Mickey-and-Minnie-Mouse-KidSport-Spray-SPF-30-Fragrance-Free-3-0-fl-oz-90-ml/53425"/>
    <hyperlink ref="A12" r:id="rId2" display="http://www.iherb.com/product-reviews/NutriBiotic-Skin-Cleanser-Fragrance-Free-Non-Soap-16-fl-oz-473-ml/13314/?p=1&amp;revl=ru"/>
  </hyperlink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4.25">
      <c r="A2" s="6" t="s">
        <v>510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 t="s">
        <v>516</v>
      </c>
      <c r="C4" s="64"/>
      <c r="D4" s="11"/>
      <c r="E4" s="11"/>
      <c r="F4" s="78"/>
      <c r="G4" s="14"/>
      <c r="H4" s="74"/>
    </row>
    <row r="5" spans="1:7" s="10" customFormat="1" ht="14.25">
      <c r="A5" s="15" t="s">
        <v>363</v>
      </c>
      <c r="B5" s="63">
        <v>15.39</v>
      </c>
      <c r="C5" s="64"/>
      <c r="D5" s="11"/>
      <c r="E5" s="76">
        <f>(B5+D5)*$D$1</f>
        <v>843.0642</v>
      </c>
      <c r="F5" s="79">
        <v>850</v>
      </c>
      <c r="G5" s="77">
        <f>-E5+F5</f>
        <v>6.935799999999972</v>
      </c>
    </row>
    <row r="6" spans="1:7" s="10" customFormat="1" ht="14.25">
      <c r="A6" s="15" t="s">
        <v>515</v>
      </c>
      <c r="B6" s="63">
        <v>26.47</v>
      </c>
      <c r="C6" s="64"/>
      <c r="D6" s="11"/>
      <c r="E6" s="76">
        <f>(B6+D6)*$D$1</f>
        <v>1450.0266</v>
      </c>
      <c r="F6" s="79">
        <f>1424+26</f>
        <v>1450</v>
      </c>
      <c r="G6" s="77">
        <f>-E6+F6</f>
        <v>-0.02659999999991669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42165</v>
      </c>
      <c r="C1" s="3" t="s">
        <v>1</v>
      </c>
      <c r="D1" s="4">
        <v>55.89</v>
      </c>
      <c r="E1" s="5" t="s">
        <v>2</v>
      </c>
    </row>
    <row r="2" s="5" customFormat="1" ht="14.25">
      <c r="A2" s="6" t="s">
        <v>519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189</v>
      </c>
      <c r="B4" s="63">
        <v>18.38</v>
      </c>
      <c r="C4" s="64">
        <v>0.19</v>
      </c>
      <c r="D4" s="103">
        <f aca="true" t="shared" si="0" ref="D4:D9">C4/$C$10*$D$10</f>
        <v>0.19874476987447698</v>
      </c>
      <c r="E4" s="103">
        <f>(B4+D4)*$D$1</f>
        <v>1038.3660451882845</v>
      </c>
      <c r="F4" s="78">
        <v>1033</v>
      </c>
      <c r="G4" s="14">
        <f>-E4+F4</f>
        <v>-5.366045188284488</v>
      </c>
      <c r="H4" s="74"/>
    </row>
    <row r="5" spans="1:7" s="10" customFormat="1" ht="14.25">
      <c r="A5" s="15" t="s">
        <v>203</v>
      </c>
      <c r="B5" s="63">
        <v>27.04</v>
      </c>
      <c r="C5" s="64">
        <v>0.76</v>
      </c>
      <c r="D5" s="103">
        <f t="shared" si="0"/>
        <v>0.7949790794979079</v>
      </c>
      <c r="E5" s="104">
        <f>(B5+D5)*$D$1</f>
        <v>1555.696980753138</v>
      </c>
      <c r="F5" s="79">
        <v>2004</v>
      </c>
      <c r="G5" s="77">
        <f>-E5+F5</f>
        <v>448.30301924686205</v>
      </c>
    </row>
    <row r="6" spans="1:7" s="10" customFormat="1" ht="14.25">
      <c r="A6" s="15" t="s">
        <v>520</v>
      </c>
      <c r="B6" s="63">
        <v>33.7</v>
      </c>
      <c r="C6" s="64">
        <v>1.04</v>
      </c>
      <c r="D6" s="103">
        <f t="shared" si="0"/>
        <v>1.0878661087866108</v>
      </c>
      <c r="E6" s="104">
        <f>(B6+D6)*$D$1</f>
        <v>1944.293836820084</v>
      </c>
      <c r="F6" s="79">
        <v>1945</v>
      </c>
      <c r="G6" s="77">
        <f>-E6+F6</f>
        <v>0.706163179916075</v>
      </c>
    </row>
    <row r="7" spans="1:7" s="10" customFormat="1" ht="14.25">
      <c r="A7" s="15" t="s">
        <v>410</v>
      </c>
      <c r="B7" s="12">
        <v>17.99</v>
      </c>
      <c r="C7" s="12">
        <v>1.26</v>
      </c>
      <c r="D7" s="103">
        <f t="shared" si="0"/>
        <v>1.317991631799163</v>
      </c>
      <c r="E7" s="103">
        <f>(B7+D7)*$D$1</f>
        <v>1079.123652301255</v>
      </c>
      <c r="F7" s="79">
        <v>1080</v>
      </c>
      <c r="G7" s="14">
        <f>-E7+F7</f>
        <v>0.8763476987448939</v>
      </c>
    </row>
    <row r="8" spans="1:7" s="10" customFormat="1" ht="14.25">
      <c r="A8" s="15" t="s">
        <v>106</v>
      </c>
      <c r="B8" s="63">
        <v>35.09</v>
      </c>
      <c r="C8" s="64">
        <v>0.75</v>
      </c>
      <c r="D8" s="103">
        <f t="shared" si="0"/>
        <v>0.7845188284518828</v>
      </c>
      <c r="E8" s="104">
        <f>(B8+D8)*$D$1</f>
        <v>2005.0268573221758</v>
      </c>
      <c r="F8" s="79">
        <v>2036</v>
      </c>
      <c r="G8" s="77">
        <f>-E8+F8</f>
        <v>30.97314267782417</v>
      </c>
    </row>
    <row r="9" spans="1:7" s="10" customFormat="1" ht="14.25">
      <c r="A9" s="15" t="s">
        <v>10</v>
      </c>
      <c r="B9" s="63"/>
      <c r="C9" s="64">
        <v>0.78</v>
      </c>
      <c r="D9" s="103">
        <f t="shared" si="0"/>
        <v>0.8158995815899582</v>
      </c>
      <c r="E9" s="24"/>
      <c r="F9" s="24"/>
      <c r="G9" s="24"/>
    </row>
    <row r="10" spans="1:7" s="25" customFormat="1" ht="14.25">
      <c r="A10" s="24"/>
      <c r="B10" s="24"/>
      <c r="C10" s="24">
        <f>SUM(C4:C9)</f>
        <v>4.78</v>
      </c>
      <c r="D10" s="24">
        <v>5</v>
      </c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4.25">
      <c r="A2" s="6" t="s">
        <v>522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56.4</v>
      </c>
      <c r="C4" s="64"/>
      <c r="D4" s="103"/>
      <c r="E4" s="103">
        <f aca="true" t="shared" si="0" ref="E4:E10">(B4+D4)*$D$1</f>
        <v>3182.652</v>
      </c>
      <c r="F4" s="78">
        <v>3216</v>
      </c>
      <c r="G4" s="14">
        <f aca="true" t="shared" si="1" ref="G4:G10">-E4+F4</f>
        <v>33.347999999999956</v>
      </c>
      <c r="H4" s="74"/>
    </row>
    <row r="5" spans="1:7" s="10" customFormat="1" ht="14.25">
      <c r="A5" s="15" t="s">
        <v>479</v>
      </c>
      <c r="B5" s="63">
        <v>5.79</v>
      </c>
      <c r="C5" s="64"/>
      <c r="D5" s="103"/>
      <c r="E5" s="104">
        <f t="shared" si="0"/>
        <v>326.7297</v>
      </c>
      <c r="F5" s="79">
        <f>344+5+5</f>
        <v>354</v>
      </c>
      <c r="G5" s="77">
        <f t="shared" si="1"/>
        <v>27.27030000000002</v>
      </c>
    </row>
    <row r="6" spans="1:7" s="10" customFormat="1" ht="14.25">
      <c r="A6" s="15" t="s">
        <v>373</v>
      </c>
      <c r="B6" s="63">
        <v>10.36</v>
      </c>
      <c r="C6" s="64"/>
      <c r="D6" s="103"/>
      <c r="E6" s="104">
        <f t="shared" si="0"/>
        <v>584.6148</v>
      </c>
      <c r="F6" s="79">
        <f>576+15</f>
        <v>591</v>
      </c>
      <c r="G6" s="77">
        <f t="shared" si="1"/>
        <v>6.385200000000054</v>
      </c>
    </row>
    <row r="7" spans="1:7" s="10" customFormat="1" ht="14.25">
      <c r="A7" s="15" t="s">
        <v>184</v>
      </c>
      <c r="B7" s="63">
        <v>32.82</v>
      </c>
      <c r="C7" s="64"/>
      <c r="D7" s="103"/>
      <c r="E7" s="104">
        <f t="shared" si="0"/>
        <v>1852.0326</v>
      </c>
      <c r="F7" s="79">
        <v>1852</v>
      </c>
      <c r="G7" s="77">
        <f t="shared" si="1"/>
        <v>-0.03260000000000218</v>
      </c>
    </row>
    <row r="8" spans="1:7" s="10" customFormat="1" ht="14.25">
      <c r="A8" s="15" t="s">
        <v>185</v>
      </c>
      <c r="B8" s="63">
        <v>11.18</v>
      </c>
      <c r="C8" s="64"/>
      <c r="D8" s="103"/>
      <c r="E8" s="104">
        <f t="shared" si="0"/>
        <v>630.8874</v>
      </c>
      <c r="F8" s="79">
        <v>610</v>
      </c>
      <c r="G8" s="77">
        <f t="shared" si="1"/>
        <v>-20.887399999999957</v>
      </c>
    </row>
    <row r="9" spans="1:7" s="10" customFormat="1" ht="14.25">
      <c r="A9" s="15" t="s">
        <v>34</v>
      </c>
      <c r="B9" s="12">
        <v>10.71</v>
      </c>
      <c r="C9" s="12"/>
      <c r="D9" s="103"/>
      <c r="E9" s="103">
        <f t="shared" si="0"/>
        <v>604.3653</v>
      </c>
      <c r="F9" s="79">
        <f>595+9</f>
        <v>604</v>
      </c>
      <c r="G9" s="14">
        <f t="shared" si="1"/>
        <v>-0.3653000000000475</v>
      </c>
    </row>
    <row r="10" spans="1:7" s="10" customFormat="1" ht="14.25">
      <c r="A10" s="15" t="s">
        <v>523</v>
      </c>
      <c r="B10" s="63">
        <v>8.99</v>
      </c>
      <c r="C10" s="64"/>
      <c r="D10" s="103"/>
      <c r="E10" s="104">
        <f t="shared" si="0"/>
        <v>507.3057</v>
      </c>
      <c r="F10" s="79">
        <f>500+7</f>
        <v>507</v>
      </c>
      <c r="G10" s="77">
        <f t="shared" si="1"/>
        <v>-0.30570000000000164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30.75">
      <c r="A13" s="26" t="s">
        <v>446</v>
      </c>
    </row>
    <row r="14" ht="20.25" customHeight="1">
      <c r="A14" s="71" t="s">
        <v>116</v>
      </c>
    </row>
    <row r="15" spans="1:2" ht="14.25">
      <c r="A15" s="27" t="s">
        <v>524</v>
      </c>
      <c r="B15" s="27"/>
    </row>
    <row r="16" ht="14.25">
      <c r="B16" s="27"/>
    </row>
  </sheetData>
  <sheetProtection/>
  <hyperlinks>
    <hyperlink ref="A15" r:id="rId1" display="http://ru.iherb.com/product-reviews/NutriBiotic-Skin-Cleanser-Fresh-Fruit-Non-Soap-16-fl-oz-473-ml/4712/?p=1"/>
  </hyperlink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4.25">
      <c r="A2" s="6" t="s">
        <v>522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525</v>
      </c>
      <c r="B4" s="63">
        <v>41.42</v>
      </c>
      <c r="C4" s="64"/>
      <c r="D4" s="103"/>
      <c r="E4" s="103">
        <f>(B4+D4)*$D$1</f>
        <v>2337.3306000000002</v>
      </c>
      <c r="F4" s="78">
        <v>2304</v>
      </c>
      <c r="G4" s="14">
        <f>-E4+F4</f>
        <v>-33.33060000000023</v>
      </c>
      <c r="H4" s="74"/>
    </row>
    <row r="5" spans="1:7" s="10" customFormat="1" ht="14.25">
      <c r="A5" s="15" t="s">
        <v>93</v>
      </c>
      <c r="B5" s="63">
        <v>48.2</v>
      </c>
      <c r="C5" s="64"/>
      <c r="D5" s="103"/>
      <c r="E5" s="104">
        <f>(B5+D5)*$D$1</f>
        <v>2719.926</v>
      </c>
      <c r="F5" s="79">
        <v>2741</v>
      </c>
      <c r="G5" s="77">
        <f>-E5+F5</f>
        <v>21.07400000000007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42170</v>
      </c>
      <c r="C1" s="3" t="s">
        <v>1</v>
      </c>
      <c r="D1" s="4">
        <v>55.39</v>
      </c>
      <c r="E1" s="5" t="s">
        <v>2</v>
      </c>
    </row>
    <row r="2" s="5" customFormat="1" ht="14.25">
      <c r="A2" s="6" t="s">
        <v>528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105</v>
      </c>
      <c r="B4" s="63">
        <v>56.69</v>
      </c>
      <c r="C4" s="64"/>
      <c r="D4" s="103"/>
      <c r="E4" s="103">
        <f>(B4+D4)*$D$1</f>
        <v>3140.0591</v>
      </c>
      <c r="F4" s="78">
        <f>3153-14</f>
        <v>3139</v>
      </c>
      <c r="G4" s="14">
        <f>-E4+F4</f>
        <v>-1.059099999999944</v>
      </c>
      <c r="H4" s="74" t="s">
        <v>636</v>
      </c>
    </row>
    <row r="5" spans="1:7" s="10" customFormat="1" ht="14.25">
      <c r="A5" s="15" t="s">
        <v>190</v>
      </c>
      <c r="B5" s="63">
        <v>22.26</v>
      </c>
      <c r="C5" s="64"/>
      <c r="D5" s="103"/>
      <c r="E5" s="104">
        <f>(B5+D5)*$D$1</f>
        <v>1232.9814000000001</v>
      </c>
      <c r="F5" s="79">
        <v>1238</v>
      </c>
      <c r="G5" s="77">
        <f>-E5+F5</f>
        <v>5.0185999999998785</v>
      </c>
    </row>
    <row r="6" spans="1:7" s="10" customFormat="1" ht="14.25">
      <c r="A6" s="15" t="s">
        <v>142</v>
      </c>
      <c r="B6" s="63">
        <v>24.6</v>
      </c>
      <c r="C6" s="64"/>
      <c r="D6" s="103"/>
      <c r="E6" s="104">
        <f>(B6+D6)*$D$1</f>
        <v>1362.594</v>
      </c>
      <c r="F6" s="79">
        <v>1400</v>
      </c>
      <c r="G6" s="77">
        <f>-E6+F6</f>
        <v>37.40599999999995</v>
      </c>
    </row>
    <row r="7" spans="1:7" s="10" customFormat="1" ht="14.25">
      <c r="A7" s="15" t="s">
        <v>482</v>
      </c>
      <c r="B7" s="12">
        <v>7.99</v>
      </c>
      <c r="C7" s="12"/>
      <c r="D7" s="103"/>
      <c r="E7" s="103">
        <f>(B7+D7)*$D$1</f>
        <v>442.5661</v>
      </c>
      <c r="F7" s="79">
        <v>444.4</v>
      </c>
      <c r="G7" s="14">
        <f>-E7+F7</f>
        <v>1.8338999999999714</v>
      </c>
    </row>
    <row r="8" spans="1:7" s="10" customFormat="1" ht="14.25">
      <c r="A8" s="15" t="s">
        <v>254</v>
      </c>
      <c r="B8" s="63">
        <v>21.1</v>
      </c>
      <c r="C8" s="64"/>
      <c r="D8" s="103"/>
      <c r="E8" s="104">
        <f>(B8+D8)*$D$1</f>
        <v>1168.729</v>
      </c>
      <c r="F8" s="79">
        <v>1164</v>
      </c>
      <c r="G8" s="77">
        <f>-E8+F8</f>
        <v>-4.729000000000042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416</v>
      </c>
    </row>
    <row r="12" spans="1:2" ht="17.25" customHeight="1">
      <c r="A12" s="71" t="s">
        <v>105</v>
      </c>
      <c r="B12" s="72" t="s">
        <v>529</v>
      </c>
    </row>
    <row r="13" ht="14.25">
      <c r="B13" s="27"/>
    </row>
    <row r="14" ht="14.25">
      <c r="B14" s="27"/>
    </row>
  </sheetData>
  <sheetProtection/>
  <hyperlinks>
    <hyperlink ref="B12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42171</v>
      </c>
      <c r="C1" s="3" t="s">
        <v>1</v>
      </c>
      <c r="D1" s="4">
        <v>55.24</v>
      </c>
      <c r="E1" s="5" t="s">
        <v>2</v>
      </c>
    </row>
    <row r="2" s="5" customFormat="1" ht="14.25">
      <c r="A2" s="6" t="s">
        <v>530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223</v>
      </c>
      <c r="B4" s="63">
        <v>4.8</v>
      </c>
      <c r="C4" s="64"/>
      <c r="D4" s="103"/>
      <c r="E4" s="103">
        <f aca="true" t="shared" si="0" ref="E4:E9">(B4+D4)*$D$1</f>
        <v>265.152</v>
      </c>
      <c r="F4" s="78">
        <v>282</v>
      </c>
      <c r="G4" s="14">
        <f aca="true" t="shared" si="1" ref="G4:G9">-E4+F4</f>
        <v>16.848000000000013</v>
      </c>
      <c r="H4" s="74"/>
    </row>
    <row r="5" spans="1:7" s="10" customFormat="1" ht="14.25">
      <c r="A5" s="15" t="s">
        <v>227</v>
      </c>
      <c r="B5" s="63">
        <v>9.98</v>
      </c>
      <c r="C5" s="64"/>
      <c r="D5" s="103"/>
      <c r="E5" s="104">
        <f t="shared" si="0"/>
        <v>551.2952</v>
      </c>
      <c r="F5" s="79">
        <v>563</v>
      </c>
      <c r="G5" s="77">
        <f t="shared" si="1"/>
        <v>11.704799999999977</v>
      </c>
    </row>
    <row r="6" spans="1:7" s="10" customFormat="1" ht="14.25">
      <c r="A6" s="15" t="s">
        <v>203</v>
      </c>
      <c r="B6" s="12">
        <v>15.28</v>
      </c>
      <c r="C6" s="12"/>
      <c r="D6" s="103"/>
      <c r="E6" s="103">
        <f t="shared" si="0"/>
        <v>844.0672</v>
      </c>
      <c r="F6" s="79">
        <v>862</v>
      </c>
      <c r="G6" s="14">
        <f t="shared" si="1"/>
        <v>17.932800000000043</v>
      </c>
    </row>
    <row r="7" spans="1:7" s="10" customFormat="1" ht="14.25">
      <c r="A7" s="15" t="s">
        <v>189</v>
      </c>
      <c r="B7" s="63">
        <v>7.98</v>
      </c>
      <c r="C7" s="64"/>
      <c r="D7" s="103"/>
      <c r="E7" s="104">
        <f t="shared" si="0"/>
        <v>440.81520000000006</v>
      </c>
      <c r="F7" s="79">
        <v>457</v>
      </c>
      <c r="G7" s="77">
        <f t="shared" si="1"/>
        <v>16.18479999999994</v>
      </c>
    </row>
    <row r="8" spans="1:7" s="10" customFormat="1" ht="14.25">
      <c r="A8" s="15" t="s">
        <v>531</v>
      </c>
      <c r="B8" s="63">
        <v>20.86</v>
      </c>
      <c r="C8" s="64"/>
      <c r="D8" s="103"/>
      <c r="E8" s="104">
        <f t="shared" si="0"/>
        <v>1152.3064</v>
      </c>
      <c r="F8" s="79">
        <v>1176</v>
      </c>
      <c r="G8" s="77">
        <f t="shared" si="1"/>
        <v>23.69360000000006</v>
      </c>
    </row>
    <row r="9" spans="1:7" s="10" customFormat="1" ht="14.25">
      <c r="A9" s="15" t="s">
        <v>532</v>
      </c>
      <c r="B9" s="12">
        <v>27.2</v>
      </c>
      <c r="C9" s="12"/>
      <c r="D9" s="103"/>
      <c r="E9" s="103">
        <f t="shared" si="0"/>
        <v>1502.528</v>
      </c>
      <c r="F9" s="79"/>
      <c r="G9" s="14">
        <f t="shared" si="1"/>
        <v>-1502.528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4.25">
      <c r="A2" s="6" t="s">
        <v>534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15.99</v>
      </c>
      <c r="C4" s="64">
        <v>0.05</v>
      </c>
      <c r="D4" s="103">
        <f>C4*1</f>
        <v>0.05</v>
      </c>
      <c r="E4" s="103">
        <f aca="true" t="shared" si="0" ref="E4:E10">(B4+D4)*$D$1</f>
        <v>897.7588</v>
      </c>
      <c r="F4" s="78">
        <v>2712</v>
      </c>
      <c r="G4" s="14">
        <f aca="true" t="shared" si="1" ref="G4:G10">-E4+F4</f>
        <v>1814.2412</v>
      </c>
      <c r="H4" s="74"/>
    </row>
    <row r="5" spans="1:7" s="10" customFormat="1" ht="14.25">
      <c r="A5" s="15" t="s">
        <v>189</v>
      </c>
      <c r="B5" s="63">
        <v>6.55</v>
      </c>
      <c r="C5" s="64">
        <v>0.08</v>
      </c>
      <c r="D5" s="103">
        <f aca="true" t="shared" si="2" ref="D5:D10">C5*1</f>
        <v>0.08</v>
      </c>
      <c r="E5" s="104">
        <f t="shared" si="0"/>
        <v>371.0811</v>
      </c>
      <c r="F5" s="79">
        <v>356</v>
      </c>
      <c r="G5" s="77">
        <f t="shared" si="1"/>
        <v>-15.081099999999992</v>
      </c>
    </row>
    <row r="6" spans="1:7" s="10" customFormat="1" ht="14.25">
      <c r="A6" s="15" t="s">
        <v>535</v>
      </c>
      <c r="B6" s="63">
        <v>5</v>
      </c>
      <c r="C6" s="64">
        <v>0.03</v>
      </c>
      <c r="D6" s="103">
        <f t="shared" si="2"/>
        <v>0.03</v>
      </c>
      <c r="E6" s="104">
        <f t="shared" si="0"/>
        <v>281.5291</v>
      </c>
      <c r="F6" s="79">
        <v>277</v>
      </c>
      <c r="G6" s="77">
        <f t="shared" si="1"/>
        <v>-4.529100000000028</v>
      </c>
    </row>
    <row r="7" spans="1:7" s="10" customFormat="1" ht="14.25">
      <c r="A7" s="15" t="s">
        <v>331</v>
      </c>
      <c r="B7" s="12">
        <v>26.99</v>
      </c>
      <c r="C7" s="12">
        <v>0.4</v>
      </c>
      <c r="D7" s="103">
        <f t="shared" si="2"/>
        <v>0.4</v>
      </c>
      <c r="E7" s="103">
        <f t="shared" si="0"/>
        <v>1533.0182999999997</v>
      </c>
      <c r="F7" s="79">
        <f>1517+23</f>
        <v>1540</v>
      </c>
      <c r="G7" s="14">
        <f t="shared" si="1"/>
        <v>6.981700000000274</v>
      </c>
    </row>
    <row r="8" spans="1:7" s="10" customFormat="1" ht="14.25">
      <c r="A8" s="15" t="s">
        <v>536</v>
      </c>
      <c r="B8" s="63">
        <v>6.471</v>
      </c>
      <c r="C8" s="64">
        <v>0.16</v>
      </c>
      <c r="D8" s="103">
        <f t="shared" si="2"/>
        <v>0.16</v>
      </c>
      <c r="E8" s="104">
        <f t="shared" si="0"/>
        <v>371.13707</v>
      </c>
      <c r="F8" s="79">
        <f>366+5</f>
        <v>371</v>
      </c>
      <c r="G8" s="77">
        <f t="shared" si="1"/>
        <v>-0.13706999999999425</v>
      </c>
    </row>
    <row r="9" spans="1:7" s="10" customFormat="1" ht="14.25">
      <c r="A9" s="15" t="s">
        <v>116</v>
      </c>
      <c r="B9" s="12">
        <v>6.471</v>
      </c>
      <c r="C9" s="12">
        <v>0.16</v>
      </c>
      <c r="D9" s="103">
        <f t="shared" si="2"/>
        <v>0.16</v>
      </c>
      <c r="E9" s="103">
        <f t="shared" si="0"/>
        <v>371.13707</v>
      </c>
      <c r="F9" s="79">
        <v>411</v>
      </c>
      <c r="G9" s="14">
        <f t="shared" si="1"/>
        <v>39.862930000000006</v>
      </c>
    </row>
    <row r="10" spans="1:7" s="10" customFormat="1" ht="14.25">
      <c r="A10" s="15" t="s">
        <v>452</v>
      </c>
      <c r="B10" s="63">
        <v>11.92</v>
      </c>
      <c r="C10" s="64">
        <v>0.22</v>
      </c>
      <c r="D10" s="103">
        <f t="shared" si="2"/>
        <v>0.22</v>
      </c>
      <c r="E10" s="104">
        <f t="shared" si="0"/>
        <v>679.4758</v>
      </c>
      <c r="F10" s="79">
        <f>667+9</f>
        <v>676</v>
      </c>
      <c r="G10" s="77">
        <f t="shared" si="1"/>
        <v>-3.4758000000000493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30.75">
      <c r="A13" s="26" t="s">
        <v>538</v>
      </c>
    </row>
    <row r="14" ht="14.25">
      <c r="A14" s="71" t="s">
        <v>535</v>
      </c>
    </row>
    <row r="15" spans="1:2" ht="14.25">
      <c r="A15" s="27" t="s">
        <v>540</v>
      </c>
      <c r="B15" s="27"/>
    </row>
    <row r="16" spans="1:2" ht="14.25">
      <c r="A16" t="s">
        <v>541</v>
      </c>
      <c r="B16" s="27"/>
    </row>
  </sheetData>
  <sheetProtection/>
  <hyperlinks>
    <hyperlink ref="A15" r:id="rId1" display="http://www.iherb.com/E-L-F-Cosmetics-Studio-32-Piece-Eyeshadow-Palette-0-99-oz-28-g/48215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G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18.1406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70.45</v>
      </c>
      <c r="E1" s="5" t="s">
        <v>2</v>
      </c>
    </row>
    <row r="2" s="5" customFormat="1" ht="14.25">
      <c r="A2" s="6" t="s">
        <v>324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34</v>
      </c>
      <c r="B4" s="63">
        <v>8.79</v>
      </c>
      <c r="C4" s="64">
        <v>0.27</v>
      </c>
      <c r="D4" s="11">
        <f aca="true" t="shared" si="0" ref="D4:D10">C4/$C$11*$D$11</f>
        <v>0.5421686746987951</v>
      </c>
      <c r="E4" s="11">
        <f aca="true" t="shared" si="1" ref="E4:E9">(B4+D4)*$D$1</f>
        <v>657.4512831325301</v>
      </c>
      <c r="F4" s="67">
        <v>4166</v>
      </c>
      <c r="G4" s="14">
        <f aca="true" t="shared" si="2" ref="G4:G9">-E4+F4</f>
        <v>3508.54871686747</v>
      </c>
    </row>
    <row r="5" spans="1:7" s="10" customFormat="1" ht="14.25">
      <c r="A5" s="15" t="s">
        <v>215</v>
      </c>
      <c r="B5" s="63">
        <v>16.28</v>
      </c>
      <c r="C5" s="64">
        <v>0.34</v>
      </c>
      <c r="D5" s="11">
        <f t="shared" si="0"/>
        <v>0.6827309236947792</v>
      </c>
      <c r="E5" s="11">
        <f t="shared" si="1"/>
        <v>1195.0243935742974</v>
      </c>
      <c r="F5" s="13">
        <f>1166+29</f>
        <v>1195</v>
      </c>
      <c r="G5" s="14">
        <f t="shared" si="2"/>
        <v>-0.02439357429739175</v>
      </c>
    </row>
    <row r="6" spans="1:7" s="10" customFormat="1" ht="14.25">
      <c r="A6" s="11" t="s">
        <v>326</v>
      </c>
      <c r="B6" s="63">
        <v>3.03</v>
      </c>
      <c r="C6" s="64">
        <v>0.01</v>
      </c>
      <c r="D6" s="11">
        <f t="shared" si="0"/>
        <v>0.020080321285140562</v>
      </c>
      <c r="E6" s="11">
        <f t="shared" si="1"/>
        <v>214.87815863453812</v>
      </c>
      <c r="F6" s="13">
        <v>210</v>
      </c>
      <c r="G6" s="14">
        <f t="shared" si="2"/>
        <v>-4.878158634538124</v>
      </c>
    </row>
    <row r="7" spans="1:7" s="10" customFormat="1" ht="14.25">
      <c r="A7" s="15" t="s">
        <v>292</v>
      </c>
      <c r="B7" s="63">
        <v>52.68</v>
      </c>
      <c r="C7" s="64">
        <v>1.25</v>
      </c>
      <c r="D7" s="11">
        <f t="shared" si="0"/>
        <v>2.51004016064257</v>
      </c>
      <c r="E7" s="11">
        <f t="shared" si="1"/>
        <v>3888.138329317269</v>
      </c>
      <c r="F7" s="13">
        <f>3793+95</f>
        <v>3888</v>
      </c>
      <c r="G7" s="14">
        <f t="shared" si="2"/>
        <v>-0.1383293172689264</v>
      </c>
    </row>
    <row r="8" spans="1:7" s="10" customFormat="1" ht="14.25">
      <c r="A8" s="11" t="s">
        <v>169</v>
      </c>
      <c r="B8" s="16">
        <v>21.67</v>
      </c>
      <c r="C8" s="17">
        <v>0.59</v>
      </c>
      <c r="D8" s="11">
        <f t="shared" si="0"/>
        <v>1.184738955823293</v>
      </c>
      <c r="E8" s="11">
        <f t="shared" si="1"/>
        <v>1610.116359437751</v>
      </c>
      <c r="F8" s="13"/>
      <c r="G8" s="14">
        <f t="shared" si="2"/>
        <v>-1610.116359437751</v>
      </c>
    </row>
    <row r="9" spans="1:7" s="10" customFormat="1" ht="14.25">
      <c r="A9" s="11" t="s">
        <v>29</v>
      </c>
      <c r="B9" s="64">
        <v>13.05</v>
      </c>
      <c r="C9" s="64">
        <v>0.46</v>
      </c>
      <c r="D9" s="11">
        <f t="shared" si="0"/>
        <v>0.9236947791164658</v>
      </c>
      <c r="E9" s="11">
        <f t="shared" si="1"/>
        <v>984.4467971887551</v>
      </c>
      <c r="F9" s="13">
        <v>1411</v>
      </c>
      <c r="G9" s="14">
        <f t="shared" si="2"/>
        <v>426.5532028112449</v>
      </c>
    </row>
    <row r="10" spans="1:7" s="10" customFormat="1" ht="14.25">
      <c r="A10" s="15" t="s">
        <v>10</v>
      </c>
      <c r="B10" s="24"/>
      <c r="C10" s="20">
        <v>2.06</v>
      </c>
      <c r="D10" s="11">
        <f t="shared" si="0"/>
        <v>4.136546184738956</v>
      </c>
      <c r="E10" s="24"/>
      <c r="F10" s="24"/>
      <c r="G10" s="24"/>
    </row>
    <row r="11" spans="1:7" s="25" customFormat="1" ht="14.25">
      <c r="A11" s="24"/>
      <c r="B11" s="24"/>
      <c r="C11" s="24">
        <v>4.98</v>
      </c>
      <c r="D11" s="24">
        <v>10</v>
      </c>
      <c r="E11" s="24"/>
      <c r="F11" s="24"/>
      <c r="G11" s="24"/>
    </row>
    <row r="14" ht="30.75">
      <c r="A14" s="26" t="s">
        <v>307</v>
      </c>
    </row>
    <row r="15" ht="14.25">
      <c r="A15" s="71" t="s">
        <v>29</v>
      </c>
    </row>
    <row r="16" ht="14.25">
      <c r="A16" s="72" t="s">
        <v>327</v>
      </c>
    </row>
  </sheetData>
  <sheetProtection/>
  <hyperlinks>
    <hyperlink ref="A16" r:id="rId1" display="http://ru.iherb.com/Palmer-s-Cocoa-Butter-Formula-for-Dry-Itchy-Skin-5-1-fl-oz-150-ml/26932 "/>
  </hyperlink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4.25">
      <c r="A2" s="6" t="s">
        <v>534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71.5</v>
      </c>
      <c r="C4" s="64">
        <v>1.46</v>
      </c>
      <c r="D4" s="103">
        <f>C4*1</f>
        <v>1.46</v>
      </c>
      <c r="E4" s="103">
        <f>(B4+D4)*$D$1</f>
        <v>4083.5711999999994</v>
      </c>
      <c r="F4" s="78">
        <v>3000</v>
      </c>
      <c r="G4" s="14">
        <f>-E4+F4</f>
        <v>-1083.5711999999994</v>
      </c>
      <c r="H4" s="74"/>
    </row>
    <row r="5" spans="1:8" s="10" customFormat="1" ht="14.25">
      <c r="A5" s="15" t="s">
        <v>169</v>
      </c>
      <c r="B5" s="12">
        <v>14.03</v>
      </c>
      <c r="C5" s="12">
        <v>0.46</v>
      </c>
      <c r="D5" s="103">
        <f>C5*1</f>
        <v>0.46</v>
      </c>
      <c r="E5" s="103">
        <f>(B5+D5)*$D$1</f>
        <v>811.0053</v>
      </c>
      <c r="F5" s="78"/>
      <c r="G5" s="14">
        <f>-E5+F5</f>
        <v>-811.0053</v>
      </c>
      <c r="H5" s="74"/>
    </row>
    <row r="6" spans="1:7" s="10" customFormat="1" ht="14.25">
      <c r="A6" s="15" t="s">
        <v>204</v>
      </c>
      <c r="B6" s="63">
        <v>31.46</v>
      </c>
      <c r="C6" s="64">
        <v>0.43</v>
      </c>
      <c r="D6" s="103">
        <f>C6*1</f>
        <v>0.43</v>
      </c>
      <c r="E6" s="104">
        <f>(B6+D6)*$D$1</f>
        <v>1784.8833</v>
      </c>
      <c r="F6" s="79">
        <f>1759+26</f>
        <v>1785</v>
      </c>
      <c r="G6" s="77">
        <f>-E6+F6</f>
        <v>0.11670000000003711</v>
      </c>
    </row>
    <row r="7" spans="1:7" s="10" customFormat="1" ht="14.25">
      <c r="A7" s="15" t="s">
        <v>537</v>
      </c>
      <c r="B7" s="12">
        <v>7.86</v>
      </c>
      <c r="C7" s="12">
        <v>0.08</v>
      </c>
      <c r="D7" s="103">
        <f>C7*1</f>
        <v>0.08</v>
      </c>
      <c r="E7" s="104">
        <f>(B7+D7)*$D$1</f>
        <v>444.40180000000004</v>
      </c>
      <c r="F7" s="79">
        <f>438+6</f>
        <v>444</v>
      </c>
      <c r="G7" s="77">
        <f>-E7+F7</f>
        <v>-0.401800000000037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30.75">
      <c r="A10" s="26" t="s">
        <v>538</v>
      </c>
    </row>
    <row r="11" ht="14.25">
      <c r="A11" s="71" t="s">
        <v>204</v>
      </c>
    </row>
    <row r="12" spans="1:2" ht="14.25">
      <c r="A12" s="72" t="s">
        <v>539</v>
      </c>
      <c r="B12" s="27"/>
    </row>
    <row r="13" ht="14.25">
      <c r="B13" s="27"/>
    </row>
  </sheetData>
  <sheetProtection/>
  <hyperlinks>
    <hyperlink ref="A12" r:id="rId1" display="http://www.iherb.com/Gummi-King-DHA-Omega-3-Gummi-for-Kids-60-Gummies/34013"/>
  </hyperlink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4.25">
      <c r="A2" s="6" t="s">
        <v>542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410</v>
      </c>
      <c r="B4" s="63">
        <v>55.69</v>
      </c>
      <c r="C4" s="64"/>
      <c r="D4" s="103">
        <f>C4*1</f>
        <v>0</v>
      </c>
      <c r="E4" s="103">
        <f>(B4+D4)*$D$1</f>
        <v>3174.33</v>
      </c>
      <c r="F4" s="79">
        <v>3152</v>
      </c>
      <c r="G4" s="14">
        <f>-E4+F4</f>
        <v>-22.329999999999927</v>
      </c>
      <c r="H4" s="74"/>
    </row>
    <row r="5" spans="1:7" s="10" customFormat="1" ht="14.25">
      <c r="A5" s="15" t="s">
        <v>437</v>
      </c>
      <c r="B5" s="63">
        <v>26.18</v>
      </c>
      <c r="C5" s="64"/>
      <c r="D5" s="103">
        <f>C5*1</f>
        <v>0</v>
      </c>
      <c r="E5" s="104">
        <f>(B5+D5)*$D$1</f>
        <v>1492.26</v>
      </c>
      <c r="F5" s="79">
        <f>1447+10</f>
        <v>1457</v>
      </c>
      <c r="G5" s="77">
        <f>-E5+F5</f>
        <v>-35.25999999999999</v>
      </c>
    </row>
    <row r="6" spans="1:7" s="10" customFormat="1" ht="14.25">
      <c r="A6" s="15" t="s">
        <v>351</v>
      </c>
      <c r="B6" s="63">
        <v>19.56</v>
      </c>
      <c r="C6" s="64"/>
      <c r="D6" s="103">
        <f>C6*1</f>
        <v>0</v>
      </c>
      <c r="E6" s="104">
        <f>(B6+D6)*$D$1</f>
        <v>1114.9199999999998</v>
      </c>
      <c r="F6" s="85">
        <v>1082</v>
      </c>
      <c r="G6" s="77">
        <f>-E6+F6</f>
        <v>-32.919999999999845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30.75">
      <c r="A9" s="26" t="s">
        <v>538</v>
      </c>
    </row>
    <row r="10" spans="1:2" ht="16.5" customHeight="1">
      <c r="A10" s="71" t="s">
        <v>351</v>
      </c>
      <c r="B10" s="72" t="s">
        <v>543</v>
      </c>
    </row>
    <row r="11" ht="14.25">
      <c r="B11" s="27"/>
    </row>
    <row r="12" ht="14.25">
      <c r="B12" s="27"/>
    </row>
  </sheetData>
  <sheetProtection/>
  <hyperlinks>
    <hyperlink ref="B10" r:id="rId1" display="http://ru.iherb.com/Honeybee-Gardens-Pressed-Mineral-Powder-Malibu-0-26-oz-7-5-g/35160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4.25">
      <c r="A2" s="6" t="s">
        <v>542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188</v>
      </c>
      <c r="B4" s="63">
        <v>41.67</v>
      </c>
      <c r="C4" s="64"/>
      <c r="D4" s="103">
        <f>C4*1</f>
        <v>0</v>
      </c>
      <c r="E4" s="103">
        <f>(B4+D4)*$D$1</f>
        <v>2375.19</v>
      </c>
      <c r="F4" s="79">
        <v>2362</v>
      </c>
      <c r="G4" s="14">
        <f>-E4+F4</f>
        <v>-13.190000000000055</v>
      </c>
      <c r="H4" s="74"/>
    </row>
    <row r="5" spans="1:7" s="10" customFormat="1" ht="14.25">
      <c r="A5" s="15" t="s">
        <v>544</v>
      </c>
      <c r="B5" s="63">
        <v>43.94</v>
      </c>
      <c r="C5" s="64"/>
      <c r="D5" s="103">
        <f>C5*1</f>
        <v>0</v>
      </c>
      <c r="E5" s="104">
        <f>(B5+D5)*$D$1</f>
        <v>2504.58</v>
      </c>
      <c r="F5" s="79">
        <f>2486+19</f>
        <v>2505</v>
      </c>
      <c r="G5" s="77">
        <f>-E5+F5</f>
        <v>0.42000000000007276</v>
      </c>
    </row>
    <row r="6" spans="1:7" s="10" customFormat="1" ht="14.25">
      <c r="A6" s="15" t="s">
        <v>387</v>
      </c>
      <c r="B6" s="63">
        <v>7.63</v>
      </c>
      <c r="C6" s="64"/>
      <c r="D6" s="103">
        <f>C6*1</f>
        <v>0</v>
      </c>
      <c r="E6" s="104">
        <f>(B6+D6)*$D$1</f>
        <v>434.90999999999997</v>
      </c>
      <c r="F6" s="79">
        <v>322</v>
      </c>
      <c r="G6" s="77">
        <f>-E6+F6</f>
        <v>-112.90999999999997</v>
      </c>
    </row>
    <row r="7" spans="1:7" s="10" customFormat="1" ht="14.25">
      <c r="A7" s="15" t="s">
        <v>505</v>
      </c>
      <c r="B7" s="12">
        <v>34.63</v>
      </c>
      <c r="C7" s="12"/>
      <c r="D7" s="103">
        <f>C7*1</f>
        <v>0</v>
      </c>
      <c r="E7" s="103">
        <f>(B7+D7)*$D$1</f>
        <v>1973.91</v>
      </c>
      <c r="F7" s="79">
        <f>1969+14</f>
        <v>1983</v>
      </c>
      <c r="G7" s="14">
        <f>-E7+F7</f>
        <v>9.089999999999918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105"/>
      <c r="G8" s="24"/>
    </row>
    <row r="10" ht="30.75">
      <c r="A10" s="26" t="s">
        <v>538</v>
      </c>
    </row>
    <row r="11" spans="1:2" ht="21.75" customHeight="1">
      <c r="A11" s="71" t="s">
        <v>387</v>
      </c>
      <c r="B11" s="27" t="s">
        <v>545</v>
      </c>
    </row>
    <row r="12" ht="14.25">
      <c r="B12" s="27"/>
    </row>
    <row r="13" ht="14.25">
      <c r="B13" s="27"/>
    </row>
  </sheetData>
  <sheetProtection/>
  <hyperlinks>
    <hyperlink ref="B11" r:id="rId1" display="http://ru.iherb.com/iHerb-Promotional-Materials-Day-Night-Pill-Organizer/57481"/>
  </hyperlink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4.25">
      <c r="A2" s="6" t="s">
        <v>550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551</v>
      </c>
      <c r="B4" s="63">
        <v>11.14</v>
      </c>
      <c r="C4" s="64"/>
      <c r="D4" s="103">
        <f>C4*1</f>
        <v>0</v>
      </c>
      <c r="E4" s="103">
        <f>(B4+D4)*$D$1</f>
        <v>650.576</v>
      </c>
      <c r="F4" s="78">
        <v>641</v>
      </c>
      <c r="G4" s="14">
        <f>-E4+F4</f>
        <v>-9.576000000000022</v>
      </c>
      <c r="H4" s="74"/>
    </row>
    <row r="5" spans="1:8" s="10" customFormat="1" ht="43.5">
      <c r="A5" s="15" t="s">
        <v>351</v>
      </c>
      <c r="B5" s="63">
        <v>7.76</v>
      </c>
      <c r="C5" s="64"/>
      <c r="D5" s="103">
        <f>C5*1</f>
        <v>0</v>
      </c>
      <c r="E5" s="104">
        <f>(B5+D5)*$D$1</f>
        <v>453.18399999999997</v>
      </c>
      <c r="F5" s="79">
        <f>480-30</f>
        <v>450</v>
      </c>
      <c r="G5" s="77">
        <f>-E5+F5+439</f>
        <v>435.81600000000003</v>
      </c>
      <c r="H5" s="10" t="s">
        <v>573</v>
      </c>
    </row>
    <row r="6" spans="1:7" s="10" customFormat="1" ht="14.25">
      <c r="A6" s="15" t="s">
        <v>188</v>
      </c>
      <c r="B6" s="63">
        <v>43.2</v>
      </c>
      <c r="C6" s="64"/>
      <c r="D6" s="103">
        <f>C6*1</f>
        <v>0</v>
      </c>
      <c r="E6" s="104">
        <f>(B6+D6)*$D$1</f>
        <v>2522.88</v>
      </c>
      <c r="F6" s="79">
        <v>2881</v>
      </c>
      <c r="G6" s="77">
        <f>-E6+F6</f>
        <v>358.1199999999999</v>
      </c>
    </row>
    <row r="7" spans="1:7" s="10" customFormat="1" ht="14.25">
      <c r="A7" s="15" t="s">
        <v>194</v>
      </c>
      <c r="B7" s="12">
        <v>19.76</v>
      </c>
      <c r="C7" s="12"/>
      <c r="D7" s="103">
        <f>C7*1</f>
        <v>0</v>
      </c>
      <c r="E7" s="103">
        <f>(B7+D7)*$D$1</f>
        <v>1153.9840000000002</v>
      </c>
      <c r="F7" s="79">
        <v>1138</v>
      </c>
      <c r="G7" s="14">
        <f>-E7+F7</f>
        <v>-15.984000000000151</v>
      </c>
    </row>
    <row r="8" spans="1:7" s="10" customFormat="1" ht="14.25">
      <c r="A8" s="15" t="s">
        <v>552</v>
      </c>
      <c r="B8" s="63">
        <v>19.31</v>
      </c>
      <c r="C8" s="64"/>
      <c r="D8" s="103">
        <f>C8*1</f>
        <v>0</v>
      </c>
      <c r="E8" s="104">
        <f>(B8+D8)*$D$1</f>
        <v>1127.704</v>
      </c>
      <c r="F8" s="79">
        <v>1080</v>
      </c>
      <c r="G8" s="77">
        <f>-E8+F8</f>
        <v>-47.70399999999995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538</v>
      </c>
    </row>
    <row r="12" spans="1:2" ht="36.75" customHeight="1">
      <c r="A12" s="71" t="s">
        <v>551</v>
      </c>
      <c r="B12" s="27" t="s">
        <v>554</v>
      </c>
    </row>
    <row r="13" ht="14.25">
      <c r="B13" s="27"/>
    </row>
    <row r="14" ht="14.25">
      <c r="B14" s="27"/>
    </row>
  </sheetData>
  <sheetProtection/>
  <hyperlinks>
    <hyperlink ref="B12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4.25">
      <c r="A2" s="6" t="s">
        <v>550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410</v>
      </c>
      <c r="B4" s="63">
        <v>38.36</v>
      </c>
      <c r="C4" s="64"/>
      <c r="D4" s="103">
        <f>C4*1</f>
        <v>0</v>
      </c>
      <c r="E4" s="103">
        <f>(B4+D4)*$D$1</f>
        <v>2240.2239999999997</v>
      </c>
      <c r="F4" s="78">
        <f>2250-70</f>
        <v>2180</v>
      </c>
      <c r="G4" s="14">
        <f>-E4+F4</f>
        <v>-60.223999999999705</v>
      </c>
      <c r="H4" s="74" t="s">
        <v>586</v>
      </c>
    </row>
    <row r="5" spans="1:7" s="10" customFormat="1" ht="14.25">
      <c r="A5" s="15" t="s">
        <v>428</v>
      </c>
      <c r="B5" s="63">
        <v>10.36</v>
      </c>
      <c r="C5" s="64"/>
      <c r="D5" s="103">
        <f>C5*1</f>
        <v>0</v>
      </c>
      <c r="E5" s="104">
        <f>(B5+D5)*$D$1</f>
        <v>605.024</v>
      </c>
      <c r="F5" s="79">
        <v>597</v>
      </c>
      <c r="G5" s="77">
        <f>-E5+F5</f>
        <v>-8.024000000000001</v>
      </c>
    </row>
    <row r="6" spans="1:7" s="10" customFormat="1" ht="14.25">
      <c r="A6" s="15" t="s">
        <v>104</v>
      </c>
      <c r="B6" s="63">
        <v>13.18</v>
      </c>
      <c r="C6" s="64"/>
      <c r="D6" s="103">
        <f>C6*1</f>
        <v>0</v>
      </c>
      <c r="E6" s="104">
        <f>(B6+D6)*$D$1</f>
        <v>769.712</v>
      </c>
      <c r="F6" s="79">
        <v>736</v>
      </c>
      <c r="G6" s="77">
        <f>-E6+F6</f>
        <v>-33.71199999999999</v>
      </c>
    </row>
    <row r="7" spans="1:7" s="10" customFormat="1" ht="14.25">
      <c r="A7" s="15" t="s">
        <v>284</v>
      </c>
      <c r="B7" s="12">
        <v>12.83</v>
      </c>
      <c r="C7" s="12"/>
      <c r="D7" s="103">
        <f>C7*1</f>
        <v>0</v>
      </c>
      <c r="E7" s="103">
        <f>(B7+D7)*$D$1</f>
        <v>749.2719999999999</v>
      </c>
      <c r="F7" s="79">
        <f>738+11</f>
        <v>749</v>
      </c>
      <c r="G7" s="14">
        <f>-E7+F7</f>
        <v>-0.2719999999999345</v>
      </c>
    </row>
    <row r="8" spans="1:8" s="10" customFormat="1" ht="14.25">
      <c r="A8" s="15" t="s">
        <v>169</v>
      </c>
      <c r="B8" s="63">
        <v>34.37</v>
      </c>
      <c r="C8" s="64"/>
      <c r="D8" s="103">
        <f>C8*1</f>
        <v>0</v>
      </c>
      <c r="E8" s="104">
        <f>(B8+D8)*$D$1</f>
        <v>2007.2079999999999</v>
      </c>
      <c r="F8" s="85">
        <f>2062+166</f>
        <v>2228</v>
      </c>
      <c r="G8" s="77">
        <f>-E8+F8</f>
        <v>220.79200000000014</v>
      </c>
      <c r="H8" s="96" t="s">
        <v>564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538</v>
      </c>
    </row>
    <row r="12" spans="1:2" ht="36.75" customHeight="1">
      <c r="A12" s="71" t="s">
        <v>104</v>
      </c>
      <c r="B12" s="72" t="s">
        <v>553</v>
      </c>
    </row>
    <row r="13" ht="14.25">
      <c r="B13" s="27"/>
    </row>
    <row r="14" ht="14.25">
      <c r="B14" s="27"/>
    </row>
  </sheetData>
  <sheetProtection/>
  <hyperlinks>
    <hyperlink ref="B12" r:id="rId1" display="http://ru.iherb.com/Andalou-Naturals-Cleansing-Foam-1000-Roses-Sensitive-5-5-fl-oz-163-ml/55609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4.25">
      <c r="A2" s="6" t="s">
        <v>549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188</v>
      </c>
      <c r="B4" s="63">
        <v>6.87</v>
      </c>
      <c r="C4" s="64"/>
      <c r="D4" s="103">
        <f>C4*1</f>
        <v>0</v>
      </c>
      <c r="E4" s="103">
        <f>(B4+D4)*$D$1</f>
        <v>401.20799999999997</v>
      </c>
      <c r="F4" s="78">
        <v>60</v>
      </c>
      <c r="G4" s="14">
        <f>-E4+F4</f>
        <v>-341.20799999999997</v>
      </c>
      <c r="H4" s="74"/>
    </row>
    <row r="5" spans="1:7" s="10" customFormat="1" ht="14.25">
      <c r="A5" s="15" t="s">
        <v>227</v>
      </c>
      <c r="B5" s="63">
        <v>57.59</v>
      </c>
      <c r="C5" s="64"/>
      <c r="D5" s="103">
        <f>C5*1</f>
        <v>0</v>
      </c>
      <c r="E5" s="104">
        <f>(B5+D5)*$D$1</f>
        <v>3363.2560000000003</v>
      </c>
      <c r="F5" s="79">
        <f>3314+38</f>
        <v>3352</v>
      </c>
      <c r="G5" s="77">
        <f>-E5+F5</f>
        <v>-11.256000000000313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30.75">
      <c r="A8" s="26"/>
    </row>
    <row r="9" ht="36.75" customHeight="1">
      <c r="A9" s="26"/>
    </row>
    <row r="10" ht="14.25">
      <c r="B10" s="27"/>
    </row>
    <row r="11" ht="14.25">
      <c r="B11" s="27"/>
    </row>
  </sheetData>
  <sheetProtection/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4.25">
      <c r="A2" s="6" t="s">
        <v>555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449</v>
      </c>
      <c r="B4" s="63">
        <v>35.14</v>
      </c>
      <c r="C4" s="64"/>
      <c r="D4" s="103">
        <f>C4*1</f>
        <v>0</v>
      </c>
      <c r="E4" s="103">
        <f>(B4+D4)*$D$1</f>
        <v>2038.8228000000001</v>
      </c>
      <c r="F4" s="78">
        <v>2040</v>
      </c>
      <c r="G4" s="14">
        <f>-E4+F4</f>
        <v>1.177199999999857</v>
      </c>
      <c r="H4" s="74"/>
    </row>
    <row r="5" spans="1:7" s="10" customFormat="1" ht="14.25">
      <c r="A5" s="15" t="s">
        <v>34</v>
      </c>
      <c r="B5" s="63">
        <v>36.13</v>
      </c>
      <c r="C5" s="64"/>
      <c r="D5" s="103">
        <f>C5*1</f>
        <v>0</v>
      </c>
      <c r="E5" s="104">
        <f>(B5+D5)*$D$1</f>
        <v>2096.2626000000005</v>
      </c>
      <c r="F5" s="79">
        <v>2089</v>
      </c>
      <c r="G5" s="77">
        <f>-E5+F5</f>
        <v>-7.262600000000475</v>
      </c>
    </row>
    <row r="6" spans="1:7" s="10" customFormat="1" ht="14.25">
      <c r="A6" s="15" t="s">
        <v>535</v>
      </c>
      <c r="B6" s="63">
        <v>12</v>
      </c>
      <c r="C6" s="64"/>
      <c r="D6" s="103">
        <f>C6*1</f>
        <v>0</v>
      </c>
      <c r="E6" s="104">
        <f>(B6+D6)*$D$1</f>
        <v>696.24</v>
      </c>
      <c r="F6" s="79">
        <v>694</v>
      </c>
      <c r="G6" s="77">
        <f>-E6+F6</f>
        <v>-2.240000000000009</v>
      </c>
    </row>
    <row r="7" spans="1:7" s="10" customFormat="1" ht="14.25">
      <c r="A7" s="15" t="s">
        <v>520</v>
      </c>
      <c r="B7" s="12">
        <v>13.55</v>
      </c>
      <c r="C7" s="12"/>
      <c r="D7" s="103">
        <f>C7*1</f>
        <v>0</v>
      </c>
      <c r="E7" s="103">
        <f>(B7+D7)*$D$1</f>
        <v>786.171</v>
      </c>
      <c r="F7" s="79">
        <v>783</v>
      </c>
      <c r="G7" s="14">
        <f>-E7+F7</f>
        <v>-3.171000000000049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30.75">
      <c r="A10" s="26" t="s">
        <v>416</v>
      </c>
    </row>
    <row r="11" spans="1:2" ht="36.75" customHeight="1">
      <c r="A11" s="71" t="s">
        <v>535</v>
      </c>
      <c r="B11" s="27" t="s">
        <v>556</v>
      </c>
    </row>
    <row r="12" spans="1:2" ht="14.25">
      <c r="A12" t="s">
        <v>557</v>
      </c>
      <c r="B12" s="27"/>
    </row>
    <row r="13" ht="14.25">
      <c r="B13" s="27"/>
    </row>
  </sheetData>
  <sheetProtection/>
  <hyperlinks>
    <hyperlink ref="B11" r:id="rId1" display="http://www.iherb.com/E-L-F-Cosmetics-Ultimate-Look-Brown-11-Piece-Set/48683"/>
  </hyperlinks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4.25">
      <c r="A2" s="6" t="s">
        <v>555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30.92</v>
      </c>
      <c r="C4" s="64"/>
      <c r="D4" s="103">
        <f>C4*1</f>
        <v>0</v>
      </c>
      <c r="E4" s="103">
        <f>(B4+D4)*$D$1</f>
        <v>1793.9784000000002</v>
      </c>
      <c r="F4" s="79">
        <f>1787.23+13</f>
        <v>1800.23</v>
      </c>
      <c r="G4" s="14">
        <f>-E4+F4</f>
        <v>6.251599999999826</v>
      </c>
      <c r="H4" s="74"/>
    </row>
    <row r="5" spans="1:7" s="10" customFormat="1" ht="14.25">
      <c r="A5" s="15" t="s">
        <v>315</v>
      </c>
      <c r="B5" s="63">
        <v>13.89</v>
      </c>
      <c r="C5" s="64"/>
      <c r="D5" s="103">
        <f>C5*1</f>
        <v>0</v>
      </c>
      <c r="E5" s="104">
        <f>(B5+D5)*$D$1</f>
        <v>805.8978000000001</v>
      </c>
      <c r="F5" s="79">
        <v>803</v>
      </c>
      <c r="G5" s="77">
        <f>-E5+F5</f>
        <v>-2.8978000000000748</v>
      </c>
    </row>
    <row r="6" spans="1:7" s="10" customFormat="1" ht="14.25">
      <c r="A6" s="15" t="s">
        <v>515</v>
      </c>
      <c r="B6" s="63">
        <v>86.88</v>
      </c>
      <c r="C6" s="64"/>
      <c r="D6" s="103">
        <f>C6*1</f>
        <v>0</v>
      </c>
      <c r="E6" s="104">
        <f>(B6+D6)*$D$1</f>
        <v>5040.7776</v>
      </c>
      <c r="F6" s="79">
        <f>5022+19</f>
        <v>5041</v>
      </c>
      <c r="G6" s="77">
        <f>-E6+F6</f>
        <v>0.2223999999996522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42199</v>
      </c>
      <c r="C1" s="3" t="s">
        <v>1</v>
      </c>
      <c r="D1" s="4">
        <v>56.83</v>
      </c>
      <c r="E1" s="5" t="s">
        <v>2</v>
      </c>
    </row>
    <row r="2" s="5" customFormat="1" ht="14.25">
      <c r="A2" s="6" t="s">
        <v>558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559</v>
      </c>
      <c r="B4" s="63">
        <v>6.15</v>
      </c>
      <c r="C4" s="64"/>
      <c r="D4" s="103"/>
      <c r="E4" s="103">
        <f>(B4+D4)*$D$1</f>
        <v>349.5045</v>
      </c>
      <c r="F4" s="78">
        <v>355</v>
      </c>
      <c r="G4" s="14">
        <f>-E4+F4</f>
        <v>5.495499999999993</v>
      </c>
      <c r="H4" s="74"/>
    </row>
    <row r="5" spans="1:8" s="10" customFormat="1" ht="14.25">
      <c r="A5" s="15" t="s">
        <v>190</v>
      </c>
      <c r="B5" s="63">
        <v>29.35</v>
      </c>
      <c r="C5" s="64"/>
      <c r="D5" s="103"/>
      <c r="E5" s="104">
        <f>(B5+D5)*$D$1</f>
        <v>1667.9605000000001</v>
      </c>
      <c r="F5" s="79">
        <f>1692-11</f>
        <v>1681</v>
      </c>
      <c r="G5" s="77">
        <f>-E5+F5</f>
        <v>13.039499999999862</v>
      </c>
      <c r="H5" s="10" t="s">
        <v>575</v>
      </c>
    </row>
    <row r="6" spans="1:7" s="10" customFormat="1" ht="14.25">
      <c r="A6" s="15" t="s">
        <v>182</v>
      </c>
      <c r="B6" s="63">
        <v>32.6</v>
      </c>
      <c r="C6" s="64"/>
      <c r="D6" s="103"/>
      <c r="E6" s="104">
        <f>(B6+D6)*$D$1</f>
        <v>1852.6580000000001</v>
      </c>
      <c r="F6" s="79">
        <f>1028+850</f>
        <v>1878</v>
      </c>
      <c r="G6" s="77">
        <f>-E6+F6</f>
        <v>25.34199999999987</v>
      </c>
    </row>
    <row r="7" spans="1:7" s="10" customFormat="1" ht="14.25">
      <c r="A7" s="15" t="s">
        <v>37</v>
      </c>
      <c r="B7" s="12">
        <v>6.99</v>
      </c>
      <c r="C7" s="12"/>
      <c r="D7" s="103"/>
      <c r="E7" s="103">
        <f>(B7+D7)*$D$1</f>
        <v>397.2417</v>
      </c>
      <c r="F7" s="79">
        <v>400</v>
      </c>
      <c r="G7" s="14">
        <f>-E7+F7</f>
        <v>2.7583000000000197</v>
      </c>
    </row>
    <row r="8" spans="1:7" s="10" customFormat="1" ht="14.25">
      <c r="A8" s="15" t="s">
        <v>535</v>
      </c>
      <c r="B8" s="63">
        <v>3.9</v>
      </c>
      <c r="C8" s="64"/>
      <c r="D8" s="103"/>
      <c r="E8" s="104">
        <f>(B8+D8)*$D$1</f>
        <v>221.637</v>
      </c>
      <c r="F8" s="79">
        <v>228</v>
      </c>
      <c r="G8" s="77">
        <f>-E8+F8</f>
        <v>6.3629999999999995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4.25">
      <c r="A2" s="6" t="s">
        <v>562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563</v>
      </c>
      <c r="B4" s="63">
        <v>11.14</v>
      </c>
      <c r="C4" s="64"/>
      <c r="D4" s="103">
        <f aca="true" t="shared" si="0" ref="D4:D9">C4*1</f>
        <v>0</v>
      </c>
      <c r="E4" s="103">
        <f aca="true" t="shared" si="1" ref="E4:E9">(B4+D4)*$D$1</f>
        <v>640.4386000000001</v>
      </c>
      <c r="F4" s="79">
        <v>640</v>
      </c>
      <c r="G4" s="14">
        <f aca="true" t="shared" si="2" ref="G4:G9">-E4+F4</f>
        <v>-0.43860000000006494</v>
      </c>
      <c r="H4" s="74"/>
    </row>
    <row r="5" spans="1:7" s="10" customFormat="1" ht="14.25">
      <c r="A5" s="15" t="s">
        <v>104</v>
      </c>
      <c r="B5" s="63">
        <v>36.15</v>
      </c>
      <c r="C5" s="64"/>
      <c r="D5" s="103">
        <f t="shared" si="0"/>
        <v>0</v>
      </c>
      <c r="E5" s="104">
        <f t="shared" si="1"/>
        <v>2078.2635</v>
      </c>
      <c r="F5" s="79">
        <v>2090</v>
      </c>
      <c r="G5" s="77">
        <f t="shared" si="2"/>
        <v>11.736499999999978</v>
      </c>
    </row>
    <row r="6" spans="1:7" s="10" customFormat="1" ht="14.25">
      <c r="A6" s="15" t="s">
        <v>551</v>
      </c>
      <c r="B6" s="63">
        <v>5.57</v>
      </c>
      <c r="C6" s="64"/>
      <c r="D6" s="103">
        <f t="shared" si="0"/>
        <v>0</v>
      </c>
      <c r="E6" s="104">
        <f t="shared" si="1"/>
        <v>320.21930000000003</v>
      </c>
      <c r="F6" s="79">
        <v>330</v>
      </c>
      <c r="G6" s="77">
        <f t="shared" si="2"/>
        <v>9.780699999999968</v>
      </c>
    </row>
    <row r="7" spans="1:7" s="10" customFormat="1" ht="14.25">
      <c r="A7" s="15" t="s">
        <v>35</v>
      </c>
      <c r="B7" s="63">
        <v>22.99</v>
      </c>
      <c r="C7" s="64"/>
      <c r="D7" s="103">
        <f>C7*1</f>
        <v>0</v>
      </c>
      <c r="E7" s="104">
        <f t="shared" si="1"/>
        <v>1321.6951</v>
      </c>
      <c r="F7" s="79">
        <v>1322</v>
      </c>
      <c r="G7" s="77">
        <f t="shared" si="2"/>
        <v>0.30490000000008877</v>
      </c>
    </row>
    <row r="8" spans="1:7" s="10" customFormat="1" ht="14.25">
      <c r="A8" s="15" t="s">
        <v>33</v>
      </c>
      <c r="B8" s="12">
        <v>8.48</v>
      </c>
      <c r="C8" s="12"/>
      <c r="D8" s="103">
        <f t="shared" si="0"/>
        <v>0</v>
      </c>
      <c r="E8" s="103">
        <f t="shared" si="1"/>
        <v>487.51520000000005</v>
      </c>
      <c r="F8" s="85">
        <v>490</v>
      </c>
      <c r="G8" s="14">
        <f t="shared" si="2"/>
        <v>2.48479999999995</v>
      </c>
    </row>
    <row r="9" spans="1:7" s="10" customFormat="1" ht="14.25">
      <c r="A9" s="15" t="s">
        <v>169</v>
      </c>
      <c r="B9" s="63">
        <v>34.87</v>
      </c>
      <c r="C9" s="64"/>
      <c r="D9" s="103">
        <f t="shared" si="0"/>
        <v>0</v>
      </c>
      <c r="E9" s="104">
        <f t="shared" si="1"/>
        <v>2004.6762999999999</v>
      </c>
      <c r="F9" s="79">
        <v>1920</v>
      </c>
      <c r="G9" s="77">
        <f t="shared" si="2"/>
        <v>-84.67629999999986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Lina Erkes</cp:lastModifiedBy>
  <dcterms:created xsi:type="dcterms:W3CDTF">2014-11-21T05:56:28Z</dcterms:created>
  <dcterms:modified xsi:type="dcterms:W3CDTF">2016-10-05T16:11:20Z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