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35" yWindow="120" windowWidth="16485" windowHeight="8115" tabRatio="936" firstSheet="19" activeTab="37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7" sheetId="18" r:id="rId17"/>
    <sheet name="18" sheetId="19" r:id="rId18"/>
    <sheet name="19" sheetId="20" r:id="rId19"/>
    <sheet name="20" sheetId="21" r:id="rId20"/>
    <sheet name="21" sheetId="22" r:id="rId21"/>
    <sheet name="22" sheetId="23" r:id="rId22"/>
    <sheet name="23" sheetId="24" r:id="rId23"/>
    <sheet name="24" sheetId="25" r:id="rId24"/>
    <sheet name="25" sheetId="26" r:id="rId25"/>
    <sheet name="26" sheetId="27" r:id="rId26"/>
    <sheet name="27" sheetId="28" r:id="rId27"/>
    <sheet name="28" sheetId="29" r:id="rId28"/>
    <sheet name="29" sheetId="30" r:id="rId29"/>
    <sheet name="30" sheetId="31" r:id="rId30"/>
    <sheet name="31" sheetId="32" r:id="rId31"/>
    <sheet name="32" sheetId="33" r:id="rId32"/>
    <sheet name="33" sheetId="34" r:id="rId33"/>
    <sheet name="34" sheetId="35" r:id="rId34"/>
    <sheet name="35" sheetId="36" r:id="rId35"/>
    <sheet name="36" sheetId="37" r:id="rId36"/>
    <sheet name="37" sheetId="38" r:id="rId37"/>
    <sheet name="38" sheetId="39" r:id="rId38"/>
  </sheets>
  <calcPr calcId="152511"/>
</workbook>
</file>

<file path=xl/calcChain.xml><?xml version="1.0" encoding="utf-8"?>
<calcChain xmlns="http://schemas.openxmlformats.org/spreadsheetml/2006/main">
  <c r="B43" i="6" l="1"/>
  <c r="B86" i="6"/>
  <c r="F31" i="39"/>
  <c r="F43" i="39"/>
  <c r="F42" i="39"/>
  <c r="F41" i="39"/>
  <c r="B81" i="6"/>
  <c r="B87" i="6"/>
  <c r="B123" i="6"/>
  <c r="B167" i="6"/>
  <c r="B143" i="6"/>
  <c r="B34" i="6"/>
  <c r="F11" i="39"/>
  <c r="F13" i="39"/>
  <c r="B151" i="6"/>
  <c r="B107" i="6"/>
  <c r="J33" i="39"/>
  <c r="I33" i="39"/>
  <c r="J7" i="39"/>
  <c r="I7" i="39"/>
  <c r="F34" i="39"/>
  <c r="F19" i="39"/>
  <c r="F17" i="39"/>
  <c r="F9" i="39"/>
  <c r="F7" i="39"/>
  <c r="D23" i="39"/>
  <c r="E23" i="39" s="1"/>
  <c r="D20" i="39"/>
  <c r="E20" i="39" s="1"/>
  <c r="H42" i="39"/>
  <c r="I42" i="39" s="1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I37" i="39"/>
  <c r="H37" i="39"/>
  <c r="D37" i="39"/>
  <c r="E37" i="39" s="1"/>
  <c r="H35" i="39"/>
  <c r="I35" i="39" s="1"/>
  <c r="D35" i="39"/>
  <c r="E35" i="39" s="1"/>
  <c r="H34" i="39"/>
  <c r="I34" i="39" s="1"/>
  <c r="D34" i="39"/>
  <c r="E34" i="39" s="1"/>
  <c r="H33" i="39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E26" i="39"/>
  <c r="D26" i="39"/>
  <c r="H25" i="39"/>
  <c r="I25" i="39" s="1"/>
  <c r="D25" i="39"/>
  <c r="E25" i="39" s="1"/>
  <c r="H23" i="39"/>
  <c r="I23" i="39" s="1"/>
  <c r="H22" i="39"/>
  <c r="I22" i="39" s="1"/>
  <c r="D22" i="39"/>
  <c r="E22" i="39" s="1"/>
  <c r="H20" i="39"/>
  <c r="I20" i="39" s="1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D7" i="39"/>
  <c r="E7" i="39" s="1"/>
  <c r="K10" i="38"/>
  <c r="K15" i="38"/>
  <c r="J42" i="39" l="1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5" i="39"/>
  <c r="J22" i="39"/>
  <c r="J19" i="39"/>
  <c r="J20" i="39"/>
  <c r="J6" i="39"/>
  <c r="L6" i="39" s="1"/>
  <c r="J9" i="39"/>
  <c r="J8" i="39" s="1"/>
  <c r="L8" i="39" s="1"/>
  <c r="J11" i="39"/>
  <c r="J10" i="39" s="1"/>
  <c r="L10" i="39" s="1"/>
  <c r="B31" i="6" s="1"/>
  <c r="J13" i="39"/>
  <c r="J12" i="39" s="1"/>
  <c r="L12" i="39" s="1"/>
  <c r="B150" i="6" s="1"/>
  <c r="J15" i="39"/>
  <c r="J14" i="39" s="1"/>
  <c r="L14" i="39" s="1"/>
  <c r="J17" i="39"/>
  <c r="J16" i="39" s="1"/>
  <c r="L16" i="39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/>
  <c r="H11" i="37"/>
  <c r="I11" i="37" s="1"/>
  <c r="D13" i="37"/>
  <c r="E13" i="37" s="1"/>
  <c r="H13" i="37"/>
  <c r="I13" i="37" s="1"/>
  <c r="D15" i="37"/>
  <c r="E15" i="37" s="1"/>
  <c r="H15" i="37"/>
  <c r="D17" i="37"/>
  <c r="E17" i="37" s="1"/>
  <c r="H17" i="37"/>
  <c r="I17" i="37" s="1"/>
  <c r="I15" i="37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J32" i="39"/>
  <c r="L32" i="39" s="1"/>
  <c r="J36" i="39"/>
  <c r="L36" i="39" s="1"/>
  <c r="J24" i="39"/>
  <c r="L24" i="39" s="1"/>
  <c r="J40" i="39"/>
  <c r="L40" i="39" s="1"/>
  <c r="J28" i="39"/>
  <c r="L28" i="39" s="1"/>
  <c r="B95" i="6" s="1"/>
  <c r="J18" i="39"/>
  <c r="L18" i="39" s="1"/>
  <c r="J17" i="37"/>
  <c r="J16" i="37" s="1"/>
  <c r="J16" i="38"/>
  <c r="J13" i="38"/>
  <c r="J17" i="38"/>
  <c r="J14" i="38"/>
  <c r="J7" i="38"/>
  <c r="J6" i="38" s="1"/>
  <c r="L6" i="38" s="1"/>
  <c r="B96" i="6" s="1"/>
  <c r="E9" i="38"/>
  <c r="J9" i="38" s="1"/>
  <c r="J8" i="38" s="1"/>
  <c r="L8" i="38" s="1"/>
  <c r="E11" i="38"/>
  <c r="J11" i="38" s="1"/>
  <c r="J10" i="38" s="1"/>
  <c r="L10" i="38" s="1"/>
  <c r="B122" i="6" s="1"/>
  <c r="E22" i="37"/>
  <c r="J22" i="37" s="1"/>
  <c r="J19" i="37"/>
  <c r="J20" i="37"/>
  <c r="L16" i="37"/>
  <c r="J7" i="37"/>
  <c r="J6" i="37" s="1"/>
  <c r="L6" i="37" s="1"/>
  <c r="J9" i="37"/>
  <c r="J8" i="37" s="1"/>
  <c r="L8" i="37" s="1"/>
  <c r="J11" i="37"/>
  <c r="J10" i="37" s="1"/>
  <c r="L10" i="37" s="1"/>
  <c r="B159" i="6" s="1"/>
  <c r="J13" i="37"/>
  <c r="J12" i="37" s="1"/>
  <c r="L12" i="37" s="1"/>
  <c r="B93" i="6" s="1"/>
  <c r="J15" i="37"/>
  <c r="J14" i="37" s="1"/>
  <c r="L14" i="37" s="1"/>
  <c r="B27" i="6" s="1"/>
  <c r="K20" i="36"/>
  <c r="K16" i="36"/>
  <c r="K34" i="36"/>
  <c r="K40" i="36"/>
  <c r="K38" i="36"/>
  <c r="H45" i="36"/>
  <c r="I45" i="36" s="1"/>
  <c r="E45" i="36"/>
  <c r="D45" i="36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E28" i="34"/>
  <c r="D28" i="34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B58" i="6" s="1"/>
  <c r="J12" i="38"/>
  <c r="L12" i="38" s="1"/>
  <c r="J21" i="37"/>
  <c r="L21" i="37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1" i="6" s="1"/>
  <c r="J27" i="36"/>
  <c r="J26" i="36" s="1"/>
  <c r="L26" i="36" s="1"/>
  <c r="B135" i="6" s="1"/>
  <c r="J25" i="36"/>
  <c r="J24" i="36" s="1"/>
  <c r="L24" i="36" s="1"/>
  <c r="B139" i="6" s="1"/>
  <c r="J19" i="36"/>
  <c r="J18" i="36" s="1"/>
  <c r="L18" i="36" s="1"/>
  <c r="B153" i="6" s="1"/>
  <c r="J21" i="36"/>
  <c r="J20" i="36" s="1"/>
  <c r="L20" i="36" s="1"/>
  <c r="B73" i="6" s="1"/>
  <c r="E23" i="36"/>
  <c r="J23" i="36" s="1"/>
  <c r="J22" i="36" s="1"/>
  <c r="L22" i="36" s="1"/>
  <c r="J37" i="36"/>
  <c r="J36" i="36" s="1"/>
  <c r="L36" i="36" s="1"/>
  <c r="B28" i="6" s="1"/>
  <c r="E29" i="36"/>
  <c r="J29" i="36" s="1"/>
  <c r="J15" i="36"/>
  <c r="J14" i="36" s="1"/>
  <c r="L14" i="36" s="1"/>
  <c r="B102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80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66" i="6" s="1"/>
  <c r="J25" i="35"/>
  <c r="J30" i="35"/>
  <c r="J9" i="35"/>
  <c r="J8" i="35" s="1"/>
  <c r="L8" i="35" s="1"/>
  <c r="J11" i="35"/>
  <c r="J10" i="35" s="1"/>
  <c r="L10" i="35" s="1"/>
  <c r="B88" i="6" s="1"/>
  <c r="J29" i="35"/>
  <c r="J7" i="35"/>
  <c r="J6" i="35" s="1"/>
  <c r="L6" i="35" s="1"/>
  <c r="B4" i="6" s="1"/>
  <c r="J26" i="35"/>
  <c r="J28" i="35"/>
  <c r="J28" i="34"/>
  <c r="J30" i="34"/>
  <c r="J24" i="34"/>
  <c r="J28" i="36" l="1"/>
  <c r="L28" i="36" s="1"/>
  <c r="B163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I17" i="33"/>
  <c r="H17" i="33"/>
  <c r="D17" i="33"/>
  <c r="E17" i="33" s="1"/>
  <c r="H13" i="33"/>
  <c r="I13" i="33" s="1"/>
  <c r="D13" i="33"/>
  <c r="E13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H29" i="31"/>
  <c r="I29" i="31" s="1"/>
  <c r="H28" i="31"/>
  <c r="H25" i="31"/>
  <c r="H22" i="3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I23" i="32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I28" i="31"/>
  <c r="I25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I33" i="3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I22" i="3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E15" i="30"/>
  <c r="D15" i="30"/>
  <c r="J25" i="34" l="1"/>
  <c r="J11" i="34"/>
  <c r="J10" i="34" s="1"/>
  <c r="L10" i="34" s="1"/>
  <c r="E9" i="34"/>
  <c r="J9" i="34" s="1"/>
  <c r="J8" i="34" s="1"/>
  <c r="L8" i="34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142" i="6" s="1"/>
  <c r="J26" i="33"/>
  <c r="J25" i="33" s="1"/>
  <c r="L25" i="33" s="1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92" i="6" s="1"/>
  <c r="E15" i="33"/>
  <c r="J15" i="33" s="1"/>
  <c r="J14" i="33" s="1"/>
  <c r="L14" i="33" s="1"/>
  <c r="B161" i="6" s="1"/>
  <c r="J11" i="33"/>
  <c r="J10" i="33" s="1"/>
  <c r="L10" i="33" s="1"/>
  <c r="E11" i="33"/>
  <c r="J13" i="33"/>
  <c r="J12" i="33" s="1"/>
  <c r="L12" i="33" s="1"/>
  <c r="B168" i="6" s="1"/>
  <c r="J9" i="33"/>
  <c r="J8" i="33" s="1"/>
  <c r="L8" i="33" s="1"/>
  <c r="J7" i="33"/>
  <c r="J6" i="33" s="1"/>
  <c r="L6" i="33" s="1"/>
  <c r="B41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44" i="6" s="1"/>
  <c r="J39" i="31"/>
  <c r="J38" i="31" s="1"/>
  <c r="L38" i="31" s="1"/>
  <c r="B71" i="6" s="1"/>
  <c r="E43" i="31"/>
  <c r="J43" i="31" s="1"/>
  <c r="J42" i="31" s="1"/>
  <c r="L42" i="31" s="1"/>
  <c r="J45" i="31"/>
  <c r="J44" i="31" s="1"/>
  <c r="L44" i="31" s="1"/>
  <c r="B126" i="6" s="1"/>
  <c r="J35" i="31"/>
  <c r="J34" i="31" s="1"/>
  <c r="L34" i="31" s="1"/>
  <c r="B120" i="6" s="1"/>
  <c r="J37" i="31"/>
  <c r="J36" i="31" s="1"/>
  <c r="L36" i="31" s="1"/>
  <c r="B125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05" i="6" s="1"/>
  <c r="E14" i="31"/>
  <c r="J14" i="31" s="1"/>
  <c r="E21" i="31"/>
  <c r="J21" i="31" s="1"/>
  <c r="J15" i="30"/>
  <c r="J14" i="30" s="1"/>
  <c r="L14" i="30" s="1"/>
  <c r="J26" i="34" l="1"/>
  <c r="L26" i="34" s="1"/>
  <c r="B162" i="6" s="1"/>
  <c r="J21" i="34"/>
  <c r="L21" i="34" s="1"/>
  <c r="J18" i="34"/>
  <c r="L18" i="34" s="1"/>
  <c r="J12" i="34"/>
  <c r="L12" i="34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29" i="6" s="1"/>
  <c r="J12" i="32"/>
  <c r="L12" i="32" s="1"/>
  <c r="J17" i="32"/>
  <c r="L17" i="32" s="1"/>
  <c r="J25" i="32"/>
  <c r="L25" i="32" s="1"/>
  <c r="B149" i="6" s="1"/>
  <c r="J28" i="32"/>
  <c r="L28" i="32" s="1"/>
  <c r="B69" i="6" s="1"/>
  <c r="J21" i="32"/>
  <c r="L21" i="32" s="1"/>
  <c r="B8" i="6" s="1"/>
  <c r="J31" i="32"/>
  <c r="L31" i="32" s="1"/>
  <c r="J6" i="32"/>
  <c r="L6" i="32" s="1"/>
  <c r="B59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H13" i="30"/>
  <c r="I13" i="30" s="1"/>
  <c r="E13" i="30"/>
  <c r="H11" i="30"/>
  <c r="I11" i="30" s="1"/>
  <c r="K13" i="29"/>
  <c r="H9" i="30"/>
  <c r="I9" i="30" s="1"/>
  <c r="E9" i="30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145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I25" i="28"/>
  <c r="H25" i="28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I18" i="28"/>
  <c r="H18" i="28"/>
  <c r="D18" i="28"/>
  <c r="E18" i="28" s="1"/>
  <c r="H16" i="28"/>
  <c r="I16" i="28" s="1"/>
  <c r="E16" i="28"/>
  <c r="D16" i="28"/>
  <c r="F7" i="28"/>
  <c r="F12" i="28"/>
  <c r="I14" i="28"/>
  <c r="H14" i="28"/>
  <c r="D14" i="28"/>
  <c r="E14" i="28" s="1"/>
  <c r="H13" i="28"/>
  <c r="I13" i="28" s="1"/>
  <c r="E13" i="28"/>
  <c r="D13" i="28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J25" i="28"/>
  <c r="E25" i="28"/>
  <c r="E26" i="28"/>
  <c r="J26" i="28" s="1"/>
  <c r="J23" i="28"/>
  <c r="J22" i="28" s="1"/>
  <c r="L22" i="28" s="1"/>
  <c r="B55" i="6" s="1"/>
  <c r="J16" i="28"/>
  <c r="J19" i="28"/>
  <c r="J18" i="28"/>
  <c r="J14" i="28"/>
  <c r="J13" i="28"/>
  <c r="J15" i="28" l="1"/>
  <c r="J24" i="28"/>
  <c r="L24" i="28" s="1"/>
  <c r="B60" i="6" s="1"/>
  <c r="L15" i="28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J7" i="28" l="1"/>
  <c r="J6" i="28" s="1"/>
  <c r="L6" i="28" s="1"/>
  <c r="B26" i="6" s="1"/>
  <c r="E7" i="28"/>
  <c r="E9" i="28"/>
  <c r="J9" i="28" s="1"/>
  <c r="J10" i="28"/>
  <c r="J12" i="28"/>
  <c r="J21" i="28"/>
  <c r="J20" i="28" s="1"/>
  <c r="L20" i="28" s="1"/>
  <c r="B136" i="6" s="1"/>
  <c r="K13" i="27"/>
  <c r="K6" i="13"/>
  <c r="J11" i="28" l="1"/>
  <c r="L11" i="28" s="1"/>
  <c r="B166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I20" i="26"/>
  <c r="H20" i="26"/>
  <c r="D20" i="26"/>
  <c r="E20" i="26" s="1"/>
  <c r="I19" i="26"/>
  <c r="H19" i="26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J20" i="26"/>
  <c r="J19" i="26"/>
  <c r="J17" i="26"/>
  <c r="J16" i="26" s="1"/>
  <c r="L16" i="26" s="1"/>
  <c r="J13" i="26"/>
  <c r="J12" i="26" s="1"/>
  <c r="L12" i="26" s="1"/>
  <c r="L14" i="26"/>
  <c r="J10" i="26"/>
  <c r="L10" i="26" s="1"/>
  <c r="B52" i="6" s="1"/>
  <c r="E7" i="26"/>
  <c r="J7" i="26" s="1"/>
  <c r="J6" i="26" s="1"/>
  <c r="L6" i="26" s="1"/>
  <c r="E9" i="26"/>
  <c r="J9" i="26" s="1"/>
  <c r="J8" i="26" s="1"/>
  <c r="L8" i="26" s="1"/>
  <c r="B36" i="6" s="1"/>
  <c r="K47" i="24"/>
  <c r="J6" i="27" l="1"/>
  <c r="L6" i="27" s="1"/>
  <c r="B103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J11" i="25" s="1"/>
  <c r="D11" i="25"/>
  <c r="E11" i="25" s="1"/>
  <c r="H9" i="25"/>
  <c r="I9" i="25" s="1"/>
  <c r="D9" i="25"/>
  <c r="H7" i="25"/>
  <c r="I7" i="25" s="1"/>
  <c r="D7" i="25"/>
  <c r="E7" i="25" s="1"/>
  <c r="J15" i="25" l="1"/>
  <c r="J14" i="25" s="1"/>
  <c r="L14" i="25" s="1"/>
  <c r="B35" i="6" s="1"/>
  <c r="J7" i="25"/>
  <c r="J6" i="25" s="1"/>
  <c r="L6" i="25" s="1"/>
  <c r="J10" i="25"/>
  <c r="L10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170" i="6" s="1"/>
  <c r="J26" i="24"/>
  <c r="E50" i="24"/>
  <c r="J50" i="24" s="1"/>
  <c r="J49" i="24" s="1"/>
  <c r="L49" i="24" s="1"/>
  <c r="B67" i="6" s="1"/>
  <c r="J46" i="24"/>
  <c r="J45" i="24" s="1"/>
  <c r="L45" i="24" s="1"/>
  <c r="J19" i="24"/>
  <c r="E42" i="24"/>
  <c r="J42" i="24" s="1"/>
  <c r="J41" i="24" s="1"/>
  <c r="L41" i="24" s="1"/>
  <c r="B91" i="6" s="1"/>
  <c r="E40" i="24"/>
  <c r="J40" i="24" s="1"/>
  <c r="J39" i="24" s="1"/>
  <c r="L39" i="24" s="1"/>
  <c r="B18" i="6" s="1"/>
  <c r="J38" i="24"/>
  <c r="J37" i="24" s="1"/>
  <c r="L37" i="24" s="1"/>
  <c r="B38" i="6" s="1"/>
  <c r="J36" i="24"/>
  <c r="J35" i="24" s="1"/>
  <c r="L35" i="24" s="1"/>
  <c r="B39" i="6" s="1"/>
  <c r="E34" i="24"/>
  <c r="J34" i="24" s="1"/>
  <c r="J33" i="24" s="1"/>
  <c r="L33" i="24" s="1"/>
  <c r="B121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08" i="6" s="1"/>
  <c r="J7" i="24"/>
  <c r="J28" i="24"/>
  <c r="J27" i="24" s="1"/>
  <c r="L27" i="24" s="1"/>
  <c r="E9" i="24"/>
  <c r="J9" i="24" s="1"/>
  <c r="J8" i="24"/>
  <c r="J32" i="24"/>
  <c r="J31" i="24" s="1"/>
  <c r="L31" i="24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33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0" i="6" s="1"/>
  <c r="E15" i="23"/>
  <c r="J15" i="23" s="1"/>
  <c r="J14" i="23" s="1"/>
  <c r="L14" i="23" s="1"/>
  <c r="B109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24" i="6" s="1"/>
  <c r="J7" i="22"/>
  <c r="J16" i="22"/>
  <c r="E8" i="22"/>
  <c r="J8" i="22" s="1"/>
  <c r="E21" i="22"/>
  <c r="J21" i="22" s="1"/>
  <c r="J20" i="22" s="1"/>
  <c r="L20" i="22" s="1"/>
  <c r="B144" i="6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89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98" i="6" s="1"/>
  <c r="J14" i="20"/>
  <c r="J13" i="20" s="1"/>
  <c r="L13" i="20" s="1"/>
  <c r="J8" i="20"/>
  <c r="J7" i="20"/>
  <c r="E10" i="20"/>
  <c r="J10" i="20" s="1"/>
  <c r="J9" i="20" s="1"/>
  <c r="L9" i="20" s="1"/>
  <c r="B148" i="6" s="1"/>
  <c r="J12" i="20"/>
  <c r="J11" i="20" s="1"/>
  <c r="L11" i="20" s="1"/>
  <c r="G28" i="19"/>
  <c r="G26" i="19"/>
  <c r="H26" i="19" s="1"/>
  <c r="I26" i="19" s="1"/>
  <c r="C28" i="19"/>
  <c r="D28" i="19" s="1"/>
  <c r="E28" i="19" s="1"/>
  <c r="C26" i="19"/>
  <c r="D26" i="19" s="1"/>
  <c r="E26" i="19" s="1"/>
  <c r="H28" i="19"/>
  <c r="I28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2" i="6" s="1"/>
  <c r="J26" i="19"/>
  <c r="J25" i="19" s="1"/>
  <c r="L25" i="19" s="1"/>
  <c r="B132" i="6" s="1"/>
  <c r="J12" i="19"/>
  <c r="E30" i="19"/>
  <c r="J30" i="19" s="1"/>
  <c r="J29" i="19" s="1"/>
  <c r="L29" i="19" s="1"/>
  <c r="B140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31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04" i="6" s="1"/>
  <c r="J11" i="17"/>
  <c r="J10" i="17" s="1"/>
  <c r="L10" i="17" s="1"/>
  <c r="B65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32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29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B114" i="6" s="1"/>
  <c r="J6" i="16"/>
  <c r="L6" i="16" s="1"/>
  <c r="B138" i="6" s="1"/>
  <c r="J17" i="16"/>
  <c r="L17" i="16" s="1"/>
  <c r="J26" i="16"/>
  <c r="L26" i="16" s="1"/>
  <c r="B106" i="6" s="1"/>
  <c r="J12" i="16"/>
  <c r="L12" i="16" s="1"/>
  <c r="B157" i="6" s="1"/>
  <c r="J30" i="16"/>
  <c r="L30" i="16" s="1"/>
  <c r="K29" i="14" l="1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B113" i="6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99" i="6" s="1"/>
  <c r="J28" i="14"/>
  <c r="J31" i="14"/>
  <c r="J24" i="14"/>
  <c r="E25" i="14"/>
  <c r="J25" i="14" s="1"/>
  <c r="J9" i="14"/>
  <c r="J42" i="14"/>
  <c r="J41" i="14" s="1"/>
  <c r="L41" i="14" s="1"/>
  <c r="B133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70" i="6" s="1"/>
  <c r="J6" i="14"/>
  <c r="L6" i="14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19" i="6" s="1"/>
  <c r="L17" i="14" l="1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83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72" i="6" s="1"/>
  <c r="J16" i="12"/>
  <c r="J18" i="12"/>
  <c r="J20" i="12"/>
  <c r="J13" i="12"/>
  <c r="J7" i="12"/>
  <c r="J6" i="12" s="1"/>
  <c r="L6" i="12" s="1"/>
  <c r="B134" i="6" s="1"/>
  <c r="J15" i="12"/>
  <c r="J19" i="12"/>
  <c r="E22" i="12"/>
  <c r="J22" i="12" s="1"/>
  <c r="J21" i="12" l="1"/>
  <c r="L21" i="12" s="1"/>
  <c r="J12" i="12"/>
  <c r="L12" i="12" s="1"/>
  <c r="B100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12" i="6" s="1"/>
  <c r="J7" i="11"/>
  <c r="J6" i="11" s="1"/>
  <c r="L6" i="11" s="1"/>
  <c r="B164" i="6" s="1"/>
  <c r="J49" i="11"/>
  <c r="E38" i="11"/>
  <c r="J38" i="11" s="1"/>
  <c r="J26" i="11" l="1"/>
  <c r="L26" i="11" s="1"/>
  <c r="B118" i="6" s="1"/>
  <c r="J23" i="11"/>
  <c r="L23" i="11" s="1"/>
  <c r="J17" i="11"/>
  <c r="L17" i="11" s="1"/>
  <c r="B74" i="6" s="1"/>
  <c r="J10" i="11"/>
  <c r="L10" i="11" s="1"/>
  <c r="B78" i="6" s="1"/>
  <c r="J42" i="11"/>
  <c r="L42" i="11" s="1"/>
  <c r="J32" i="11"/>
  <c r="L32" i="11" s="1"/>
  <c r="J35" i="11"/>
  <c r="L35" i="11" s="1"/>
  <c r="B84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77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28" i="6" s="1"/>
  <c r="J13" i="9"/>
  <c r="J12" i="9" s="1"/>
  <c r="L12" i="9" s="1"/>
  <c r="J11" i="9"/>
  <c r="J10" i="9" s="1"/>
  <c r="L10" i="9" s="1"/>
  <c r="B62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10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64" i="6" s="1"/>
  <c r="J29" i="9"/>
  <c r="J22" i="9"/>
  <c r="L22" i="9" s="1"/>
  <c r="B146" i="6" s="1"/>
  <c r="J33" i="9"/>
  <c r="L33" i="9" s="1"/>
  <c r="B117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27" i="6" s="1"/>
  <c r="J17" i="8"/>
  <c r="J16" i="8" s="1"/>
  <c r="L16" i="8" s="1"/>
  <c r="J19" i="8"/>
  <c r="J15" i="8"/>
  <c r="J14" i="8" s="1"/>
  <c r="L14" i="8" s="1"/>
  <c r="J22" i="8"/>
  <c r="L8" i="8"/>
  <c r="B48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56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160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7" i="6" s="1"/>
  <c r="E21" i="7"/>
  <c r="J21" i="7" s="1"/>
  <c r="J20" i="7" s="1"/>
  <c r="L20" i="7" s="1"/>
  <c r="B23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85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37" i="6" s="1"/>
  <c r="J85" i="5"/>
  <c r="J84" i="5" s="1"/>
  <c r="L84" i="5" s="1"/>
  <c r="B63" i="6" s="1"/>
  <c r="J46" i="5"/>
  <c r="J50" i="5"/>
  <c r="J18" i="5"/>
  <c r="L18" i="5" s="1"/>
  <c r="B165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97" i="6" s="1"/>
  <c r="J25" i="5"/>
  <c r="L25" i="5" s="1"/>
  <c r="B7" i="6" s="1"/>
  <c r="E98" i="5"/>
  <c r="J98" i="5" s="1"/>
  <c r="J63" i="5"/>
  <c r="J60" i="5" s="1"/>
  <c r="J12" i="5"/>
  <c r="L12" i="5" s="1"/>
  <c r="B75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5" i="6" s="1"/>
  <c r="J91" i="5"/>
  <c r="L91" i="5" s="1"/>
  <c r="J55" i="5"/>
  <c r="L55" i="5" s="1"/>
  <c r="J40" i="5"/>
  <c r="L40" i="5" s="1"/>
  <c r="B79" i="6" s="1"/>
  <c r="L31" i="5"/>
  <c r="B147" i="6" s="1"/>
  <c r="J65" i="5"/>
  <c r="L65" i="5" s="1"/>
  <c r="L20" i="5"/>
  <c r="L27" i="5"/>
  <c r="B116" i="6" s="1"/>
  <c r="J44" i="5"/>
  <c r="L44" i="5" s="1"/>
  <c r="L14" i="5"/>
  <c r="L60" i="5"/>
  <c r="J97" i="5"/>
  <c r="K51" i="3"/>
  <c r="K15" i="3"/>
  <c r="K61" i="3"/>
  <c r="L97" i="5" l="1"/>
  <c r="B156" i="6" s="1"/>
  <c r="K20" i="4"/>
  <c r="K41" i="4"/>
  <c r="H99" i="4" l="1"/>
  <c r="I99" i="4" s="1"/>
  <c r="F99" i="4"/>
  <c r="D99" i="4"/>
  <c r="E99" i="4" l="1"/>
  <c r="J99" i="4" s="1"/>
  <c r="J98" i="4" s="1"/>
  <c r="L98" i="4" s="1"/>
  <c r="B101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30" i="6" s="1"/>
  <c r="J48" i="4"/>
  <c r="J73" i="4"/>
  <c r="J77" i="4"/>
  <c r="J76" i="4" s="1"/>
  <c r="L76" i="4" s="1"/>
  <c r="B40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169" i="6" s="1"/>
  <c r="J13" i="4"/>
  <c r="J46" i="4"/>
  <c r="J14" i="4"/>
  <c r="J72" i="4"/>
  <c r="J45" i="4"/>
  <c r="J28" i="4"/>
  <c r="J52" i="4"/>
  <c r="J87" i="4"/>
  <c r="J86" i="4" s="1"/>
  <c r="L86" i="4" s="1"/>
  <c r="B111" i="6" s="1"/>
  <c r="J93" i="4"/>
  <c r="J92" i="4" s="1"/>
  <c r="L92" i="4" s="1"/>
  <c r="B76" i="6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50" i="6" s="1"/>
  <c r="J41" i="4"/>
  <c r="L41" i="4" s="1"/>
  <c r="B155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6" i="6" s="1"/>
  <c r="J15" i="4"/>
  <c r="L15" i="4" s="1"/>
  <c r="J47" i="4"/>
  <c r="L47" i="4" s="1"/>
  <c r="J96" i="4"/>
  <c r="L96" i="4" s="1"/>
  <c r="J78" i="4"/>
  <c r="L78" i="4" s="1"/>
  <c r="J80" i="4"/>
  <c r="L80" i="4" s="1"/>
  <c r="B115" i="6" s="1"/>
  <c r="L20" i="4"/>
  <c r="J82" i="4"/>
  <c r="L82" i="4" s="1"/>
  <c r="B24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61" i="6" s="1"/>
  <c r="I11" i="3"/>
  <c r="J11" i="3" s="1"/>
  <c r="I73" i="3"/>
  <c r="J73" i="3" s="1"/>
  <c r="J72" i="3" s="1"/>
  <c r="L72" i="3" s="1"/>
  <c r="B154" i="6" s="1"/>
  <c r="I75" i="3"/>
  <c r="J75" i="3" s="1"/>
  <c r="J74" i="3" s="1"/>
  <c r="L74" i="3" s="1"/>
  <c r="B141" i="6" s="1"/>
  <c r="I77" i="3"/>
  <c r="J77" i="3" s="1"/>
  <c r="J76" i="3" s="1"/>
  <c r="L76" i="3" s="1"/>
  <c r="B25" i="6" s="1"/>
  <c r="I79" i="3"/>
  <c r="J79" i="3" s="1"/>
  <c r="J78" i="3" s="1"/>
  <c r="L78" i="3" s="1"/>
  <c r="B46" i="6" s="1"/>
  <c r="I81" i="3"/>
  <c r="J81" i="3" s="1"/>
  <c r="J80" i="3" s="1"/>
  <c r="L80" i="3" s="1"/>
  <c r="B42" i="6" s="1"/>
  <c r="I83" i="3"/>
  <c r="J83" i="3" s="1"/>
  <c r="J82" i="3" s="1"/>
  <c r="L82" i="3" s="1"/>
  <c r="B68" i="6" s="1"/>
  <c r="I85" i="3"/>
  <c r="J85" i="3" s="1"/>
  <c r="J84" i="3" s="1"/>
  <c r="L84" i="3" s="1"/>
  <c r="B54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0" i="6" s="1"/>
  <c r="J23" i="3"/>
  <c r="L23" i="3" s="1"/>
  <c r="B57" i="6" s="1"/>
  <c r="J61" i="3"/>
  <c r="L61" i="3" s="1"/>
  <c r="B90" i="6" s="1"/>
  <c r="J33" i="3"/>
  <c r="L33" i="3" s="1"/>
  <c r="B51" i="6" s="1"/>
  <c r="J26" i="3"/>
  <c r="L26" i="3" s="1"/>
  <c r="B94" i="6" s="1"/>
  <c r="J65" i="3"/>
  <c r="L65" i="3" s="1"/>
  <c r="B45" i="6" s="1"/>
  <c r="J51" i="3"/>
  <c r="L51" i="3" s="1"/>
  <c r="B152" i="6" s="1"/>
  <c r="J30" i="3"/>
  <c r="L30" i="3" s="1"/>
  <c r="B158" i="6" s="1"/>
  <c r="J42" i="3"/>
  <c r="L42" i="3" s="1"/>
  <c r="B119" i="6" s="1"/>
  <c r="J15" i="3"/>
  <c r="L15" i="3" s="1"/>
  <c r="B53" i="6" s="1"/>
  <c r="J45" i="3"/>
  <c r="L45" i="3" s="1"/>
  <c r="B47" i="6" s="1"/>
  <c r="J55" i="3"/>
  <c r="L55" i="3" s="1"/>
  <c r="B37" i="6" s="1"/>
  <c r="J10" i="3"/>
  <c r="L10" i="3" s="1"/>
  <c r="B82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6" i="1"/>
  <c r="H54" i="1"/>
  <c r="H50" i="1"/>
  <c r="H48" i="1"/>
  <c r="H47" i="1"/>
  <c r="H46" i="1"/>
  <c r="H34" i="1"/>
  <c r="H29" i="1"/>
  <c r="H28" i="1"/>
  <c r="H27" i="1"/>
  <c r="H14" i="1"/>
  <c r="H25" i="1"/>
  <c r="I22" i="1" l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I35" i="1"/>
  <c r="J35" i="1" s="1"/>
  <c r="I52" i="1"/>
  <c r="J52" i="1" s="1"/>
  <c r="J37" i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<sst xmlns="http://schemas.openxmlformats.org/spreadsheetml/2006/main" count="2049" uniqueCount="826">
  <si>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</si>
  <si>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</si>
  <si>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</si>
  <si>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</si>
  <si>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</si>
  <si>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</si>
  <si>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</si>
  <si>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</si>
  <si>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</si>
  <si>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</si>
  <si>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</si>
  <si>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</si>
  <si>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</si>
  <si>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</si>
  <si>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</si>
  <si>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</si>
  <si>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</si>
  <si>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</si>
  <si>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</si>
  <si>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</si>
  <si>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</si>
  <si>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</si>
  <si>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</si>
  <si>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</si>
  <si>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</si>
  <si>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</si>
  <si>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</si>
  <si>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</si>
  <si>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</si>
  <si>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</si>
  <si>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</si>
  <si>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</si>
  <si>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</si>
  <si>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</si>
  <si>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</si>
  <si>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</si>
  <si>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</si>
  <si>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</si>
  <si>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</si>
  <si>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</si>
  <si>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</si>
  <si>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</si>
  <si>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</si>
  <si>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</si>
  <si>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</si>
  <si>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</si>
  <si>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</si>
  <si>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</si>
  <si>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</si>
  <si>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</si>
  <si>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</si>
  <si>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</si>
  <si>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</si>
  <si>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</si>
  <si>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</si>
  <si>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</si>
  <si>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</si>
  <si>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</si>
  <si>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</si>
  <si>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</si>
  <si>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</si>
  <si>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</si>
  <si>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</si>
  <si>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</si>
  <si>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</si>
  <si>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</si>
  <si>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</si>
  <si>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</si>
  <si>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</si>
  <si>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</si>
  <si>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</si>
  <si>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</si>
  <si>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</si>
  <si>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</si>
  <si>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</si>
  <si>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</si>
  <si>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</si>
  <si>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</si>
  <si>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</si>
  <si>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</si>
  <si>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</si>
  <si>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</si>
  <si>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</si>
  <si>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</si>
  <si>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</si>
  <si>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</si>
  <si>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</si>
  <si>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</si>
  <si>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</si>
  <si>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</si>
  <si>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</si>
  <si>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</si>
  <si>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</si>
  <si>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</si>
  <si>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</si>
  <si>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</si>
  <si>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</si>
  <si>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</si>
  <si>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</si>
  <si>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</si>
  <si>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</si>
  <si>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</si>
  <si>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</si>
  <si>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</si>
  <si>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</si>
  <si>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</si>
  <si>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</si>
  <si>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</si>
  <si>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</si>
  <si>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</si>
  <si>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</si>
  <si>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</si>
  <si>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</si>
  <si>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</si>
  <si>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</si>
  <si>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</si>
  <si>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</si>
  <si>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</si>
  <si>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</si>
  <si>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</si>
  <si>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</si>
  <si>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</si>
  <si>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</si>
  <si>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</si>
  <si>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</si>
  <si>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</si>
  <si>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</si>
  <si>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</si>
  <si>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</si>
  <si>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</si>
  <si>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</si>
  <si>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</si>
  <si>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</si>
  <si>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</si>
  <si>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</si>
  <si>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</si>
  <si>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</si>
  <si>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</si>
  <si>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</si>
  <si>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</si>
  <si>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</si>
  <si>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</si>
  <si>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</si>
  <si>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</si>
  <si>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</si>
  <si>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</si>
  <si>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</si>
  <si>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</si>
  <si>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</si>
  <si>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</si>
  <si>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</si>
  <si>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</si>
  <si>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</si>
  <si>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</si>
  <si>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</si>
  <si>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</si>
  <si>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</si>
  <si>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</si>
  <si>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</si>
  <si>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</si>
  <si>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</si>
  <si>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</si>
  <si>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</si>
  <si>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</si>
  <si>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</si>
  <si>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</si>
  <si>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</si>
  <si>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</si>
  <si>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</si>
  <si>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</si>
  <si>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</si>
  <si>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</si>
  <si>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</si>
  <si>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</si>
  <si>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</si>
  <si>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</si>
  <si>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</si>
  <si>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</si>
  <si>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</si>
  <si>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</si>
  <si>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</si>
  <si>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</si>
  <si>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</si>
  <si>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</si>
  <si>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r>
      <rPr>
        <b/>
        <i/>
        <sz val="11"/>
        <color indexed="10"/>
        <rFont val="Calibri"/>
        <family val="2"/>
        <charset val="204"/>
      </rPr>
      <t>красным</t>
    </r>
    <r>
      <rPr>
        <i/>
        <sz val="11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</si>
  <si>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</si>
  <si>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</si>
  <si>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</si>
  <si>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</si>
  <si>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</si>
  <si>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</si>
  <si>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</si>
  <si>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</si>
  <si>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</si>
  <si>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</si>
  <si>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</si>
  <si>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</si>
  <si>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</si>
  <si>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</si>
  <si>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</si>
  <si>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</si>
  <si>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</si>
  <si>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</si>
  <si>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</si>
  <si>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</si>
  <si>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</si>
  <si>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</si>
  <si>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</si>
  <si>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</si>
  <si>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</si>
  <si>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</si>
  <si>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</si>
  <si>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</si>
  <si>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</si>
  <si>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</si>
  <si>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</si>
  <si>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</si>
  <si>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</si>
  <si>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</si>
  <si>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</si>
  <si>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</si>
  <si>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</si>
  <si>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</si>
  <si>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</si>
  <si>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</si>
  <si>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</si>
  <si>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</si>
  <si>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</si>
  <si>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</si>
  <si>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</si>
  <si>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</si>
  <si>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</si>
  <si>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</si>
  <si>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</si>
  <si>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</si>
  <si>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</si>
  <si>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</si>
  <si>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</si>
  <si>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</si>
  <si>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</si>
  <si>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</si>
  <si>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</si>
  <si>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</si>
  <si>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</si>
  <si>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</si>
  <si>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</si>
  <si>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</si>
  <si>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</si>
  <si>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</si>
  <si>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</si>
  <si>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</si>
  <si>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</si>
  <si>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</si>
  <si>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</si>
  <si>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</si>
  <si>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</si>
  <si>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</si>
  <si>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</si>
  <si>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</si>
  <si>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</si>
  <si>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</si>
  <si>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</si>
  <si>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</si>
  <si>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</si>
  <si>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</si>
  <si>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</si>
  <si>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</si>
  <si>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</si>
  <si>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</si>
  <si>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</si>
  <si>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</si>
  <si>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</si>
  <si>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</si>
  <si>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</si>
  <si>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</si>
  <si>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</si>
  <si>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</si>
  <si>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</si>
  <si>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</si>
  <si>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</si>
  <si>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</si>
  <si>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2, 8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</si>
  <si>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</si>
  <si>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</si>
  <si>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</si>
  <si>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</si>
  <si>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</si>
  <si>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</si>
  <si>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</si>
  <si>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</si>
  <si>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</si>
  <si>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</si>
  <si>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</si>
  <si>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</si>
  <si>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</si>
  <si>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</si>
  <si>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</si>
  <si>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</si>
  <si>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</si>
  <si>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</si>
  <si>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</si>
  <si>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</si>
  <si>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</si>
  <si>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</si>
  <si>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</si>
  <si>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</si>
  <si>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</si>
  <si>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</si>
  <si>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</si>
  <si>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</si>
  <si>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</si>
  <si>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</si>
  <si>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</si>
  <si>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</si>
  <si>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</si>
  <si>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</si>
  <si>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</si>
  <si>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</si>
  <si>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</si>
  <si>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</si>
  <si>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</si>
  <si>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</si>
  <si>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</si>
  <si>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</si>
  <si>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</si>
  <si>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</si>
  <si>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</si>
  <si>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</si>
  <si>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</si>
  <si>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</si>
  <si>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</si>
  <si>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</si>
  <si>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</si>
  <si>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</si>
  <si>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</si>
  <si>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</si>
  <si>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</si>
  <si>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</si>
  <si>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</si>
  <si>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</si>
  <si>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</si>
  <si>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</si>
  <si>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</si>
  <si>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</si>
  <si>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</si>
  <si>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</si>
  <si>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</si>
  <si>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</si>
  <si>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</si>
  <si>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</si>
  <si>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</si>
  <si>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</si>
  <si>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</si>
  <si>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</si>
  <si>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</si>
  <si>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</si>
  <si>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</si>
  <si>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</si>
  <si>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</si>
  <si>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</si>
  <si>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</si>
  <si>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</si>
  <si>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</si>
  <si>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</si>
  <si>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</si>
  <si>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</si>
  <si>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</si>
  <si>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</si>
  <si>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</si>
  <si>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</si>
  <si>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</si>
  <si>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</si>
  <si>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</si>
  <si>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</si>
  <si>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</si>
  <si>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</si>
  <si>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</si>
  <si>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</si>
  <si>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</si>
  <si>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</si>
  <si>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</si>
  <si>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</si>
  <si>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</si>
  <si>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</si>
  <si>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</si>
  <si>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</si>
  <si>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</si>
  <si>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</si>
  <si>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</si>
  <si>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</si>
  <si>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</si>
  <si>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</si>
  <si>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</si>
  <si>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</si>
  <si>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</si>
  <si>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</si>
  <si>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</si>
  <si>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</si>
  <si>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</si>
  <si>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</si>
  <si>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</si>
  <si>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</si>
  <si>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</si>
  <si>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</si>
  <si>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5, 6, 14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</si>
  <si>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</si>
  <si>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</si>
  <si>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</si>
  <si>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</si>
  <si>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</si>
  <si>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</si>
  <si>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</si>
  <si>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</si>
  <si>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</si>
  <si>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</si>
  <si>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</si>
  <si>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</si>
  <si>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</si>
  <si>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</si>
  <si>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</si>
  <si>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</si>
  <si>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</si>
  <si>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</si>
  <si>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</si>
  <si>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</si>
  <si>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</si>
  <si>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</si>
  <si>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</si>
  <si>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</si>
  <si>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</si>
  <si>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</si>
  <si>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</si>
  <si>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</si>
  <si>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</si>
  <si>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</si>
  <si>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</si>
  <si>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</si>
  <si>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</si>
  <si>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</si>
  <si>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</si>
  <si>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</si>
  <si>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</si>
  <si>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</si>
  <si>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</si>
  <si>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</si>
  <si>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</si>
  <si>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</si>
  <si>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</si>
  <si>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</si>
  <si>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</si>
  <si>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</si>
  <si>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</si>
  <si>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</si>
  <si>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</si>
  <si>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</si>
  <si>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</si>
  <si>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</si>
  <si>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</si>
  <si>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</si>
  <si>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</si>
  <si>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</si>
  <si>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</si>
  <si>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</si>
  <si>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</si>
  <si>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</si>
  <si>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</si>
  <si>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</si>
  <si>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</si>
  <si>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</si>
  <si>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</si>
  <si>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</si>
  <si>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</si>
  <si>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</si>
  <si>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</si>
  <si>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</si>
  <si>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</si>
  <si>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</si>
  <si>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</si>
  <si>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</si>
  <si>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</si>
  <si>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</si>
  <si>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</si>
  <si>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</si>
  <si>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</si>
  <si>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</si>
  <si>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</si>
  <si>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</si>
  <si>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</si>
  <si>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18, 21</t>
  </si>
  <si>
    <t>2, 3, 4,21</t>
  </si>
  <si>
    <t>20, 21</t>
  </si>
  <si>
    <t>2, 3, 4, 21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</si>
  <si>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</si>
  <si>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</si>
  <si>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</si>
  <si>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</si>
  <si>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</si>
  <si>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</si>
  <si>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</si>
  <si>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</si>
  <si>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</si>
  <si>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</si>
  <si>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</si>
  <si>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</si>
  <si>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</si>
  <si>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</si>
  <si>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</si>
  <si>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4, 5, 6, 14, 22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</si>
  <si>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</si>
  <si>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</si>
  <si>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</si>
  <si>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</si>
  <si>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</si>
  <si>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</si>
  <si>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</si>
  <si>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</si>
  <si>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</si>
  <si>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</si>
  <si>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</si>
  <si>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</si>
  <si>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</si>
  <si>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</si>
  <si>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</si>
  <si>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</si>
  <si>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</si>
  <si>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</si>
  <si>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</si>
  <si>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</si>
  <si>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</si>
  <si>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</si>
  <si>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</si>
  <si>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</si>
  <si>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</si>
  <si>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</si>
  <si>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</si>
  <si>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</si>
  <si>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</si>
  <si>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</si>
  <si>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</si>
  <si>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</si>
  <si>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</si>
  <si>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</si>
  <si>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</si>
  <si>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</si>
  <si>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</si>
  <si>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</si>
  <si>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</si>
  <si>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</si>
  <si>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</si>
  <si>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</si>
  <si>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</si>
  <si>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</si>
  <si>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</si>
  <si>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</si>
  <si>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</si>
  <si>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13,21, 23, 24, 26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</si>
  <si>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</si>
  <si>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</si>
  <si>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</si>
  <si>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</si>
  <si>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</si>
  <si>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</si>
  <si>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</si>
  <si>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</si>
  <si>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</si>
  <si>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</si>
  <si>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</si>
  <si>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</si>
  <si>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</si>
  <si>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</si>
  <si>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</si>
  <si>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</si>
  <si>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</si>
  <si>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</si>
  <si>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</si>
  <si>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</si>
  <si>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</si>
  <si>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</si>
  <si>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</si>
  <si>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</si>
  <si>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</si>
  <si>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</si>
  <si>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</si>
  <si>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</si>
  <si>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</si>
  <si>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12, 17,18, 25, 26, 28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</si>
  <si>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</si>
  <si>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</si>
  <si>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</si>
  <si>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</si>
  <si>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</si>
  <si>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</si>
  <si>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</si>
  <si>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</si>
  <si>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</si>
  <si>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</si>
  <si>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</si>
  <si>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</si>
  <si>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</si>
  <si>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</si>
  <si>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</si>
  <si>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</si>
  <si>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</si>
  <si>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</si>
  <si>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</si>
  <si>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</si>
  <si>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</si>
  <si>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</si>
  <si>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</si>
  <si>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</si>
  <si>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</si>
  <si>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</si>
  <si>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</si>
  <si>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</si>
  <si>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</si>
  <si>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</si>
  <si>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</si>
  <si>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</si>
  <si>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</si>
  <si>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</si>
  <si>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</si>
  <si>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</si>
  <si>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</si>
  <si>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</si>
  <si>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</si>
  <si>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</si>
  <si>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</si>
  <si>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</si>
  <si>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</si>
  <si>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</si>
  <si>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</si>
  <si>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</si>
  <si>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</si>
  <si>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</si>
  <si>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2, 14, 30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</si>
  <si>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</si>
  <si>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</si>
  <si>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</si>
  <si>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</si>
  <si>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</si>
  <si>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</si>
  <si>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</si>
  <si>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</si>
  <si>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</si>
  <si>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</si>
  <si>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</si>
  <si>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</si>
  <si>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</si>
  <si>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</si>
  <si>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</si>
  <si>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</si>
  <si>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</si>
  <si>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</si>
  <si>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</si>
  <si>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</si>
  <si>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</si>
  <si>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</si>
  <si>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</si>
  <si>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</si>
  <si>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</si>
  <si>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</si>
  <si>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</si>
  <si>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</si>
  <si>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</si>
  <si>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</si>
  <si>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</si>
  <si>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</si>
  <si>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</si>
  <si>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</si>
  <si>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</si>
  <si>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</si>
  <si>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</si>
  <si>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</si>
  <si>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</si>
  <si>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</si>
  <si>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</si>
  <si>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</si>
  <si>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</si>
  <si>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</si>
  <si>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</si>
  <si>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</si>
  <si>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</si>
  <si>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</si>
  <si>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</si>
  <si>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</si>
  <si>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</si>
  <si>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</si>
  <si>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</si>
  <si>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</si>
  <si>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</si>
  <si>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</si>
  <si>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</si>
  <si>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</si>
  <si>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</si>
  <si>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</si>
  <si>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</si>
  <si>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</si>
  <si>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</si>
  <si>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</si>
  <si>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</si>
  <si>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</si>
  <si>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</si>
  <si>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</si>
  <si>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</si>
  <si>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</si>
  <si>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</si>
  <si>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</si>
  <si>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</si>
  <si>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</si>
  <si>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</si>
  <si>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</si>
  <si>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</si>
  <si>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</si>
  <si>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</si>
  <si>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</si>
  <si>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</si>
  <si>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</si>
  <si>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</si>
  <si>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</si>
  <si>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</si>
  <si>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</si>
  <si>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</si>
  <si>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</si>
  <si>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</si>
  <si>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</si>
  <si>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</si>
  <si>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</si>
  <si>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</si>
  <si>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</si>
  <si>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</si>
  <si>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</si>
  <si>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</si>
  <si>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</si>
  <si>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</si>
  <si>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</si>
  <si>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</si>
  <si>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</si>
  <si>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</si>
  <si>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</si>
  <si>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</si>
  <si>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</si>
  <si>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</si>
  <si>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</si>
  <si>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</si>
  <si>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</si>
  <si>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</si>
  <si>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</si>
  <si>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</si>
  <si>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</si>
  <si>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</si>
  <si>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</si>
  <si>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</si>
  <si>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</si>
  <si>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</si>
  <si>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</si>
  <si>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</si>
  <si>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</si>
  <si>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</si>
  <si>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</si>
  <si>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</si>
  <si>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</si>
  <si>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</si>
  <si>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</si>
  <si>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</si>
  <si>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</si>
  <si>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</si>
  <si>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</si>
  <si>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</si>
  <si>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</si>
  <si>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</si>
  <si>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</si>
  <si>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</si>
  <si>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</si>
  <si>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</si>
  <si>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</si>
  <si>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14, 15, 19,22, 23, 24, 25, 28, 30, 32, 33, 34, 36</t>
  </si>
  <si>
    <t>2, 3,4, 5, 6, 8, 10, 12, 15, 17, 21, 24, 28, 31, 32, 33, 35, 36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</si>
  <si>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</si>
  <si>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</si>
  <si>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</si>
  <si>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</si>
  <si>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</si>
  <si>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</si>
  <si>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</si>
  <si>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</si>
  <si>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</si>
  <si>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</si>
  <si>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35, 37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</si>
  <si>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</si>
  <si>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</si>
  <si>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</si>
  <si>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</si>
  <si>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</si>
  <si>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</si>
  <si>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</si>
  <si>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</si>
  <si>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</si>
  <si>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</si>
  <si>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</si>
  <si>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</si>
  <si>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</si>
  <si>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</si>
  <si>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</si>
  <si>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</si>
  <si>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</si>
  <si>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</si>
  <si>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</si>
  <si>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</si>
  <si>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</si>
  <si>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</si>
  <si>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</si>
  <si>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</si>
  <si>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</si>
  <si>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</si>
  <si>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</si>
  <si>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</si>
  <si>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</si>
  <si>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34, 38</t>
  </si>
  <si>
    <t>33,34, 38</t>
  </si>
  <si>
    <t>21, 38</t>
  </si>
  <si>
    <t>22, 25, 28, 29, 32, 33, 34, 35, 38</t>
  </si>
  <si>
    <t>12, 13, 14, 17, 18, 21,22, 23, 27, 29, 30, 31, 32, 34, 38</t>
  </si>
  <si>
    <t>33, 36, 38</t>
  </si>
  <si>
    <t>37, 38</t>
  </si>
  <si>
    <t>36, 38</t>
  </si>
  <si>
    <t>33, 38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</si>
</sst>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3" fillId="0" borderId="0" xfId="1" applyFont="1" applyAlignment="1" applyProtection="1"/>
    <xf numFmtId="0" fontId="0" fillId="4" borderId="1" xfId="0" applyFill="1" applyBorder="1" applyAlignment="1">
      <alignment wrapText="1"/>
    </xf>
    <xf numFmtId="0" fontId="24" fillId="9" borderId="1" xfId="0" applyFont="1" applyFill="1" applyBorder="1"/>
    <xf numFmtId="0" fontId="25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6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7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1" fontId="0" fillId="0" borderId="20" xfId="0" applyNumberFormat="1" applyBorder="1" applyAlignment="1">
      <alignment horizontal="center"/>
    </xf>
    <xf numFmtId="0" fontId="0" fillId="8" borderId="20" xfId="0" applyFill="1" applyBorder="1" applyAlignment="1">
      <alignment horizontal="center" wrapText="1"/>
    </xf>
    <xf numFmtId="0" fontId="0" fillId="0" borderId="21" xfId="0" applyBorder="1"/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2" xfId="0" applyFill="1" applyBorder="1" applyAlignment="1">
      <alignment wrapText="1"/>
    </xf>
    <xf numFmtId="0" fontId="28" fillId="12" borderId="13" xfId="0" applyFont="1" applyFill="1" applyBorder="1"/>
    <xf numFmtId="0" fontId="28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4" fillId="0" borderId="3" xfId="0" applyFont="1" applyBorder="1"/>
    <xf numFmtId="0" fontId="28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4" fillId="0" borderId="0" xfId="0" applyFont="1"/>
    <xf numFmtId="0" fontId="29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8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8" fillId="12" borderId="15" xfId="0" applyFont="1" applyFill="1" applyBorder="1"/>
    <xf numFmtId="0" fontId="28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8" fillId="12" borderId="1" xfId="0" applyFont="1" applyFill="1" applyBorder="1" applyAlignment="1">
      <alignment wrapText="1"/>
    </xf>
    <xf numFmtId="0" fontId="28" fillId="12" borderId="1" xfId="0" applyFont="1" applyFill="1" applyBorder="1"/>
    <xf numFmtId="0" fontId="28" fillId="12" borderId="1" xfId="0" applyFont="1" applyFill="1" applyBorder="1" applyAlignment="1"/>
    <xf numFmtId="0" fontId="0" fillId="13" borderId="1" xfId="0" applyFill="1" applyBorder="1"/>
    <xf numFmtId="0" fontId="28" fillId="12" borderId="19" xfId="0" applyFont="1" applyFill="1" applyBorder="1" applyAlignment="1"/>
    <xf numFmtId="0" fontId="28" fillId="12" borderId="10" xfId="0" applyFont="1" applyFill="1" applyBorder="1"/>
    <xf numFmtId="0" fontId="28" fillId="12" borderId="3" xfId="0" applyFont="1" applyFill="1" applyBorder="1"/>
    <xf numFmtId="0" fontId="0" fillId="10" borderId="13" xfId="0" applyFill="1" applyBorder="1"/>
    <xf numFmtId="0" fontId="30" fillId="0" borderId="1" xfId="0" applyFont="1" applyBorder="1"/>
    <xf numFmtId="0" fontId="31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32" fillId="7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9" fillId="3" borderId="20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3" fillId="12" borderId="13" xfId="0" applyFont="1" applyFill="1" applyBorder="1"/>
    <xf numFmtId="2" fontId="28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4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7" fillId="0" borderId="0" xfId="0" applyFont="1"/>
    <xf numFmtId="2" fontId="28" fillId="12" borderId="13" xfId="0" applyNumberFormat="1" applyFont="1" applyFill="1" applyBorder="1"/>
    <xf numFmtId="0" fontId="7" fillId="0" borderId="5" xfId="0" applyFont="1" applyFill="1" applyBorder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6" fillId="0" borderId="0" xfId="0" applyFont="1"/>
    <xf numFmtId="0" fontId="37" fillId="0" borderId="1" xfId="0" applyFont="1" applyBorder="1" applyAlignment="1">
      <alignment horizontal="center"/>
    </xf>
    <xf numFmtId="0" fontId="24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2" fillId="0" borderId="28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9" fillId="3" borderId="1" xfId="0" applyFont="1" applyFill="1" applyBorder="1" applyAlignment="1">
      <alignment horizontal="left" wrapText="1"/>
    </xf>
    <xf numFmtId="0" fontId="28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9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8" fillId="12" borderId="8" xfId="0" applyFont="1" applyFill="1" applyBorder="1" applyAlignment="1"/>
    <xf numFmtId="0" fontId="28" fillId="12" borderId="8" xfId="0" applyFont="1" applyFill="1" applyBorder="1"/>
    <xf numFmtId="0" fontId="12" fillId="0" borderId="1" xfId="0" applyFont="1" applyBorder="1"/>
    <xf numFmtId="164" fontId="28" fillId="12" borderId="1" xfId="0" applyNumberFormat="1" applyFont="1" applyFill="1" applyBorder="1"/>
    <xf numFmtId="164" fontId="28" fillId="12" borderId="13" xfId="0" applyNumberFormat="1" applyFont="1" applyFill="1" applyBorder="1"/>
    <xf numFmtId="0" fontId="3" fillId="3" borderId="1" xfId="1" applyFill="1" applyBorder="1" applyAlignment="1" applyProtection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3333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3" workbookViewId="0">
      <selection activeCell="B44" sqref="B44"/>
    </sheetView>
  </sheetViews>
  <sheetFormatPr defaultRowHeight="15" x14ac:dyDescent="0.25"/>
  <cols>
    <col min="1" max="1" width="14.7109375" style="27" customWidth="1"/>
    <col min="2" max="2" width="16.7109375" style="163" customWidth="1"/>
    <col min="3" max="3" width="24.42578125" customWidth="1"/>
  </cols>
  <sheetData>
    <row r="1" spans="1:4" ht="41.45" customHeight="1" x14ac:dyDescent="0.25">
      <c r="A1" s="165" t="s">
        <v>182</v>
      </c>
      <c r="B1" s="68" t="s">
        <v>189</v>
      </c>
      <c r="C1" s="68" t="s">
        <v>190</v>
      </c>
      <c r="D1" s="69" t="s">
        <v>183</v>
      </c>
    </row>
    <row r="2" spans="1:4" x14ac:dyDescent="0.25">
      <c r="A2" s="200">
        <v>51150</v>
      </c>
      <c r="B2" s="51">
        <f>'35'!L12</f>
        <v>-0.38751000000002023</v>
      </c>
      <c r="C2" s="70">
        <v>35</v>
      </c>
      <c r="D2" s="69"/>
    </row>
    <row r="3" spans="1:4" x14ac:dyDescent="0.25">
      <c r="A3" s="22" t="s">
        <v>452</v>
      </c>
      <c r="B3" s="51">
        <f>'18'!L27</f>
        <v>0.17795000000000982</v>
      </c>
      <c r="C3" s="70">
        <v>18</v>
      </c>
      <c r="D3" s="69"/>
    </row>
    <row r="4" spans="1:4" x14ac:dyDescent="0.25">
      <c r="A4" s="22" t="s">
        <v>714</v>
      </c>
      <c r="B4" s="51">
        <f>'34'!L6</f>
        <v>0.1591200000000299</v>
      </c>
      <c r="C4" s="70">
        <v>34</v>
      </c>
      <c r="D4" s="69"/>
    </row>
    <row r="5" spans="1:4" x14ac:dyDescent="0.25">
      <c r="A5" s="22" t="s">
        <v>121</v>
      </c>
      <c r="B5" s="51">
        <f>'3'!L90</f>
        <v>0.43039999999996326</v>
      </c>
      <c r="C5" s="70">
        <v>3</v>
      </c>
      <c r="D5" s="69" t="s">
        <v>188</v>
      </c>
    </row>
    <row r="6" spans="1:4" x14ac:dyDescent="0.25">
      <c r="A6" s="22" t="s">
        <v>338</v>
      </c>
      <c r="B6" s="51">
        <f>'12'!L17+'13'!L20</f>
        <v>3.954810000000009</v>
      </c>
      <c r="C6" s="70" t="s">
        <v>369</v>
      </c>
      <c r="D6" s="69" t="s">
        <v>184</v>
      </c>
    </row>
    <row r="7" spans="1:4" x14ac:dyDescent="0.25">
      <c r="A7" s="22" t="s">
        <v>179</v>
      </c>
      <c r="B7" s="51">
        <f>'4'!L25</f>
        <v>6.0853999999999928</v>
      </c>
      <c r="C7" s="70">
        <v>4</v>
      </c>
    </row>
    <row r="8" spans="1:4" x14ac:dyDescent="0.25">
      <c r="A8" s="22" t="s">
        <v>646</v>
      </c>
      <c r="B8" s="51">
        <f>'31'!L21</f>
        <v>67.747600000000148</v>
      </c>
      <c r="C8" s="70">
        <v>31</v>
      </c>
    </row>
    <row r="9" spans="1:4" x14ac:dyDescent="0.25">
      <c r="A9" s="22" t="s">
        <v>250</v>
      </c>
      <c r="B9" s="51">
        <f>'7'!L20</f>
        <v>-31.68433333333337</v>
      </c>
      <c r="C9" s="70">
        <v>7</v>
      </c>
      <c r="D9" s="69"/>
    </row>
    <row r="10" spans="1:4" x14ac:dyDescent="0.25">
      <c r="A10" s="22" t="s">
        <v>411</v>
      </c>
      <c r="B10" s="51">
        <f>'15'!L12</f>
        <v>3.9373199999999997</v>
      </c>
      <c r="C10" s="70">
        <v>15</v>
      </c>
      <c r="D10" s="69"/>
    </row>
    <row r="11" spans="1:4" x14ac:dyDescent="0.25">
      <c r="A11" s="22" t="s">
        <v>684</v>
      </c>
      <c r="B11" s="51">
        <f>'32'!L41+'34'!L24</f>
        <v>-0.44236000000000786</v>
      </c>
      <c r="C11" s="70" t="s">
        <v>730</v>
      </c>
      <c r="D11" s="69"/>
    </row>
    <row r="12" spans="1:4" x14ac:dyDescent="0.25">
      <c r="A12" s="22" t="s">
        <v>25</v>
      </c>
      <c r="B12" s="74">
        <f>'2итог'!L40+'9'!L23</f>
        <v>5.4230799999999988</v>
      </c>
      <c r="C12" s="70" t="s">
        <v>315</v>
      </c>
    </row>
    <row r="13" spans="1:4" x14ac:dyDescent="0.25">
      <c r="A13" s="22" t="s">
        <v>31</v>
      </c>
      <c r="B13" s="51">
        <f>'2итог'!L68+'8'!L6</f>
        <v>2.8571999999999207</v>
      </c>
      <c r="C13" s="70" t="s">
        <v>281</v>
      </c>
    </row>
    <row r="14" spans="1:4" x14ac:dyDescent="0.25">
      <c r="A14" s="23" t="s">
        <v>528</v>
      </c>
      <c r="B14" s="51">
        <f>'23'!L43</f>
        <v>5.7899999999904139E-2</v>
      </c>
      <c r="C14" s="70">
        <v>23</v>
      </c>
    </row>
    <row r="15" spans="1:4" x14ac:dyDescent="0.25">
      <c r="A15" s="22" t="s">
        <v>165</v>
      </c>
      <c r="B15" s="51">
        <f>'4'!L49+'5'!L60+'13'!L18+'17'!L6+'18'!L17+'20'!L19</f>
        <v>59.122805666666864</v>
      </c>
      <c r="C15" s="70" t="s">
        <v>475</v>
      </c>
    </row>
    <row r="16" spans="1:4" x14ac:dyDescent="0.25">
      <c r="A16" s="22" t="s">
        <v>130</v>
      </c>
      <c r="B16" s="51">
        <f>'3'!L12+'4'!L8</f>
        <v>4.0525399999999649</v>
      </c>
      <c r="C16" s="70">
        <v>3.4</v>
      </c>
    </row>
    <row r="17" spans="1:3" x14ac:dyDescent="0.25">
      <c r="A17" s="22" t="s">
        <v>214</v>
      </c>
      <c r="B17" s="51">
        <f>'5'!L12</f>
        <v>-2.7871300000000048</v>
      </c>
      <c r="C17" s="70">
        <v>5</v>
      </c>
    </row>
    <row r="18" spans="1:3" x14ac:dyDescent="0.25">
      <c r="A18" s="23" t="s">
        <v>525</v>
      </c>
      <c r="B18" s="51">
        <f>'23'!L39</f>
        <v>5.7899999999904139E-2</v>
      </c>
      <c r="C18" s="70">
        <v>23</v>
      </c>
    </row>
    <row r="19" spans="1:3" x14ac:dyDescent="0.25">
      <c r="A19" s="22" t="s">
        <v>341</v>
      </c>
      <c r="B19" s="51">
        <f>'12'!L23+'13'!L13</f>
        <v>7.8253999999999451</v>
      </c>
      <c r="C19" s="70" t="s">
        <v>369</v>
      </c>
    </row>
    <row r="20" spans="1:3" x14ac:dyDescent="0.25">
      <c r="A20" s="22" t="s">
        <v>21</v>
      </c>
      <c r="B20" s="51">
        <f>'2итог'!L20+'7'!L16</f>
        <v>-10.683320000000094</v>
      </c>
      <c r="C20" s="70" t="s">
        <v>270</v>
      </c>
    </row>
    <row r="21" spans="1:3" x14ac:dyDescent="0.25">
      <c r="A21" s="22" t="s">
        <v>746</v>
      </c>
      <c r="B21" s="51">
        <f>'35'!L38</f>
        <v>0.43110000000001492</v>
      </c>
      <c r="C21" s="70">
        <v>35</v>
      </c>
    </row>
    <row r="22" spans="1:3" x14ac:dyDescent="0.25">
      <c r="A22" s="22" t="s">
        <v>444</v>
      </c>
      <c r="B22" s="51">
        <f>'18'!L19</f>
        <v>1.4999999999872671E-2</v>
      </c>
      <c r="C22" s="70">
        <v>18</v>
      </c>
    </row>
    <row r="23" spans="1:3" x14ac:dyDescent="0.25">
      <c r="A23" s="22" t="s">
        <v>199</v>
      </c>
      <c r="B23" s="51">
        <f>'5'!L20</f>
        <v>0.12885999999997466</v>
      </c>
      <c r="C23" s="70">
        <v>5</v>
      </c>
    </row>
    <row r="24" spans="1:3" x14ac:dyDescent="0.25">
      <c r="A24" s="22" t="s">
        <v>123</v>
      </c>
      <c r="B24" s="51">
        <f>'3'!L82+'5'!L27</f>
        <v>-5.6199999999790862E-3</v>
      </c>
      <c r="C24" s="70" t="s">
        <v>215</v>
      </c>
    </row>
    <row r="25" spans="1:3" x14ac:dyDescent="0.25">
      <c r="A25" s="22" t="s">
        <v>38</v>
      </c>
      <c r="B25" s="51">
        <f>'2итог'!L76</f>
        <v>3.6608099999999695</v>
      </c>
      <c r="C25" s="70">
        <v>2</v>
      </c>
    </row>
    <row r="26" spans="1:3" x14ac:dyDescent="0.25">
      <c r="A26" s="22" t="s">
        <v>556</v>
      </c>
      <c r="B26" s="51">
        <f>'27'!L6</f>
        <v>-873.08860000000004</v>
      </c>
      <c r="C26" s="70">
        <v>27</v>
      </c>
    </row>
    <row r="27" spans="1:3" x14ac:dyDescent="0.25">
      <c r="A27" s="22" t="s">
        <v>768</v>
      </c>
      <c r="B27" s="51">
        <f>'36'!L14</f>
        <v>0.46999999999997044</v>
      </c>
      <c r="C27" s="70">
        <v>36</v>
      </c>
    </row>
    <row r="28" spans="1:3" x14ac:dyDescent="0.25">
      <c r="A28" s="22" t="s">
        <v>745</v>
      </c>
      <c r="B28" s="51">
        <f>'35'!L36</f>
        <v>0.43110000000001492</v>
      </c>
      <c r="C28" s="70">
        <v>35</v>
      </c>
    </row>
    <row r="29" spans="1:3" x14ac:dyDescent="0.25">
      <c r="A29" s="22" t="s">
        <v>379</v>
      </c>
      <c r="B29" s="51">
        <f>'14'!L45</f>
        <v>-0.11673999999999296</v>
      </c>
      <c r="C29" s="70">
        <v>14</v>
      </c>
    </row>
    <row r="30" spans="1:3" x14ac:dyDescent="0.25">
      <c r="A30" s="22" t="s">
        <v>498</v>
      </c>
      <c r="B30" s="51">
        <f>'22'!L16</f>
        <v>-6.2821500000000015</v>
      </c>
      <c r="C30" s="70">
        <v>22</v>
      </c>
    </row>
    <row r="31" spans="1:3" x14ac:dyDescent="0.25">
      <c r="A31" s="22" t="s">
        <v>793</v>
      </c>
      <c r="B31" s="51">
        <f>'38'!L10</f>
        <v>-341.50666666666666</v>
      </c>
      <c r="C31" s="70">
        <v>38</v>
      </c>
    </row>
    <row r="32" spans="1:3" x14ac:dyDescent="0.25">
      <c r="A32" s="22" t="s">
        <v>413</v>
      </c>
      <c r="B32" s="51">
        <f>'15'!L14+'20'!L12</f>
        <v>-9.8799999999528154E-3</v>
      </c>
      <c r="C32" s="70" t="s">
        <v>472</v>
      </c>
    </row>
    <row r="33" spans="1:3" x14ac:dyDescent="0.25">
      <c r="A33" s="23" t="s">
        <v>514</v>
      </c>
      <c r="B33" s="51">
        <f>'23'!L14</f>
        <v>-0.39499999999998181</v>
      </c>
      <c r="C33" s="70">
        <v>23</v>
      </c>
    </row>
    <row r="34" spans="1:3" x14ac:dyDescent="0.25">
      <c r="A34" s="23" t="s">
        <v>691</v>
      </c>
      <c r="B34" s="51">
        <f>'33'!L12+'34'!L12+'38'!L14</f>
        <v>-1020.6939100000002</v>
      </c>
      <c r="C34" s="70" t="s">
        <v>818</v>
      </c>
    </row>
    <row r="35" spans="1:3" x14ac:dyDescent="0.25">
      <c r="A35" s="23" t="s">
        <v>540</v>
      </c>
      <c r="B35" s="51">
        <f>'24'!L14</f>
        <v>0.17160000000001219</v>
      </c>
      <c r="C35" s="70">
        <v>24</v>
      </c>
    </row>
    <row r="36" spans="1:3" x14ac:dyDescent="0.25">
      <c r="A36" s="23" t="s">
        <v>543</v>
      </c>
      <c r="B36" s="51">
        <f>'25'!L8</f>
        <v>3.8900000000012369E-2</v>
      </c>
      <c r="C36" s="70">
        <v>25</v>
      </c>
    </row>
    <row r="37" spans="1:3" x14ac:dyDescent="0.25">
      <c r="A37" s="22" t="s">
        <v>28</v>
      </c>
      <c r="B37" s="51">
        <f>'2итог'!L55+'3'!L8+'4'!L86+'21'!L15</f>
        <v>-0.3080000000002201</v>
      </c>
      <c r="C37" s="70" t="s">
        <v>489</v>
      </c>
    </row>
    <row r="38" spans="1:3" x14ac:dyDescent="0.25">
      <c r="A38" s="23" t="s">
        <v>524</v>
      </c>
      <c r="B38" s="51">
        <f>'23'!L37+'32'!L10</f>
        <v>2.7462333333332367</v>
      </c>
      <c r="C38" s="70" t="s">
        <v>687</v>
      </c>
    </row>
    <row r="39" spans="1:3" x14ac:dyDescent="0.25">
      <c r="A39" s="23" t="s">
        <v>523</v>
      </c>
      <c r="B39" s="51">
        <f>'23'!L35</f>
        <v>5.7899999999904139E-2</v>
      </c>
      <c r="C39" s="70">
        <v>23</v>
      </c>
    </row>
    <row r="40" spans="1:3" x14ac:dyDescent="0.25">
      <c r="A40" s="22" t="s">
        <v>133</v>
      </c>
      <c r="B40" s="51">
        <f>'3'!L76+'4'!L72</f>
        <v>34.322133333333426</v>
      </c>
      <c r="C40" s="70" t="s">
        <v>187</v>
      </c>
    </row>
    <row r="41" spans="1:3" x14ac:dyDescent="0.25">
      <c r="A41" s="22" t="s">
        <v>664</v>
      </c>
      <c r="B41" s="51">
        <f>'32'!L6</f>
        <v>3.1850000000000023</v>
      </c>
      <c r="C41" s="70">
        <v>32</v>
      </c>
    </row>
    <row r="42" spans="1:3" x14ac:dyDescent="0.25">
      <c r="A42" s="22" t="s">
        <v>40</v>
      </c>
      <c r="B42" s="51">
        <f>'2итог'!L80+'3'!L88+'4'!L44+'5'!L18+'6'!L18</f>
        <v>-13.151913333333596</v>
      </c>
      <c r="C42" s="70" t="s">
        <v>235</v>
      </c>
    </row>
    <row r="43" spans="1:3" x14ac:dyDescent="0.25">
      <c r="A43" s="22" t="s">
        <v>697</v>
      </c>
      <c r="B43" s="51">
        <f>'33'!L21+'38'!L40</f>
        <v>-2142.0486999999998</v>
      </c>
      <c r="C43" s="70" t="s">
        <v>825</v>
      </c>
    </row>
    <row r="44" spans="1:3" x14ac:dyDescent="0.25">
      <c r="A44" s="22" t="s">
        <v>625</v>
      </c>
      <c r="B44" s="51">
        <f>'30'!L40</f>
        <v>0.34900000000004638</v>
      </c>
      <c r="C44" s="70">
        <v>30</v>
      </c>
    </row>
    <row r="45" spans="1:3" x14ac:dyDescent="0.25">
      <c r="A45" s="22" t="s">
        <v>30</v>
      </c>
      <c r="B45" s="51">
        <f>'2итог'!L65+'3'!L67+'4'!L14</f>
        <v>6.1778753333333043</v>
      </c>
      <c r="C45" s="70" t="s">
        <v>185</v>
      </c>
    </row>
    <row r="46" spans="1:3" ht="30" x14ac:dyDescent="0.25">
      <c r="A46" s="23" t="s">
        <v>39</v>
      </c>
      <c r="B46" s="51">
        <f>'2итог'!L78+'3'!L20+'3'!L23+'5'!L48+'6'!L6+'12'!L29+'14'!L47+'17'!L12+'19'!L11+'22'!L12+'23'!L45</f>
        <v>0.2988050000000726</v>
      </c>
      <c r="C46" s="70" t="s">
        <v>534</v>
      </c>
    </row>
    <row r="47" spans="1:3" ht="45" x14ac:dyDescent="0.25">
      <c r="A47" s="23" t="s">
        <v>2</v>
      </c>
      <c r="B47" s="51">
        <f>'2итог'!L45+'3'!L30+'4'!L55+'5'!L44+'6'!L14+'8'!L12+'10'!L21+'12'!L34+'15'!L8+'17'!L10+'21'!L11+'23'!L6+'24'!L8+'28'!L13+'31'!L31+'32'!L37+'33'!L18+'35'!L16+'36'!L18</f>
        <v>-0.39582733333418219</v>
      </c>
      <c r="C47" s="70" t="s">
        <v>776</v>
      </c>
    </row>
    <row r="48" spans="1:3" x14ac:dyDescent="0.25">
      <c r="A48" s="23" t="s">
        <v>521</v>
      </c>
      <c r="B48" s="51">
        <f>'6'!L8+'7'!L6+'18'!L23</f>
        <v>-0.17543333333333067</v>
      </c>
      <c r="C48" s="70" t="s">
        <v>533</v>
      </c>
    </row>
    <row r="49" spans="1:3" x14ac:dyDescent="0.25">
      <c r="A49" s="23" t="s">
        <v>521</v>
      </c>
      <c r="B49" s="51"/>
      <c r="C49" s="70">
        <v>23</v>
      </c>
    </row>
    <row r="50" spans="1:3" x14ac:dyDescent="0.25">
      <c r="A50" s="22" t="s">
        <v>124</v>
      </c>
      <c r="B50" s="51">
        <f>'3'!L71+'5'!L30</f>
        <v>-13.888610000000085</v>
      </c>
      <c r="C50" s="70" t="s">
        <v>215</v>
      </c>
    </row>
    <row r="51" spans="1:3" x14ac:dyDescent="0.25">
      <c r="A51" s="22" t="s">
        <v>24</v>
      </c>
      <c r="B51" s="51">
        <f>'2итог'!L33+'3'!L33+'7'!L29</f>
        <v>-18.222000000000207</v>
      </c>
      <c r="C51" s="70" t="s">
        <v>271</v>
      </c>
    </row>
    <row r="52" spans="1:3" x14ac:dyDescent="0.25">
      <c r="A52" s="22" t="s">
        <v>544</v>
      </c>
      <c r="B52" s="51">
        <f>'25'!L10</f>
        <v>5.4800000000000182E-2</v>
      </c>
      <c r="C52" s="70">
        <v>25</v>
      </c>
    </row>
    <row r="53" spans="1:3" x14ac:dyDescent="0.25">
      <c r="A53" s="22" t="s">
        <v>20</v>
      </c>
      <c r="B53" s="51">
        <f>'2итог'!L15+'4'!L88+'7'!L14+'15'!L6+'20'!L17</f>
        <v>0.1099366666660444</v>
      </c>
      <c r="C53" s="70" t="s">
        <v>473</v>
      </c>
    </row>
    <row r="54" spans="1:3" x14ac:dyDescent="0.25">
      <c r="A54" s="22" t="s">
        <v>42</v>
      </c>
      <c r="B54" s="51">
        <f>'2итог'!L84+'3'!L96</f>
        <v>3.2574099999999362</v>
      </c>
      <c r="C54" s="70" t="s">
        <v>186</v>
      </c>
    </row>
    <row r="55" spans="1:3" x14ac:dyDescent="0.25">
      <c r="A55" s="22" t="s">
        <v>567</v>
      </c>
      <c r="B55" s="51">
        <f>'27'!L22+'32'!L25</f>
        <v>0.30173333333345909</v>
      </c>
      <c r="C55" s="70" t="s">
        <v>688</v>
      </c>
    </row>
    <row r="56" spans="1:3" x14ac:dyDescent="0.25">
      <c r="A56" s="22" t="s">
        <v>192</v>
      </c>
      <c r="B56" s="51">
        <f>'5'!L8+'8'!L8+'12'!L32</f>
        <v>-1.2971199999999641</v>
      </c>
      <c r="C56" s="70" t="s">
        <v>355</v>
      </c>
    </row>
    <row r="57" spans="1:3" x14ac:dyDescent="0.25">
      <c r="A57" s="22" t="s">
        <v>0</v>
      </c>
      <c r="B57" s="51">
        <f>'2итог'!L23+'4'!L22</f>
        <v>16.694627999999966</v>
      </c>
      <c r="C57" s="70">
        <v>2.4</v>
      </c>
    </row>
    <row r="58" spans="1:3" x14ac:dyDescent="0.25">
      <c r="A58" s="22" t="s">
        <v>759</v>
      </c>
      <c r="B58" s="51">
        <f>'35'!L32+'37'!L15</f>
        <v>-0.18600666666657162</v>
      </c>
      <c r="C58" s="70" t="s">
        <v>787</v>
      </c>
    </row>
    <row r="59" spans="1:3" x14ac:dyDescent="0.25">
      <c r="A59" s="22" t="s">
        <v>619</v>
      </c>
      <c r="B59" s="51">
        <f>'30'!L32+'31'!L6</f>
        <v>319.11960000000045</v>
      </c>
      <c r="C59" s="70" t="s">
        <v>658</v>
      </c>
    </row>
    <row r="60" spans="1:3" x14ac:dyDescent="0.25">
      <c r="A60" s="22" t="s">
        <v>569</v>
      </c>
      <c r="B60" s="51">
        <f>'27'!L24</f>
        <v>-0.12247999999999593</v>
      </c>
      <c r="C60" s="70">
        <v>27</v>
      </c>
    </row>
    <row r="61" spans="1:3" x14ac:dyDescent="0.25">
      <c r="A61" s="22" t="s">
        <v>32</v>
      </c>
      <c r="B61" s="51">
        <f>'2итог'!L70+'3'!L57+'4'!L33+'5'!L51+'13'!L16</f>
        <v>-8.3208633333331932</v>
      </c>
      <c r="C61" s="70" t="s">
        <v>371</v>
      </c>
    </row>
    <row r="62" spans="1:3" x14ac:dyDescent="0.25">
      <c r="A62" s="22" t="s">
        <v>243</v>
      </c>
      <c r="B62" s="51">
        <f>'7'!L10</f>
        <v>0.34850000000000136</v>
      </c>
      <c r="C62" s="70">
        <v>7</v>
      </c>
    </row>
    <row r="63" spans="1:3" x14ac:dyDescent="0.25">
      <c r="A63" s="22" t="s">
        <v>151</v>
      </c>
      <c r="B63" s="51">
        <f>'4'!L84</f>
        <v>15.043000000000006</v>
      </c>
      <c r="C63" s="70">
        <v>4</v>
      </c>
    </row>
    <row r="64" spans="1:3" x14ac:dyDescent="0.25">
      <c r="A64" s="23" t="s">
        <v>268</v>
      </c>
      <c r="B64" s="51">
        <f>'7'!L37</f>
        <v>-38.592800000000352</v>
      </c>
      <c r="C64" s="70">
        <v>7</v>
      </c>
    </row>
    <row r="65" spans="1:3" x14ac:dyDescent="0.25">
      <c r="A65" s="23" t="s">
        <v>410</v>
      </c>
      <c r="B65" s="51">
        <f>'15'!L10+'30'!L42</f>
        <v>10.796320000000094</v>
      </c>
      <c r="C65" s="70" t="s">
        <v>637</v>
      </c>
    </row>
    <row r="66" spans="1:3" x14ac:dyDescent="0.25">
      <c r="A66" s="23" t="s">
        <v>720</v>
      </c>
      <c r="B66" s="51">
        <f>'34'!L14+'37'!L8</f>
        <v>7.4962400000000571</v>
      </c>
      <c r="C66" s="70" t="s">
        <v>785</v>
      </c>
    </row>
    <row r="67" spans="1:3" x14ac:dyDescent="0.25">
      <c r="A67" s="23" t="s">
        <v>530</v>
      </c>
      <c r="B67" s="51">
        <f>'23'!L49</f>
        <v>0.36810000000002674</v>
      </c>
      <c r="C67" s="70">
        <v>23</v>
      </c>
    </row>
    <row r="68" spans="1:3" x14ac:dyDescent="0.25">
      <c r="A68" s="22" t="s">
        <v>41</v>
      </c>
      <c r="B68" s="51">
        <f>'2итог'!L82+'4'!L16</f>
        <v>6.7462099999999623</v>
      </c>
      <c r="C68" s="70">
        <v>2.4</v>
      </c>
    </row>
    <row r="69" spans="1:3" x14ac:dyDescent="0.25">
      <c r="A69" s="22" t="s">
        <v>653</v>
      </c>
      <c r="B69" s="51">
        <f>'31'!L28</f>
        <v>-1.3019999999999072</v>
      </c>
      <c r="C69" s="70">
        <v>31</v>
      </c>
    </row>
    <row r="70" spans="1:3" x14ac:dyDescent="0.25">
      <c r="A70" s="23" t="s">
        <v>356</v>
      </c>
      <c r="B70" s="51">
        <f>'12'!L38+'13'!L22+'17'!L16+'23'!L11+'32'!L34+'35'!L44</f>
        <v>0.30054599999994025</v>
      </c>
      <c r="C70" s="70" t="s">
        <v>760</v>
      </c>
    </row>
    <row r="71" spans="1:3" x14ac:dyDescent="0.25">
      <c r="A71" s="23" t="s">
        <v>624</v>
      </c>
      <c r="B71" s="51">
        <f>'30'!L38</f>
        <v>9.4500000000039108E-2</v>
      </c>
      <c r="C71" s="70">
        <v>30</v>
      </c>
    </row>
    <row r="72" spans="1:3" x14ac:dyDescent="0.25">
      <c r="A72" s="22" t="s">
        <v>324</v>
      </c>
      <c r="B72" s="51">
        <f>'10'!L8</f>
        <v>-0.73066666666665014</v>
      </c>
      <c r="C72" s="70">
        <v>10</v>
      </c>
    </row>
    <row r="73" spans="1:3" x14ac:dyDescent="0.25">
      <c r="A73" s="22" t="s">
        <v>738</v>
      </c>
      <c r="B73" s="51">
        <f>'35'!L20</f>
        <v>-0.38751000000002023</v>
      </c>
      <c r="C73" s="70">
        <v>35</v>
      </c>
    </row>
    <row r="74" spans="1:3" x14ac:dyDescent="0.25">
      <c r="A74" s="22" t="s">
        <v>299</v>
      </c>
      <c r="B74" s="51">
        <f>'9'!L17+'10'!L17+'12'!L26</f>
        <v>0.41207499999973152</v>
      </c>
      <c r="C74" s="70" t="s">
        <v>354</v>
      </c>
    </row>
    <row r="75" spans="1:3" x14ac:dyDescent="0.25">
      <c r="A75" s="22" t="s">
        <v>181</v>
      </c>
      <c r="B75" s="51">
        <f>'4'!L12+'5'!L34+'6'!L21+'10'!L17+'34'!L18+'35'!L22</f>
        <v>0.28793000000018765</v>
      </c>
      <c r="C75" s="70" t="s">
        <v>755</v>
      </c>
    </row>
    <row r="76" spans="1:3" x14ac:dyDescent="0.25">
      <c r="A76" s="23" t="s">
        <v>160</v>
      </c>
      <c r="B76" s="51">
        <f>'3'!L92+'4'!L60+'22'!L10+'23'!L24+'25'!L16</f>
        <v>0.14769999999964512</v>
      </c>
      <c r="C76" s="70" t="s">
        <v>551</v>
      </c>
    </row>
    <row r="77" spans="1:3" x14ac:dyDescent="0.25">
      <c r="A77" s="22" t="s">
        <v>272</v>
      </c>
      <c r="B77" s="51">
        <f>'8'!L10</f>
        <v>-513.98759999999993</v>
      </c>
      <c r="C77" s="70">
        <v>8</v>
      </c>
    </row>
    <row r="78" spans="1:3" x14ac:dyDescent="0.25">
      <c r="A78" s="22" t="s">
        <v>304</v>
      </c>
      <c r="B78" s="51">
        <f>'9'!L10+'10'!L10+'28'!L10</f>
        <v>-0.39733333333361998</v>
      </c>
      <c r="C78" s="70" t="s">
        <v>586</v>
      </c>
    </row>
    <row r="79" spans="1:3" x14ac:dyDescent="0.25">
      <c r="A79" s="22" t="s">
        <v>169</v>
      </c>
      <c r="B79" s="51">
        <f>'4'!L40+'12'!L13+'21'!L32+'22'!L6+'33'!L15</f>
        <v>2.4106666666625642E-2</v>
      </c>
      <c r="C79" s="70" t="s">
        <v>708</v>
      </c>
    </row>
    <row r="80" spans="1:3" x14ac:dyDescent="0.25">
      <c r="A80" s="22" t="s">
        <v>735</v>
      </c>
      <c r="B80" s="51">
        <f>'35'!L10</f>
        <v>-0.38751000000002023</v>
      </c>
      <c r="C80" s="70">
        <v>35</v>
      </c>
    </row>
    <row r="81" spans="1:3" x14ac:dyDescent="0.25">
      <c r="A81" s="22" t="s">
        <v>780</v>
      </c>
      <c r="B81" s="51">
        <f>'37'!L12+'38'!L32</f>
        <v>-1656.0773333333334</v>
      </c>
      <c r="C81" s="70" t="s">
        <v>823</v>
      </c>
    </row>
    <row r="82" spans="1:3" x14ac:dyDescent="0.25">
      <c r="A82" s="22" t="s">
        <v>19</v>
      </c>
      <c r="B82" s="51">
        <f>'2итог'!L10+'3'!L26</f>
        <v>0.39273999999977605</v>
      </c>
      <c r="C82" s="70" t="s">
        <v>186</v>
      </c>
    </row>
    <row r="83" spans="1:3" x14ac:dyDescent="0.25">
      <c r="A83" s="22" t="s">
        <v>327</v>
      </c>
      <c r="B83" s="51">
        <f>'11'!L15</f>
        <v>-26.911399999999958</v>
      </c>
      <c r="C83" s="70">
        <v>11</v>
      </c>
    </row>
    <row r="84" spans="1:3" x14ac:dyDescent="0.25">
      <c r="A84" s="22" t="s">
        <v>290</v>
      </c>
      <c r="B84" s="51">
        <f>'9'!L35+'11'!L6+'13'!L24+'26'!L8+'30'!L19</f>
        <v>235.05027000000041</v>
      </c>
      <c r="C84" s="70" t="s">
        <v>635</v>
      </c>
    </row>
    <row r="85" spans="1:3" x14ac:dyDescent="0.25">
      <c r="A85" s="22" t="s">
        <v>205</v>
      </c>
      <c r="B85" s="51">
        <f>'5'!L38</f>
        <v>-0.15830500000015491</v>
      </c>
      <c r="C85" s="70">
        <v>5</v>
      </c>
    </row>
    <row r="86" spans="1:3" x14ac:dyDescent="0.25">
      <c r="A86" s="22" t="s">
        <v>772</v>
      </c>
      <c r="B86" s="51">
        <f>'36'!L21+'38'!L36</f>
        <v>-1792.5252000000003</v>
      </c>
      <c r="C86" s="70" t="s">
        <v>824</v>
      </c>
    </row>
    <row r="87" spans="1:3" ht="30" x14ac:dyDescent="0.25">
      <c r="A87" s="23" t="s">
        <v>333</v>
      </c>
      <c r="B87" s="51">
        <f>'12'!L6+'13'!L6+'14'!L17+'17'!L21+'18'!L13+'21'!L24+'22'!L22+'23'!L27+'27'!L8+'29'!L10+'30'!L27+'31'!L17+'32'!L31+'34'!L20+'38'!L24</f>
        <v>-2507.5486526666664</v>
      </c>
      <c r="C87" s="70" t="s">
        <v>821</v>
      </c>
    </row>
    <row r="88" spans="1:3" x14ac:dyDescent="0.25">
      <c r="A88" s="23" t="s">
        <v>718</v>
      </c>
      <c r="B88" s="51">
        <f>'34'!L10</f>
        <v>-0.37227999999993244</v>
      </c>
      <c r="C88" s="70">
        <v>34</v>
      </c>
    </row>
    <row r="89" spans="1:3" x14ac:dyDescent="0.25">
      <c r="A89" s="22" t="s">
        <v>469</v>
      </c>
      <c r="B89" s="51">
        <f>'20'!L15</f>
        <v>-0.17499999999995453</v>
      </c>
      <c r="C89" s="70">
        <v>20</v>
      </c>
    </row>
    <row r="90" spans="1:3" x14ac:dyDescent="0.25">
      <c r="A90" s="22" t="s">
        <v>29</v>
      </c>
      <c r="B90" s="51">
        <f>'2итог'!L61+'3'!L47+'4'!L70+'5'!L10+'7'!L25+'8'!L16+'9'!L45+'11'!L11+'20'!L9</f>
        <v>-0.18192700000054174</v>
      </c>
      <c r="C90" s="70" t="s">
        <v>471</v>
      </c>
    </row>
    <row r="91" spans="1:3" x14ac:dyDescent="0.25">
      <c r="A91" s="23" t="s">
        <v>526</v>
      </c>
      <c r="B91" s="51">
        <f>'23'!L41</f>
        <v>5.7899999999904139E-2</v>
      </c>
      <c r="C91" s="70">
        <v>23</v>
      </c>
    </row>
    <row r="92" spans="1:3" x14ac:dyDescent="0.25">
      <c r="A92" s="23" t="s">
        <v>670</v>
      </c>
      <c r="B92" s="51">
        <f>'32'!L16</f>
        <v>134.9849999999999</v>
      </c>
      <c r="C92" s="70">
        <v>32</v>
      </c>
    </row>
    <row r="93" spans="1:3" x14ac:dyDescent="0.25">
      <c r="A93" s="23" t="s">
        <v>766</v>
      </c>
      <c r="B93" s="51">
        <f>'36'!L12</f>
        <v>-1.0000000000331966E-3</v>
      </c>
      <c r="C93" s="70">
        <v>36</v>
      </c>
    </row>
    <row r="94" spans="1:3" x14ac:dyDescent="0.25">
      <c r="A94" s="22" t="s">
        <v>22</v>
      </c>
      <c r="B94" s="51">
        <f>'2итог'!L26+'14'!L37+'30'!L13</f>
        <v>61.113100000000173</v>
      </c>
      <c r="C94" s="70" t="s">
        <v>634</v>
      </c>
    </row>
    <row r="95" spans="1:3" x14ac:dyDescent="0.25">
      <c r="A95" s="166" t="s">
        <v>689</v>
      </c>
      <c r="B95" s="129">
        <f>'33'!L8+'36'!L16+'38'!L28</f>
        <v>-2803.1743999999999</v>
      </c>
      <c r="C95" s="130" t="s">
        <v>822</v>
      </c>
    </row>
    <row r="96" spans="1:3" x14ac:dyDescent="0.25">
      <c r="A96" s="166" t="s">
        <v>777</v>
      </c>
      <c r="B96" s="129">
        <f>'37'!L6</f>
        <v>-15.708799999999997</v>
      </c>
      <c r="C96" s="130">
        <v>37</v>
      </c>
    </row>
    <row r="97" spans="1:5" x14ac:dyDescent="0.25">
      <c r="A97" s="166" t="s">
        <v>145</v>
      </c>
      <c r="B97" s="129">
        <f>'4'!L100</f>
        <v>7.1284999999999741</v>
      </c>
      <c r="C97" s="130">
        <v>4</v>
      </c>
    </row>
    <row r="98" spans="1:5" ht="15.75" thickBot="1" x14ac:dyDescent="0.3">
      <c r="A98" s="167" t="s">
        <v>463</v>
      </c>
      <c r="B98" s="112">
        <f>'20'!L6+'21'!L22</f>
        <v>0.45680000000004384</v>
      </c>
      <c r="C98" s="113" t="s">
        <v>490</v>
      </c>
      <c r="D98" s="114"/>
      <c r="E98" s="114"/>
    </row>
    <row r="99" spans="1:5" x14ac:dyDescent="0.25">
      <c r="A99" s="168" t="s">
        <v>346</v>
      </c>
      <c r="B99" s="110">
        <f>'12'!L36+'17'!L14+'18'!L7+'25'!L14+'26'!L11+'28'!L8</f>
        <v>9.8051999999938744E-2</v>
      </c>
      <c r="C99" s="111" t="s">
        <v>585</v>
      </c>
    </row>
    <row r="100" spans="1:5" x14ac:dyDescent="0.25">
      <c r="A100" s="22" t="s">
        <v>317</v>
      </c>
      <c r="B100" s="51">
        <f>'10'!L12</f>
        <v>-0.33226666666632809</v>
      </c>
      <c r="C100" s="70">
        <v>10</v>
      </c>
    </row>
    <row r="101" spans="1:5" x14ac:dyDescent="0.25">
      <c r="A101" s="22" t="s">
        <v>375</v>
      </c>
      <c r="B101" s="51">
        <f>'3'!L98+'7'!L12+'14'!L39+'35'!L8</f>
        <v>-3.236686666666742</v>
      </c>
      <c r="C101" s="70" t="s">
        <v>754</v>
      </c>
    </row>
    <row r="102" spans="1:5" x14ac:dyDescent="0.25">
      <c r="A102" s="22" t="s">
        <v>736</v>
      </c>
      <c r="B102" s="51">
        <f>'35'!L14</f>
        <v>-0.38751000000002023</v>
      </c>
      <c r="C102" s="70">
        <v>35</v>
      </c>
    </row>
    <row r="103" spans="1:5" x14ac:dyDescent="0.25">
      <c r="A103" s="22" t="s">
        <v>552</v>
      </c>
      <c r="B103" s="51">
        <f>'26'!L6+'30'!L23+'32'!L20+'35'!L6</f>
        <v>-2.8495100000000093</v>
      </c>
      <c r="C103" s="70" t="s">
        <v>753</v>
      </c>
    </row>
    <row r="104" spans="1:5" x14ac:dyDescent="0.25">
      <c r="A104" s="22" t="s">
        <v>415</v>
      </c>
      <c r="B104" s="51">
        <f>'15'!L16+'25'!L6</f>
        <v>-0.16707999999994172</v>
      </c>
      <c r="C104" s="70" t="s">
        <v>550</v>
      </c>
    </row>
    <row r="105" spans="1:5" x14ac:dyDescent="0.25">
      <c r="A105" s="22" t="s">
        <v>617</v>
      </c>
      <c r="B105" s="51">
        <f>'30'!L30</f>
        <v>-0.12299999999999045</v>
      </c>
      <c r="C105" s="70">
        <v>30</v>
      </c>
    </row>
    <row r="106" spans="1:5" x14ac:dyDescent="0.25">
      <c r="A106" s="22" t="s">
        <v>386</v>
      </c>
      <c r="B106" s="51">
        <f>'14'!L26</f>
        <v>0.30554000000006454</v>
      </c>
      <c r="C106" s="70">
        <v>14</v>
      </c>
    </row>
    <row r="107" spans="1:5" x14ac:dyDescent="0.25">
      <c r="A107" s="22" t="s">
        <v>790</v>
      </c>
      <c r="B107" s="51">
        <f>'38'!L6</f>
        <v>-315.20533333333333</v>
      </c>
      <c r="C107" s="70">
        <v>38</v>
      </c>
    </row>
    <row r="108" spans="1:5" x14ac:dyDescent="0.25">
      <c r="A108" s="23" t="s">
        <v>519</v>
      </c>
      <c r="B108" s="51">
        <f>'23'!L29</f>
        <v>-0.1440000000000623</v>
      </c>
      <c r="C108" s="70">
        <v>23</v>
      </c>
    </row>
    <row r="109" spans="1:5" x14ac:dyDescent="0.25">
      <c r="A109" s="22" t="s">
        <v>497</v>
      </c>
      <c r="B109" s="51">
        <f>'22'!L14+'29'!L6</f>
        <v>-4.7300000000063847E-2</v>
      </c>
      <c r="C109" s="70" t="s">
        <v>595</v>
      </c>
    </row>
    <row r="110" spans="1:5" x14ac:dyDescent="0.25">
      <c r="A110" s="22" t="s">
        <v>401</v>
      </c>
      <c r="B110" s="51">
        <f>'7'!L18</f>
        <v>-1.4548666666666747</v>
      </c>
      <c r="C110" s="70">
        <v>7</v>
      </c>
    </row>
    <row r="111" spans="1:5" x14ac:dyDescent="0.25">
      <c r="A111" s="22" t="s">
        <v>119</v>
      </c>
      <c r="B111" s="51">
        <f>'3'!L86</f>
        <v>0.19479999999995812</v>
      </c>
      <c r="C111" s="70">
        <v>3</v>
      </c>
    </row>
    <row r="112" spans="1:5" x14ac:dyDescent="0.25">
      <c r="A112" s="22" t="s">
        <v>296</v>
      </c>
      <c r="B112" s="51">
        <f>'9'!L30</f>
        <v>-464.01600000000002</v>
      </c>
      <c r="C112" s="70">
        <v>9</v>
      </c>
    </row>
    <row r="113" spans="1:3" x14ac:dyDescent="0.25">
      <c r="A113" s="23" t="s">
        <v>366</v>
      </c>
      <c r="B113" s="51">
        <f>'13'!L26+'21'!L30+'23'!L47+'24'!L6+'26'!L13</f>
        <v>0.21915000000001328</v>
      </c>
      <c r="C113" s="70" t="s">
        <v>555</v>
      </c>
    </row>
    <row r="114" spans="1:3" ht="30" x14ac:dyDescent="0.25">
      <c r="A114" s="23" t="s">
        <v>384</v>
      </c>
      <c r="B114" s="51">
        <f>'14'!L22+'15'!L24+'19'!L6+'22'!L18+'23'!L20+'24'!L12+'25'!L18+'28'!L17+'30'!L16+'32'!L22+'33'!L6+'34'!L16+'36'!L8</f>
        <v>-39.235795000000252</v>
      </c>
      <c r="C114" s="70" t="s">
        <v>775</v>
      </c>
    </row>
    <row r="115" spans="1:3" x14ac:dyDescent="0.25">
      <c r="A115" s="23" t="s">
        <v>131</v>
      </c>
      <c r="B115" s="51">
        <f>'3'!L80+'4'!L91+'9'!L32+'12'!L20+'13'!L10+'14'!L43+'23'!L22</f>
        <v>-0.45483333333339715</v>
      </c>
      <c r="C115" s="70" t="s">
        <v>532</v>
      </c>
    </row>
    <row r="116" spans="1:3" x14ac:dyDescent="0.25">
      <c r="A116" s="22" t="s">
        <v>177</v>
      </c>
      <c r="B116" s="51">
        <f>'4'!L27+'5'!L55</f>
        <v>-6.702649999999835</v>
      </c>
      <c r="C116" s="70" t="s">
        <v>213</v>
      </c>
    </row>
    <row r="117" spans="1:3" x14ac:dyDescent="0.25">
      <c r="A117" s="22" t="s">
        <v>261</v>
      </c>
      <c r="B117" s="51">
        <f>'7'!L33+'9'!L42+'22'!L26</f>
        <v>-1.8000000002302841E-3</v>
      </c>
      <c r="C117" s="70" t="s">
        <v>508</v>
      </c>
    </row>
    <row r="118" spans="1:3" x14ac:dyDescent="0.25">
      <c r="A118" s="22" t="s">
        <v>313</v>
      </c>
      <c r="B118" s="51">
        <f>'9'!L26</f>
        <v>30.248000000000047</v>
      </c>
      <c r="C118" s="70">
        <v>9</v>
      </c>
    </row>
    <row r="119" spans="1:3" x14ac:dyDescent="0.25">
      <c r="A119" s="22" t="s">
        <v>26</v>
      </c>
      <c r="B119" s="51">
        <f>'2итог'!L42+'4'!L20+'5'!L24+'14'!L33</f>
        <v>1.8727999999999554</v>
      </c>
      <c r="C119" s="70" t="s">
        <v>402</v>
      </c>
    </row>
    <row r="120" spans="1:3" x14ac:dyDescent="0.25">
      <c r="A120" s="22" t="s">
        <v>621</v>
      </c>
      <c r="B120" s="51">
        <f>'30'!L34</f>
        <v>7.6499999999999773</v>
      </c>
      <c r="C120" s="70">
        <v>30</v>
      </c>
    </row>
    <row r="121" spans="1:3" x14ac:dyDescent="0.25">
      <c r="A121" s="23" t="s">
        <v>522</v>
      </c>
      <c r="B121" s="51">
        <f>'23'!L33</f>
        <v>5.7899999999904139E-2</v>
      </c>
      <c r="C121" s="70">
        <v>23</v>
      </c>
    </row>
    <row r="122" spans="1:3" x14ac:dyDescent="0.25">
      <c r="A122" s="23" t="s">
        <v>786</v>
      </c>
      <c r="B122" s="51">
        <f>'37'!L10</f>
        <v>-0.2720000000000482</v>
      </c>
      <c r="C122" s="70">
        <v>37</v>
      </c>
    </row>
    <row r="123" spans="1:3" ht="30" x14ac:dyDescent="0.25">
      <c r="A123" s="22" t="s">
        <v>505</v>
      </c>
      <c r="B123" s="51">
        <f>'22'!L28+'25'!L12+'28'!L6+'29'!L8+'32'!L28+'33'!L10+'34'!L27+'35'!L34+'38'!L21</f>
        <v>-4030.882982000001</v>
      </c>
      <c r="C123" s="70" t="s">
        <v>820</v>
      </c>
    </row>
    <row r="124" spans="1:3" x14ac:dyDescent="0.25">
      <c r="A124" s="22" t="s">
        <v>482</v>
      </c>
      <c r="B124" s="51">
        <f>'21'!L18+'31'!L12</f>
        <v>66.089624999999955</v>
      </c>
      <c r="C124" s="70" t="s">
        <v>659</v>
      </c>
    </row>
    <row r="125" spans="1:3" x14ac:dyDescent="0.25">
      <c r="A125" s="22" t="s">
        <v>636</v>
      </c>
      <c r="B125" s="51">
        <f>'30'!L36</f>
        <v>0.14750000000003638</v>
      </c>
      <c r="C125" s="70">
        <v>30</v>
      </c>
    </row>
    <row r="126" spans="1:3" x14ac:dyDescent="0.25">
      <c r="A126" s="22" t="s">
        <v>627</v>
      </c>
      <c r="B126" s="51">
        <f>'30'!L44</f>
        <v>-2.2500000000007958E-2</v>
      </c>
      <c r="C126" s="70">
        <v>30</v>
      </c>
    </row>
    <row r="127" spans="1:3" x14ac:dyDescent="0.25">
      <c r="A127" s="23" t="s">
        <v>461</v>
      </c>
      <c r="B127" s="51">
        <f>'6'!L12+'19'!L13+'23'!L17+'32'!L8+'35'!L40</f>
        <v>-0.73690000000016198</v>
      </c>
      <c r="C127" s="70" t="s">
        <v>756</v>
      </c>
    </row>
    <row r="128" spans="1:3" x14ac:dyDescent="0.25">
      <c r="A128" s="22" t="s">
        <v>269</v>
      </c>
      <c r="B128" s="51">
        <f>'7'!L8</f>
        <v>-5.2999999999883585E-2</v>
      </c>
      <c r="C128" s="70">
        <v>7</v>
      </c>
    </row>
    <row r="129" spans="1:3" x14ac:dyDescent="0.25">
      <c r="A129" s="22" t="s">
        <v>596</v>
      </c>
      <c r="B129" s="51">
        <f>'29'!L14+'30'!L6</f>
        <v>0.3159899999998288</v>
      </c>
      <c r="C129" s="70" t="s">
        <v>633</v>
      </c>
    </row>
    <row r="130" spans="1:3" x14ac:dyDescent="0.25">
      <c r="A130" s="22" t="s">
        <v>132</v>
      </c>
      <c r="B130" s="51">
        <f>'3'!L74</f>
        <v>0.20140000000000668</v>
      </c>
      <c r="C130" s="70">
        <v>3</v>
      </c>
    </row>
    <row r="131" spans="1:3" ht="30" x14ac:dyDescent="0.25">
      <c r="A131" s="22" t="s">
        <v>432</v>
      </c>
      <c r="B131" s="51">
        <f>'17'!L18+'18'!L31</f>
        <v>2.072428000000059</v>
      </c>
      <c r="C131" s="70" t="s">
        <v>454</v>
      </c>
    </row>
    <row r="132" spans="1:3" x14ac:dyDescent="0.25">
      <c r="A132" s="22" t="s">
        <v>450</v>
      </c>
      <c r="B132" s="51">
        <f>'18'!L25+'21'!L6</f>
        <v>-0.37502500000005057</v>
      </c>
      <c r="C132" s="70" t="s">
        <v>488</v>
      </c>
    </row>
    <row r="133" spans="1:3" x14ac:dyDescent="0.25">
      <c r="A133" s="22" t="s">
        <v>348</v>
      </c>
      <c r="B133" s="51">
        <f>'12'!L41+'14'!L30+'15'!L21+'17'!L8</f>
        <v>1.9577440000000479</v>
      </c>
      <c r="C133" s="70" t="s">
        <v>439</v>
      </c>
    </row>
    <row r="134" spans="1:3" x14ac:dyDescent="0.25">
      <c r="A134" s="22" t="s">
        <v>316</v>
      </c>
      <c r="B134" s="51">
        <f>'10'!L6+'18'!L21</f>
        <v>-0.46703333333331898</v>
      </c>
      <c r="C134" s="70" t="s">
        <v>455</v>
      </c>
    </row>
    <row r="135" spans="1:3" x14ac:dyDescent="0.25">
      <c r="A135" s="22" t="s">
        <v>740</v>
      </c>
      <c r="B135" s="51">
        <f>'35'!L26</f>
        <v>-48.345210000000066</v>
      </c>
      <c r="C135" s="70">
        <v>35</v>
      </c>
    </row>
    <row r="136" spans="1:3" x14ac:dyDescent="0.25">
      <c r="A136" s="22" t="s">
        <v>565</v>
      </c>
      <c r="B136" s="51">
        <f>'27'!L20</f>
        <v>0.47519999999985885</v>
      </c>
      <c r="C136" s="70">
        <v>27</v>
      </c>
    </row>
    <row r="137" spans="1:3" x14ac:dyDescent="0.25">
      <c r="A137" s="22" t="s">
        <v>158</v>
      </c>
      <c r="B137" s="51">
        <f>'4'!L67</f>
        <v>10.197400000000016</v>
      </c>
      <c r="C137" s="70">
        <v>4</v>
      </c>
    </row>
    <row r="138" spans="1:3" x14ac:dyDescent="0.25">
      <c r="A138" s="22" t="s">
        <v>400</v>
      </c>
      <c r="B138" s="51">
        <f>'14'!L6</f>
        <v>-9.7989999999981592E-2</v>
      </c>
      <c r="C138" s="70">
        <v>14</v>
      </c>
    </row>
    <row r="139" spans="1:3" x14ac:dyDescent="0.25">
      <c r="A139" s="22" t="s">
        <v>739</v>
      </c>
      <c r="B139" s="51">
        <f>'35'!L24</f>
        <v>-0.18632000000002336</v>
      </c>
      <c r="C139" s="70">
        <v>35</v>
      </c>
    </row>
    <row r="140" spans="1:3" x14ac:dyDescent="0.25">
      <c r="A140" s="22" t="s">
        <v>446</v>
      </c>
      <c r="B140" s="51">
        <f>'18'!L29</f>
        <v>0.23699999999996635</v>
      </c>
      <c r="C140" s="70">
        <v>18</v>
      </c>
    </row>
    <row r="141" spans="1:3" x14ac:dyDescent="0.25">
      <c r="A141" s="22" t="s">
        <v>37</v>
      </c>
      <c r="B141" s="51">
        <f>'2итог'!L74</f>
        <v>3.6608099999999695</v>
      </c>
      <c r="C141" s="70">
        <v>2</v>
      </c>
    </row>
    <row r="142" spans="1:3" ht="30" x14ac:dyDescent="0.25">
      <c r="A142" s="22" t="s">
        <v>672</v>
      </c>
      <c r="B142" s="51">
        <f>'32'!L18</f>
        <v>73.960000000000036</v>
      </c>
      <c r="C142" s="70">
        <v>32</v>
      </c>
    </row>
    <row r="143" spans="1:3" x14ac:dyDescent="0.25">
      <c r="A143" s="216" t="s">
        <v>798</v>
      </c>
      <c r="B143" s="51">
        <f>'38'!L16</f>
        <v>-676.38666666666677</v>
      </c>
      <c r="C143" s="70">
        <v>38</v>
      </c>
    </row>
    <row r="144" spans="1:3" x14ac:dyDescent="0.25">
      <c r="A144" s="22" t="s">
        <v>483</v>
      </c>
      <c r="B144" s="51">
        <f>'21'!L20</f>
        <v>-0.15755000000001473</v>
      </c>
      <c r="C144" s="70">
        <v>21</v>
      </c>
    </row>
    <row r="145" spans="1:3" ht="30" x14ac:dyDescent="0.25">
      <c r="A145" s="22" t="s">
        <v>593</v>
      </c>
      <c r="B145" s="51">
        <f>'29'!L12</f>
        <v>-0.14359999999999218</v>
      </c>
      <c r="C145" s="70">
        <v>29</v>
      </c>
    </row>
    <row r="146" spans="1:3" x14ac:dyDescent="0.25">
      <c r="A146" s="22" t="s">
        <v>252</v>
      </c>
      <c r="B146" s="51">
        <f>'7'!L22</f>
        <v>0.30279999999993379</v>
      </c>
      <c r="C146" s="70">
        <v>7</v>
      </c>
    </row>
    <row r="147" spans="1:3" x14ac:dyDescent="0.25">
      <c r="A147" s="22" t="s">
        <v>175</v>
      </c>
      <c r="B147" s="51">
        <f>'4'!L31+'5'!L22+'6'!L10+'14'!L35+'22'!L24</f>
        <v>0.44892400000003363</v>
      </c>
      <c r="C147" s="70" t="s">
        <v>507</v>
      </c>
    </row>
    <row r="148" spans="1:3" x14ac:dyDescent="0.25">
      <c r="A148" s="22" t="s">
        <v>458</v>
      </c>
      <c r="B148" s="51">
        <f>'19'!L9</f>
        <v>0.20499999999992724</v>
      </c>
      <c r="C148" s="70">
        <v>19</v>
      </c>
    </row>
    <row r="149" spans="1:3" x14ac:dyDescent="0.25">
      <c r="A149" s="22" t="s">
        <v>650</v>
      </c>
      <c r="B149" s="51">
        <f>'31'!L25</f>
        <v>-0.40159999999991669</v>
      </c>
      <c r="C149" s="70">
        <v>31</v>
      </c>
    </row>
    <row r="150" spans="1:3" x14ac:dyDescent="0.25">
      <c r="A150" s="22" t="s">
        <v>716</v>
      </c>
      <c r="B150" s="51">
        <f>'34'!L8+'38'!L12</f>
        <v>-366.78645111111109</v>
      </c>
      <c r="C150" s="70" t="s">
        <v>817</v>
      </c>
    </row>
    <row r="151" spans="1:3" x14ac:dyDescent="0.25">
      <c r="A151" s="22" t="s">
        <v>792</v>
      </c>
      <c r="B151" s="51">
        <f>'38'!L8</f>
        <v>-315.20533333333333</v>
      </c>
      <c r="C151" s="70">
        <v>38</v>
      </c>
    </row>
    <row r="152" spans="1:3" x14ac:dyDescent="0.25">
      <c r="A152" s="22" t="s">
        <v>27</v>
      </c>
      <c r="B152" s="51">
        <f>'2итог'!L51+'3'!L18+'3'!L15+'4'!L65</f>
        <v>14.655219999999872</v>
      </c>
      <c r="C152" s="70" t="s">
        <v>185</v>
      </c>
    </row>
    <row r="153" spans="1:3" x14ac:dyDescent="0.25">
      <c r="A153" s="22" t="s">
        <v>737</v>
      </c>
      <c r="B153" s="51">
        <f>'35'!L18</f>
        <v>0.22497999999995955</v>
      </c>
      <c r="C153" s="70">
        <v>35</v>
      </c>
    </row>
    <row r="154" spans="1:3" x14ac:dyDescent="0.25">
      <c r="A154" s="22" t="s">
        <v>36</v>
      </c>
      <c r="B154" s="51">
        <f>'2итог'!L72+'3'!L78</f>
        <v>6.7244199999999523</v>
      </c>
      <c r="C154" s="70" t="s">
        <v>186</v>
      </c>
    </row>
    <row r="155" spans="1:3" x14ac:dyDescent="0.25">
      <c r="A155" s="22" t="s">
        <v>104</v>
      </c>
      <c r="B155" s="51">
        <f>'3'!L41+'4'!L77+'5'!L14+'8'!L19+'9'!L8+'15'!L18+'22'!L20</f>
        <v>0.72930000000025075</v>
      </c>
      <c r="C155" s="70" t="s">
        <v>506</v>
      </c>
    </row>
    <row r="156" spans="1:3" x14ac:dyDescent="0.25">
      <c r="A156" s="22" t="s">
        <v>146</v>
      </c>
      <c r="B156" s="51">
        <f>'4'!L97</f>
        <v>0.31649999999990541</v>
      </c>
      <c r="C156" s="70">
        <v>4</v>
      </c>
    </row>
    <row r="157" spans="1:3" x14ac:dyDescent="0.25">
      <c r="A157" s="22" t="s">
        <v>387</v>
      </c>
      <c r="B157" s="51">
        <f>'14'!L12</f>
        <v>0.47583400000030451</v>
      </c>
      <c r="C157" s="70">
        <v>14</v>
      </c>
    </row>
    <row r="158" spans="1:3" x14ac:dyDescent="0.25">
      <c r="A158" s="22" t="s">
        <v>23</v>
      </c>
      <c r="B158" s="51">
        <f>'2итог'!L30+'3'!L94+'4'!L10+'21'!L28</f>
        <v>0.4197199999998702</v>
      </c>
      <c r="C158" s="70" t="s">
        <v>491</v>
      </c>
    </row>
    <row r="159" spans="1:3" x14ac:dyDescent="0.25">
      <c r="A159" s="22" t="s">
        <v>764</v>
      </c>
      <c r="B159" s="51">
        <f>'36'!L10</f>
        <v>1106.568</v>
      </c>
      <c r="C159" s="70">
        <v>36</v>
      </c>
    </row>
    <row r="160" spans="1:3" x14ac:dyDescent="0.25">
      <c r="A160" s="22" t="s">
        <v>196</v>
      </c>
      <c r="B160" s="51">
        <f>'5'!L16+'6'!L16+'14'!L41</f>
        <v>6.114840000000072</v>
      </c>
      <c r="C160" s="70" t="s">
        <v>404</v>
      </c>
    </row>
    <row r="161" spans="1:3" x14ac:dyDescent="0.25">
      <c r="A161" s="22" t="s">
        <v>669</v>
      </c>
      <c r="B161" s="51">
        <f>'32'!L14</f>
        <v>2.6883333333333326</v>
      </c>
      <c r="C161" s="70">
        <v>32</v>
      </c>
    </row>
    <row r="162" spans="1:3" x14ac:dyDescent="0.25">
      <c r="A162" s="22" t="s">
        <v>702</v>
      </c>
      <c r="B162" s="51">
        <f>'33'!L26</f>
        <v>-12.987500000000182</v>
      </c>
      <c r="C162" s="70">
        <v>33</v>
      </c>
    </row>
    <row r="163" spans="1:3" x14ac:dyDescent="0.25">
      <c r="A163" s="22" t="s">
        <v>741</v>
      </c>
      <c r="B163" s="51">
        <f>'35'!L28+'36'!L6</f>
        <v>27.733160000000225</v>
      </c>
      <c r="C163" s="70" t="s">
        <v>774</v>
      </c>
    </row>
    <row r="164" spans="1:3" x14ac:dyDescent="0.25">
      <c r="A164" s="22" t="s">
        <v>298</v>
      </c>
      <c r="B164" s="51">
        <f>'9'!L6</f>
        <v>0.37600000000000477</v>
      </c>
      <c r="C164" s="70">
        <v>9</v>
      </c>
    </row>
    <row r="165" spans="1:3" x14ac:dyDescent="0.25">
      <c r="A165" s="22" t="s">
        <v>180</v>
      </c>
      <c r="B165" s="51">
        <f>'4'!L18</f>
        <v>4.1119999999999948</v>
      </c>
      <c r="C165" s="70">
        <v>4</v>
      </c>
    </row>
    <row r="166" spans="1:3" x14ac:dyDescent="0.25">
      <c r="A166" s="22" t="s">
        <v>559</v>
      </c>
      <c r="B166" s="51">
        <f>'27'!L11</f>
        <v>0.17039999999997235</v>
      </c>
      <c r="C166" s="70">
        <v>27</v>
      </c>
    </row>
    <row r="167" spans="1:3" x14ac:dyDescent="0.25">
      <c r="A167" s="22" t="s">
        <v>485</v>
      </c>
      <c r="B167" s="51">
        <f>'21'!L26+'38'!L18</f>
        <v>-1663.1148833333332</v>
      </c>
      <c r="C167" s="70" t="s">
        <v>819</v>
      </c>
    </row>
    <row r="168" spans="1:3" x14ac:dyDescent="0.25">
      <c r="A168" s="22" t="s">
        <v>668</v>
      </c>
      <c r="B168" s="51">
        <f>'32'!L12</f>
        <v>2.6883333333333326</v>
      </c>
      <c r="C168" s="70">
        <v>32</v>
      </c>
    </row>
    <row r="169" spans="1:3" x14ac:dyDescent="0.25">
      <c r="A169" s="22" t="s">
        <v>117</v>
      </c>
      <c r="B169" s="51">
        <f>'3'!L84</f>
        <v>0.38571999999993523</v>
      </c>
      <c r="C169" s="70">
        <v>3</v>
      </c>
    </row>
    <row r="170" spans="1:3" x14ac:dyDescent="0.25">
      <c r="A170" s="23" t="s">
        <v>531</v>
      </c>
      <c r="B170" s="51">
        <f>'23'!L51</f>
        <v>0.36810000000002674</v>
      </c>
      <c r="C170" s="70">
        <v>23</v>
      </c>
    </row>
  </sheetData>
  <sortState ref="A2:E123">
    <sortCondition ref="A2:A123"/>
  </sortState>
  <hyperlinks>
    <hyperlink ref="A143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283</v>
      </c>
      <c r="B1" s="4"/>
      <c r="C1" s="15">
        <v>41623</v>
      </c>
      <c r="D1" s="30"/>
    </row>
    <row r="2" spans="1:12" ht="38.25" x14ac:dyDescent="0.35">
      <c r="A2" s="55" t="s">
        <v>240</v>
      </c>
      <c r="B2" s="4"/>
      <c r="C2" s="16">
        <v>6835</v>
      </c>
      <c r="D2" s="30"/>
    </row>
    <row r="3" spans="1:12" ht="21" x14ac:dyDescent="0.35">
      <c r="A3" s="55" t="s">
        <v>241</v>
      </c>
      <c r="B3" s="4"/>
      <c r="C3" s="16">
        <v>3.2000000000000001E-2</v>
      </c>
      <c r="D3" s="30"/>
    </row>
    <row r="5" spans="1:12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298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 t="shared" ref="L6:L30" si="0">K6-J6</f>
        <v>0.37600000000000477</v>
      </c>
    </row>
    <row r="7" spans="1:12" x14ac:dyDescent="0.25">
      <c r="A7" s="58" t="s">
        <v>172</v>
      </c>
      <c r="B7">
        <v>1</v>
      </c>
      <c r="C7">
        <v>3300</v>
      </c>
      <c r="D7" s="4">
        <f t="shared" ref="D7" si="1"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.25" x14ac:dyDescent="0.4">
      <c r="A8" s="1" t="s">
        <v>194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 t="shared" ref="L8" si="2">K8-J8</f>
        <v>0.25599999999997181</v>
      </c>
    </row>
    <row r="9" spans="1:12" x14ac:dyDescent="0.25">
      <c r="A9" s="3" t="s">
        <v>162</v>
      </c>
      <c r="B9" s="4">
        <v>1</v>
      </c>
      <c r="C9" s="4">
        <v>10000</v>
      </c>
      <c r="D9" s="4">
        <f t="shared" ref="D9" si="3"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.25" x14ac:dyDescent="0.4">
      <c r="A10" s="1" t="s">
        <v>304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 t="shared" ref="L10" si="4">K10-J10</f>
        <v>-1.2240000000001601</v>
      </c>
    </row>
    <row r="11" spans="1:12" x14ac:dyDescent="0.25">
      <c r="A11" s="3" t="s">
        <v>305</v>
      </c>
      <c r="B11" s="21">
        <v>1</v>
      </c>
      <c r="C11" s="21">
        <v>19900</v>
      </c>
      <c r="D11" s="4">
        <f t="shared" ref="D11" si="5">B11*C11</f>
        <v>19900</v>
      </c>
      <c r="E11" s="4">
        <f>D11*0.05</f>
        <v>995</v>
      </c>
      <c r="F11" s="21">
        <v>0</v>
      </c>
      <c r="G11" s="21">
        <v>0.3</v>
      </c>
      <c r="H11" s="4">
        <f>G11</f>
        <v>0.3</v>
      </c>
      <c r="I11" s="4">
        <f>H11*$C$2</f>
        <v>2050.5</v>
      </c>
      <c r="J11" s="51">
        <f>(D11+E11+F11+I11)*$C$3</f>
        <v>734.25599999999997</v>
      </c>
      <c r="K11" s="6"/>
      <c r="L11" s="17"/>
    </row>
    <row r="12" spans="1:12" ht="30" x14ac:dyDescent="0.25">
      <c r="A12" s="3" t="s">
        <v>306</v>
      </c>
      <c r="B12" s="21">
        <v>1</v>
      </c>
      <c r="C12" s="21">
        <v>17400</v>
      </c>
      <c r="D12" s="4">
        <f t="shared" ref="D12:D15" si="6">B12*C12</f>
        <v>17400</v>
      </c>
      <c r="E12" s="4">
        <f t="shared" ref="E12:E15" si="7">D12*0.05</f>
        <v>870</v>
      </c>
      <c r="F12" s="21">
        <v>2500</v>
      </c>
      <c r="G12" s="21">
        <v>0.3</v>
      </c>
      <c r="H12" s="4">
        <f t="shared" ref="H12:H15" si="8">G12</f>
        <v>0.3</v>
      </c>
      <c r="I12" s="4">
        <f t="shared" ref="I12:I15" si="9">H12*$C$2</f>
        <v>2050.5</v>
      </c>
      <c r="J12" s="51">
        <f t="shared" ref="J12:J15" si="10">(D12+E12+F12+I12)*$C$3</f>
        <v>730.25599999999997</v>
      </c>
      <c r="K12" s="6"/>
      <c r="L12" s="17"/>
    </row>
    <row r="13" spans="1:12" ht="30" x14ac:dyDescent="0.25">
      <c r="A13" s="3" t="s">
        <v>307</v>
      </c>
      <c r="B13" s="21">
        <v>1</v>
      </c>
      <c r="C13" s="21">
        <v>17400</v>
      </c>
      <c r="D13" s="4">
        <f t="shared" si="6"/>
        <v>17400</v>
      </c>
      <c r="E13" s="4">
        <f t="shared" si="7"/>
        <v>870</v>
      </c>
      <c r="F13" s="21">
        <v>2500</v>
      </c>
      <c r="G13" s="21">
        <v>0.3</v>
      </c>
      <c r="H13" s="4">
        <f t="shared" si="8"/>
        <v>0.3</v>
      </c>
      <c r="I13" s="4">
        <f t="shared" si="9"/>
        <v>2050.5</v>
      </c>
      <c r="J13" s="51">
        <f t="shared" si="10"/>
        <v>730.25599999999997</v>
      </c>
      <c r="K13" s="6"/>
      <c r="L13" s="17"/>
    </row>
    <row r="14" spans="1:12" x14ac:dyDescent="0.25">
      <c r="A14" s="3" t="s">
        <v>308</v>
      </c>
      <c r="B14" s="21">
        <v>1</v>
      </c>
      <c r="C14" s="21">
        <v>36900</v>
      </c>
      <c r="D14" s="4">
        <f t="shared" si="6"/>
        <v>36900</v>
      </c>
      <c r="E14" s="4">
        <f t="shared" si="7"/>
        <v>1845</v>
      </c>
      <c r="F14" s="21">
        <v>0</v>
      </c>
      <c r="G14" s="21">
        <v>0.3</v>
      </c>
      <c r="H14" s="4">
        <f t="shared" si="8"/>
        <v>0.3</v>
      </c>
      <c r="I14" s="4">
        <f t="shared" si="9"/>
        <v>2050.5</v>
      </c>
      <c r="J14" s="51">
        <f t="shared" si="10"/>
        <v>1305.4560000000001</v>
      </c>
      <c r="K14" s="6"/>
      <c r="L14" s="17"/>
    </row>
    <row r="15" spans="1:12" x14ac:dyDescent="0.25">
      <c r="A15" s="3" t="s">
        <v>309</v>
      </c>
      <c r="B15" s="21">
        <v>1</v>
      </c>
      <c r="C15" s="21">
        <v>46900</v>
      </c>
      <c r="D15" s="4">
        <f t="shared" si="6"/>
        <v>46900</v>
      </c>
      <c r="E15" s="4">
        <f t="shared" si="7"/>
        <v>2345</v>
      </c>
      <c r="F15" s="21">
        <v>0</v>
      </c>
      <c r="G15" s="21">
        <v>0.3</v>
      </c>
      <c r="H15" s="4">
        <f t="shared" si="8"/>
        <v>0.3</v>
      </c>
      <c r="I15" s="4">
        <f t="shared" si="9"/>
        <v>2050.5</v>
      </c>
      <c r="J15" s="51">
        <f t="shared" si="10"/>
        <v>1641.4560000000001</v>
      </c>
      <c r="K15" s="6"/>
      <c r="L15" s="17"/>
    </row>
    <row r="16" spans="1:12" ht="30" x14ac:dyDescent="0.25">
      <c r="A16" s="3" t="s">
        <v>310</v>
      </c>
      <c r="B16" s="21">
        <v>1</v>
      </c>
      <c r="C16" s="21">
        <v>11400</v>
      </c>
      <c r="D16" s="4">
        <f t="shared" ref="D16" si="11">B16*C16</f>
        <v>11400</v>
      </c>
      <c r="E16" s="4">
        <f>D16*0.05</f>
        <v>570</v>
      </c>
      <c r="F16" s="21">
        <v>0</v>
      </c>
      <c r="G16" s="18">
        <f>3.9/2</f>
        <v>1.95</v>
      </c>
      <c r="H16" s="4">
        <f>G16</f>
        <v>1.95</v>
      </c>
      <c r="I16" s="4">
        <f>H16*$C$2</f>
        <v>13328.25</v>
      </c>
      <c r="J16" s="51">
        <f>(D16+E16+F16+I16)*$C$3</f>
        <v>809.54399999999998</v>
      </c>
      <c r="K16" s="6"/>
      <c r="L16" s="17"/>
    </row>
    <row r="17" spans="1:13" ht="26.25" x14ac:dyDescent="0.4">
      <c r="A17" s="1" t="s">
        <v>299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 t="shared" ref="L17" si="12">K17-J17</f>
        <v>13.255999999999858</v>
      </c>
    </row>
    <row r="18" spans="1:13" x14ac:dyDescent="0.25">
      <c r="A18" s="3" t="s">
        <v>300</v>
      </c>
      <c r="B18" s="4">
        <v>1</v>
      </c>
      <c r="C18" s="4">
        <v>9900</v>
      </c>
      <c r="D18" s="4">
        <f t="shared" ref="D18:D22" si="13"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25">
      <c r="A19" s="3" t="s">
        <v>301</v>
      </c>
      <c r="B19" s="4">
        <v>1</v>
      </c>
      <c r="C19" s="4">
        <v>8900</v>
      </c>
      <c r="D19" s="4">
        <f t="shared" si="13"/>
        <v>8900</v>
      </c>
      <c r="E19" s="4">
        <f t="shared" ref="E19:E21" si="14">D19*0.05</f>
        <v>445</v>
      </c>
      <c r="F19" s="4">
        <v>0</v>
      </c>
      <c r="G19" s="4">
        <v>0.2</v>
      </c>
      <c r="H19" s="4">
        <f t="shared" ref="H19:H21" si="15">G19</f>
        <v>0.2</v>
      </c>
      <c r="I19" s="4">
        <f t="shared" ref="I19:I21" si="16">H19*$C$2</f>
        <v>1367</v>
      </c>
      <c r="J19" s="51">
        <f t="shared" ref="J19:J21" si="17">(D19+E19+F19+I19)*$C$3</f>
        <v>342.78399999999999</v>
      </c>
      <c r="K19" s="6"/>
      <c r="L19" s="17"/>
    </row>
    <row r="20" spans="1:13" x14ac:dyDescent="0.25">
      <c r="A20" s="3" t="s">
        <v>302</v>
      </c>
      <c r="B20" s="4">
        <v>1</v>
      </c>
      <c r="C20" s="4">
        <v>9900</v>
      </c>
      <c r="D20" s="4">
        <f t="shared" si="13"/>
        <v>9900</v>
      </c>
      <c r="E20" s="4">
        <f t="shared" si="14"/>
        <v>495</v>
      </c>
      <c r="F20" s="4">
        <v>0</v>
      </c>
      <c r="G20" s="4">
        <v>0.45</v>
      </c>
      <c r="H20" s="4">
        <f t="shared" si="15"/>
        <v>0.45</v>
      </c>
      <c r="I20" s="4">
        <f t="shared" si="16"/>
        <v>3075.75</v>
      </c>
      <c r="J20" s="51">
        <f t="shared" si="17"/>
        <v>431.06400000000002</v>
      </c>
      <c r="K20" s="6"/>
      <c r="L20" s="17"/>
    </row>
    <row r="21" spans="1:13" x14ac:dyDescent="0.25">
      <c r="A21" s="3" t="s">
        <v>303</v>
      </c>
      <c r="B21" s="4">
        <v>1</v>
      </c>
      <c r="C21" s="4">
        <v>9900</v>
      </c>
      <c r="D21" s="4">
        <f t="shared" si="13"/>
        <v>9900</v>
      </c>
      <c r="E21" s="4">
        <f t="shared" si="14"/>
        <v>495</v>
      </c>
      <c r="F21" s="4">
        <v>2500</v>
      </c>
      <c r="G21" s="4">
        <v>0.2</v>
      </c>
      <c r="H21" s="4">
        <f t="shared" si="15"/>
        <v>0.2</v>
      </c>
      <c r="I21" s="4">
        <f t="shared" si="16"/>
        <v>1367</v>
      </c>
      <c r="J21" s="51">
        <f t="shared" si="17"/>
        <v>456.38400000000001</v>
      </c>
      <c r="K21" s="6"/>
      <c r="L21" s="17"/>
    </row>
    <row r="22" spans="1:13" x14ac:dyDescent="0.25">
      <c r="A22" s="3" t="s">
        <v>293</v>
      </c>
      <c r="B22" s="4">
        <v>1</v>
      </c>
      <c r="C22" s="4">
        <v>9900</v>
      </c>
      <c r="D22" s="4">
        <f t="shared" si="13"/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.25" x14ac:dyDescent="0.4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 t="shared" ref="L23" si="18">K23-J23</f>
        <v>-7.2000000000002728E-2</v>
      </c>
    </row>
    <row r="24" spans="1:13" x14ac:dyDescent="0.25">
      <c r="A24" s="3" t="s">
        <v>311</v>
      </c>
      <c r="B24" s="4">
        <v>1</v>
      </c>
      <c r="C24" s="4">
        <v>6900</v>
      </c>
      <c r="D24" s="4">
        <f t="shared" ref="D24" si="19"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25">
      <c r="A25" s="3" t="s">
        <v>312</v>
      </c>
      <c r="B25" s="4">
        <v>2</v>
      </c>
      <c r="C25" s="4">
        <v>4230</v>
      </c>
      <c r="D25" s="4">
        <f t="shared" ref="D25" si="20"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.25" x14ac:dyDescent="0.4">
      <c r="A26" s="1" t="s">
        <v>313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 t="shared" ref="L26" si="21">K26-J26</f>
        <v>30.248000000000047</v>
      </c>
    </row>
    <row r="27" spans="1:13" x14ac:dyDescent="0.25">
      <c r="A27" s="3" t="s">
        <v>311</v>
      </c>
      <c r="B27" s="4">
        <v>1</v>
      </c>
      <c r="C27" s="4">
        <v>6900</v>
      </c>
      <c r="D27" s="4">
        <f t="shared" ref="D27" si="22"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25">
      <c r="A28" s="3" t="s">
        <v>172</v>
      </c>
      <c r="B28" s="4">
        <v>1</v>
      </c>
      <c r="C28" s="4">
        <v>3300</v>
      </c>
      <c r="D28" s="4">
        <f t="shared" ref="D28" si="23"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30" x14ac:dyDescent="0.25">
      <c r="A29" s="3" t="s">
        <v>314</v>
      </c>
      <c r="B29" s="21">
        <v>1</v>
      </c>
      <c r="C29" s="21">
        <v>11400</v>
      </c>
      <c r="D29" s="4">
        <f t="shared" ref="D29" si="24"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.25" x14ac:dyDescent="0.4">
      <c r="A30" s="1" t="s">
        <v>296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 t="shared" si="0"/>
        <v>-464.01600000000002</v>
      </c>
    </row>
    <row r="31" spans="1:13" x14ac:dyDescent="0.25">
      <c r="A31" s="3" t="s">
        <v>297</v>
      </c>
      <c r="B31" s="4">
        <v>1</v>
      </c>
      <c r="C31" s="4">
        <v>9000</v>
      </c>
      <c r="D31" s="4">
        <f t="shared" ref="D31" si="25">B31*C31</f>
        <v>9000</v>
      </c>
      <c r="E31" s="4">
        <f t="shared" ref="E31" si="26">D31*0.05</f>
        <v>450</v>
      </c>
      <c r="F31" s="4">
        <v>3000</v>
      </c>
      <c r="G31" s="4">
        <v>0.3</v>
      </c>
      <c r="H31" s="4">
        <f>G31*B31</f>
        <v>0.3</v>
      </c>
      <c r="I31" s="4">
        <f t="shared" ref="I31" si="27">H31*$C$2</f>
        <v>2050.5</v>
      </c>
      <c r="J31" s="51">
        <f>(D31+E31+F31+I31)*$C$3</f>
        <v>464.01600000000002</v>
      </c>
      <c r="K31" s="6"/>
      <c r="L31" s="17"/>
    </row>
    <row r="32" spans="1:13" ht="26.25" x14ac:dyDescent="0.4">
      <c r="A32" s="1" t="s">
        <v>295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25">
      <c r="A33" s="3" t="s">
        <v>67</v>
      </c>
      <c r="B33" s="4">
        <v>1</v>
      </c>
      <c r="C33" s="4">
        <f>9900/3</f>
        <v>3300</v>
      </c>
      <c r="D33" s="4">
        <f t="shared" ref="D33" si="28">B33*C33</f>
        <v>3300</v>
      </c>
      <c r="E33" s="4">
        <f t="shared" ref="E33" si="29">D33*0.05</f>
        <v>165</v>
      </c>
      <c r="F33" s="4">
        <f>2500/3</f>
        <v>833.33333333333337</v>
      </c>
      <c r="G33" s="4">
        <f>0.2/3</f>
        <v>6.6666666666666666E-2</v>
      </c>
      <c r="H33" s="4">
        <f t="shared" ref="H33" si="30"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25">
      <c r="A34" s="3" t="s">
        <v>163</v>
      </c>
      <c r="B34" s="4">
        <v>1</v>
      </c>
      <c r="C34" s="4">
        <f>11900/3</f>
        <v>3966.6666666666665</v>
      </c>
      <c r="D34" s="4">
        <f t="shared" ref="D34" si="31">B34*C34</f>
        <v>3966.6666666666665</v>
      </c>
      <c r="E34" s="4">
        <f t="shared" ref="E34" si="32">D34*0.05</f>
        <v>198.33333333333334</v>
      </c>
      <c r="F34" s="4">
        <v>0</v>
      </c>
      <c r="G34" s="4">
        <f>0.74/3</f>
        <v>0.24666666666666667</v>
      </c>
      <c r="H34" s="4">
        <f t="shared" ref="H34" si="33"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.25" x14ac:dyDescent="0.4">
      <c r="A35" s="1" t="s">
        <v>290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25">
      <c r="A36" s="3" t="s">
        <v>291</v>
      </c>
      <c r="B36" s="4">
        <v>1</v>
      </c>
      <c r="C36" s="4">
        <v>11900</v>
      </c>
      <c r="D36" s="4">
        <f t="shared" ref="D36:D38" si="34">B36*C36</f>
        <v>11900</v>
      </c>
      <c r="E36" s="4">
        <f t="shared" ref="E36" si="35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38" si="36">H36*$C$2</f>
        <v>5057.8999999999996</v>
      </c>
      <c r="J36" s="51">
        <f t="shared" ref="J36:J41" si="37">(D36+E36+F36+I36)*$C$3</f>
        <v>561.69280000000003</v>
      </c>
      <c r="K36" s="6"/>
      <c r="L36" s="17"/>
    </row>
    <row r="37" spans="1:12" x14ac:dyDescent="0.25">
      <c r="A37" s="3" t="s">
        <v>292</v>
      </c>
      <c r="B37" s="4">
        <v>1</v>
      </c>
      <c r="C37" s="4">
        <v>12000</v>
      </c>
      <c r="D37" s="4">
        <f t="shared" si="34"/>
        <v>12000</v>
      </c>
      <c r="E37" s="4">
        <f>D37*0.05</f>
        <v>600</v>
      </c>
      <c r="F37" s="4">
        <v>0</v>
      </c>
      <c r="G37" s="4">
        <v>0.2</v>
      </c>
      <c r="H37" s="4">
        <f t="shared" ref="H37:H38" si="38">G37</f>
        <v>0.2</v>
      </c>
      <c r="I37" s="4">
        <f t="shared" si="36"/>
        <v>1367</v>
      </c>
      <c r="J37" s="51">
        <f t="shared" si="37"/>
        <v>446.94400000000002</v>
      </c>
      <c r="K37" s="6"/>
      <c r="L37" s="17"/>
    </row>
    <row r="38" spans="1:12" x14ac:dyDescent="0.25">
      <c r="A38" s="3" t="s">
        <v>67</v>
      </c>
      <c r="B38" s="4">
        <v>1</v>
      </c>
      <c r="C38" s="4">
        <f>9900/3</f>
        <v>3300</v>
      </c>
      <c r="D38" s="4">
        <f t="shared" si="34"/>
        <v>3300</v>
      </c>
      <c r="E38" s="4">
        <f t="shared" ref="E38:E39" si="39">D38*0.05</f>
        <v>165</v>
      </c>
      <c r="F38" s="4">
        <f>2500/3</f>
        <v>833.33333333333337</v>
      </c>
      <c r="G38" s="4">
        <f>0.2/3</f>
        <v>6.6666666666666666E-2</v>
      </c>
      <c r="H38" s="4">
        <f t="shared" si="38"/>
        <v>6.6666666666666666E-2</v>
      </c>
      <c r="I38" s="4">
        <f t="shared" si="36"/>
        <v>455.66666666666669</v>
      </c>
      <c r="J38" s="51">
        <f t="shared" si="37"/>
        <v>152.12800000000001</v>
      </c>
      <c r="K38" s="6"/>
      <c r="L38" s="17"/>
    </row>
    <row r="39" spans="1:12" x14ac:dyDescent="0.25">
      <c r="A39" s="3" t="s">
        <v>293</v>
      </c>
      <c r="B39" s="4">
        <v>1</v>
      </c>
      <c r="C39" s="4">
        <v>9900</v>
      </c>
      <c r="D39" s="4">
        <f t="shared" ref="D39:D41" si="40">B39*C39</f>
        <v>9900</v>
      </c>
      <c r="E39" s="4">
        <f t="shared" si="39"/>
        <v>495</v>
      </c>
      <c r="F39" s="4">
        <v>2500</v>
      </c>
      <c r="G39" s="4">
        <v>0.4</v>
      </c>
      <c r="H39" s="4">
        <f>G39*B39</f>
        <v>0.4</v>
      </c>
      <c r="I39" s="4">
        <f t="shared" ref="I39:I41" si="41">H39*$C$2</f>
        <v>2734</v>
      </c>
      <c r="J39" s="51">
        <f t="shared" si="37"/>
        <v>500.12799999999999</v>
      </c>
      <c r="K39" s="6"/>
      <c r="L39" s="17"/>
    </row>
    <row r="40" spans="1:12" x14ac:dyDescent="0.25">
      <c r="A40" s="3" t="s">
        <v>294</v>
      </c>
      <c r="B40" s="4">
        <v>1</v>
      </c>
      <c r="C40" s="4">
        <v>8900</v>
      </c>
      <c r="D40" s="4">
        <f t="shared" si="40"/>
        <v>8900</v>
      </c>
      <c r="E40" s="4">
        <f>D40*0.05</f>
        <v>445</v>
      </c>
      <c r="F40" s="4">
        <v>0</v>
      </c>
      <c r="G40" s="4">
        <v>0.2</v>
      </c>
      <c r="H40" s="4">
        <f t="shared" ref="H40:H41" si="42">G40</f>
        <v>0.2</v>
      </c>
      <c r="I40" s="4">
        <f t="shared" si="41"/>
        <v>1367</v>
      </c>
      <c r="J40" s="51">
        <f t="shared" si="37"/>
        <v>342.78399999999999</v>
      </c>
      <c r="K40" s="6"/>
      <c r="L40" s="17"/>
    </row>
    <row r="41" spans="1:12" x14ac:dyDescent="0.25">
      <c r="A41" s="3" t="s">
        <v>172</v>
      </c>
      <c r="B41" s="4">
        <v>1</v>
      </c>
      <c r="C41" s="4">
        <v>3300</v>
      </c>
      <c r="D41" s="4">
        <f t="shared" si="40"/>
        <v>3300</v>
      </c>
      <c r="E41" s="4">
        <f t="shared" ref="E41" si="43">D41*0.05</f>
        <v>165</v>
      </c>
      <c r="F41" s="4">
        <v>0</v>
      </c>
      <c r="G41" s="4">
        <v>0.2</v>
      </c>
      <c r="H41" s="4">
        <f t="shared" si="42"/>
        <v>0.2</v>
      </c>
      <c r="I41" s="4">
        <f t="shared" si="41"/>
        <v>1367</v>
      </c>
      <c r="J41" s="51">
        <f t="shared" si="37"/>
        <v>154.624</v>
      </c>
      <c r="K41" s="6"/>
      <c r="L41" s="17"/>
    </row>
    <row r="42" spans="1:12" ht="26.25" x14ac:dyDescent="0.4">
      <c r="A42" s="1" t="s">
        <v>261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25">
      <c r="A43" s="3" t="s">
        <v>288</v>
      </c>
      <c r="B43" s="4">
        <v>3</v>
      </c>
      <c r="C43" s="4">
        <v>3500</v>
      </c>
      <c r="D43" s="4">
        <f t="shared" ref="D43:D44" si="44">B43*C43</f>
        <v>10500</v>
      </c>
      <c r="E43" s="4">
        <f t="shared" ref="E43" si="45"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ht="30" x14ac:dyDescent="0.25">
      <c r="A44" s="3" t="s">
        <v>289</v>
      </c>
      <c r="B44" s="4">
        <v>1</v>
      </c>
      <c r="C44" s="4">
        <v>4600</v>
      </c>
      <c r="D44" s="4">
        <f t="shared" si="44"/>
        <v>4600</v>
      </c>
      <c r="E44" s="4">
        <f>D44*0.05</f>
        <v>230</v>
      </c>
      <c r="F44" s="4">
        <v>2500</v>
      </c>
      <c r="G44" s="4">
        <v>1.53</v>
      </c>
      <c r="H44" s="4">
        <f t="shared" ref="H44" si="46">G44</f>
        <v>1.53</v>
      </c>
      <c r="I44" s="4">
        <f t="shared" ref="I44" si="47">H44*$C$2</f>
        <v>10457.549999999999</v>
      </c>
      <c r="J44" s="51">
        <f>(D44+E44+F44+I44)*$C$3</f>
        <v>569.20159999999998</v>
      </c>
      <c r="K44" s="6"/>
      <c r="L44" s="17"/>
    </row>
    <row r="45" spans="1:12" ht="26.25" x14ac:dyDescent="0.4">
      <c r="A45" s="1" t="s">
        <v>255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25">
      <c r="A46" s="3" t="s">
        <v>284</v>
      </c>
      <c r="B46" s="66">
        <v>2</v>
      </c>
      <c r="C46" s="4">
        <v>3300</v>
      </c>
      <c r="D46" s="4">
        <f t="shared" ref="D46:D49" si="48">B46*C46</f>
        <v>6600</v>
      </c>
      <c r="E46" s="4">
        <f t="shared" ref="E46" si="49">D46*0.05</f>
        <v>330</v>
      </c>
      <c r="F46" s="4">
        <v>2500</v>
      </c>
      <c r="G46" s="4">
        <f>0.3</f>
        <v>0.3</v>
      </c>
      <c r="H46" s="4">
        <f>G46*B46</f>
        <v>0.6</v>
      </c>
      <c r="I46" s="4">
        <f>H46*$C$2</f>
        <v>4101</v>
      </c>
      <c r="J46" s="51">
        <f>(D46+E46+F46+I46)*$C$3</f>
        <v>432.99200000000002</v>
      </c>
      <c r="K46" s="6"/>
      <c r="L46" s="17"/>
    </row>
    <row r="47" spans="1:12" x14ac:dyDescent="0.25">
      <c r="A47" s="3" t="s">
        <v>62</v>
      </c>
      <c r="B47" s="4">
        <v>1</v>
      </c>
      <c r="C47" s="4">
        <v>2800</v>
      </c>
      <c r="D47" s="4">
        <f t="shared" si="48"/>
        <v>2800</v>
      </c>
      <c r="E47" s="4">
        <f>D47*0.05</f>
        <v>140</v>
      </c>
      <c r="F47" s="4">
        <v>2300</v>
      </c>
      <c r="G47" s="4">
        <v>0.2</v>
      </c>
      <c r="H47" s="4">
        <f t="shared" ref="H47:H51" si="50">G47*B47</f>
        <v>0.2</v>
      </c>
      <c r="I47" s="4">
        <f t="shared" ref="I47:I48" si="51">H47*$C$2</f>
        <v>1367</v>
      </c>
      <c r="J47" s="51">
        <f>(D47+E47+F47+I47)*$C$3</f>
        <v>211.42400000000001</v>
      </c>
      <c r="K47" s="6"/>
      <c r="L47" s="17"/>
    </row>
    <row r="48" spans="1:12" x14ac:dyDescent="0.25">
      <c r="A48" s="3" t="s">
        <v>62</v>
      </c>
      <c r="B48" s="4">
        <v>1</v>
      </c>
      <c r="C48" s="4">
        <v>3000</v>
      </c>
      <c r="D48" s="4">
        <f t="shared" si="48"/>
        <v>3000</v>
      </c>
      <c r="E48" s="4">
        <f t="shared" ref="E48:E49" si="52">D48*0.05</f>
        <v>150</v>
      </c>
      <c r="F48" s="4">
        <v>2500</v>
      </c>
      <c r="G48" s="4">
        <v>0.2</v>
      </c>
      <c r="H48" s="4">
        <f t="shared" si="50"/>
        <v>0.2</v>
      </c>
      <c r="I48" s="4">
        <f t="shared" si="51"/>
        <v>1367</v>
      </c>
      <c r="J48" s="51">
        <f>(D48+E48+F48+I48)*$C$3</f>
        <v>224.54400000000001</v>
      </c>
      <c r="K48" s="6"/>
      <c r="L48" s="17"/>
    </row>
    <row r="49" spans="1:12" x14ac:dyDescent="0.25">
      <c r="A49" s="3" t="s">
        <v>244</v>
      </c>
      <c r="B49" s="66">
        <v>2</v>
      </c>
      <c r="C49" s="4">
        <v>3500</v>
      </c>
      <c r="D49" s="4">
        <f t="shared" si="48"/>
        <v>7000</v>
      </c>
      <c r="E49" s="4">
        <f t="shared" si="52"/>
        <v>350</v>
      </c>
      <c r="F49" s="4">
        <v>2500</v>
      </c>
      <c r="G49" s="4">
        <v>0.3</v>
      </c>
      <c r="H49" s="4">
        <f t="shared" si="50"/>
        <v>0.6</v>
      </c>
      <c r="I49" s="4">
        <f>H49*$C$2</f>
        <v>4101</v>
      </c>
      <c r="J49" s="51">
        <f>(D49+E49+F49+I49)*$C$3</f>
        <v>446.43200000000002</v>
      </c>
      <c r="K49" s="6"/>
      <c r="L49" s="17"/>
    </row>
    <row r="50" spans="1:12" x14ac:dyDescent="0.25">
      <c r="A50" s="3" t="s">
        <v>285</v>
      </c>
      <c r="B50" s="4">
        <v>1</v>
      </c>
      <c r="C50" s="4">
        <v>12000</v>
      </c>
      <c r="D50" s="4">
        <f t="shared" ref="D50:D52" si="53">B50*C50</f>
        <v>12000</v>
      </c>
      <c r="E50" s="4">
        <f t="shared" ref="E50:E52" si="54">D50*0.05</f>
        <v>600</v>
      </c>
      <c r="F50" s="4">
        <v>2500</v>
      </c>
      <c r="G50" s="4">
        <v>0.3</v>
      </c>
      <c r="H50" s="4">
        <f t="shared" si="50"/>
        <v>0.3</v>
      </c>
      <c r="I50" s="4">
        <f t="shared" ref="I50:I52" si="55">H50*$C$2</f>
        <v>2050.5</v>
      </c>
      <c r="J50" s="51">
        <f t="shared" ref="J50:J52" si="56">(D50+E50+F50+I50)*$C$3</f>
        <v>548.81600000000003</v>
      </c>
      <c r="K50" s="6"/>
      <c r="L50" s="17"/>
    </row>
    <row r="51" spans="1:12" x14ac:dyDescent="0.25">
      <c r="A51" s="3" t="s">
        <v>286</v>
      </c>
      <c r="B51" s="4">
        <v>1</v>
      </c>
      <c r="C51" s="4">
        <v>3000</v>
      </c>
      <c r="D51" s="4">
        <f t="shared" si="53"/>
        <v>3000</v>
      </c>
      <c r="E51" s="4">
        <f t="shared" si="54"/>
        <v>150</v>
      </c>
      <c r="F51" s="4">
        <v>2500</v>
      </c>
      <c r="G51" s="4">
        <v>0.2</v>
      </c>
      <c r="H51" s="4">
        <f t="shared" si="50"/>
        <v>0.2</v>
      </c>
      <c r="I51" s="4">
        <f t="shared" si="55"/>
        <v>1367</v>
      </c>
      <c r="J51" s="51">
        <f t="shared" si="56"/>
        <v>224.54400000000001</v>
      </c>
      <c r="K51" s="6"/>
      <c r="L51" s="17"/>
    </row>
    <row r="52" spans="1:12" x14ac:dyDescent="0.25">
      <c r="A52" s="3" t="s">
        <v>287</v>
      </c>
      <c r="B52" s="6">
        <v>1</v>
      </c>
      <c r="C52" s="4">
        <v>1500</v>
      </c>
      <c r="D52" s="4">
        <f t="shared" si="53"/>
        <v>1500</v>
      </c>
      <c r="E52" s="4">
        <f t="shared" si="54"/>
        <v>75</v>
      </c>
      <c r="F52" s="4">
        <v>2500</v>
      </c>
      <c r="G52" s="4">
        <v>0.3</v>
      </c>
      <c r="H52" s="4">
        <f t="shared" ref="H52" si="57">G52</f>
        <v>0.3</v>
      </c>
      <c r="I52" s="4">
        <f t="shared" si="55"/>
        <v>2050.5</v>
      </c>
      <c r="J52" s="51">
        <f t="shared" si="56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283</v>
      </c>
      <c r="B1" s="4"/>
      <c r="C1" s="15">
        <v>41626</v>
      </c>
      <c r="D1" s="30"/>
    </row>
    <row r="2" spans="1:12" ht="38.25" x14ac:dyDescent="0.35">
      <c r="A2" s="55" t="s">
        <v>240</v>
      </c>
      <c r="B2" s="4"/>
      <c r="C2" s="16">
        <v>6910</v>
      </c>
      <c r="D2" s="30"/>
    </row>
    <row r="3" spans="1:12" ht="21" x14ac:dyDescent="0.35">
      <c r="A3" s="55" t="s">
        <v>241</v>
      </c>
      <c r="B3" s="4"/>
      <c r="C3" s="16">
        <v>3.2000000000000001E-2</v>
      </c>
      <c r="D3" s="30"/>
    </row>
    <row r="5" spans="1:12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316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 t="shared" ref="L6" si="0">K6-J6</f>
        <v>-0.82293333333333862</v>
      </c>
    </row>
    <row r="7" spans="1:12" x14ac:dyDescent="0.25">
      <c r="A7" s="3" t="s">
        <v>163</v>
      </c>
      <c r="B7" s="4">
        <v>1</v>
      </c>
      <c r="C7" s="4">
        <f>11900/3</f>
        <v>3966.6666666666665</v>
      </c>
      <c r="D7" s="4">
        <f t="shared" ref="D7" si="1"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.25" x14ac:dyDescent="0.4">
      <c r="A8" s="1" t="s">
        <v>324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 t="shared" ref="L8" si="2">K8-J8</f>
        <v>-0.73066666666665014</v>
      </c>
    </row>
    <row r="9" spans="1:12" x14ac:dyDescent="0.25">
      <c r="A9" s="3" t="s">
        <v>325</v>
      </c>
      <c r="B9" s="4">
        <v>1</v>
      </c>
      <c r="C9" s="4">
        <v>6900</v>
      </c>
      <c r="D9" s="4">
        <f t="shared" ref="D9" si="3"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.25" x14ac:dyDescent="0.4">
      <c r="A10" s="1" t="s">
        <v>304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 t="shared" ref="L10" si="4">K10-J10</f>
        <v>0.50666666666660376</v>
      </c>
    </row>
    <row r="11" spans="1:12" x14ac:dyDescent="0.25">
      <c r="A11" s="7" t="s">
        <v>74</v>
      </c>
      <c r="B11" s="5">
        <v>1</v>
      </c>
      <c r="C11" s="5">
        <v>6420</v>
      </c>
      <c r="D11" s="4">
        <f t="shared" ref="D11" si="5"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.25" x14ac:dyDescent="0.4">
      <c r="A12" s="1" t="s">
        <v>317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 t="shared" ref="L12" si="6">K12-J12</f>
        <v>-0.33226666666632809</v>
      </c>
    </row>
    <row r="13" spans="1:12" x14ac:dyDescent="0.25">
      <c r="A13" s="17" t="s">
        <v>318</v>
      </c>
      <c r="B13" s="4">
        <v>2</v>
      </c>
      <c r="C13" s="66">
        <v>19000</v>
      </c>
      <c r="D13" s="4">
        <f t="shared" ref="D13:D16" si="7"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25">
      <c r="A14" s="17" t="s">
        <v>319</v>
      </c>
      <c r="B14" s="4">
        <v>3</v>
      </c>
      <c r="C14" s="4">
        <v>19000</v>
      </c>
      <c r="D14" s="4">
        <f t="shared" si="7"/>
        <v>57000</v>
      </c>
      <c r="E14" s="4">
        <f t="shared" ref="E14:E16" si="8">D14*0.05</f>
        <v>2850</v>
      </c>
      <c r="F14" s="4">
        <v>0</v>
      </c>
      <c r="G14" s="4">
        <v>0.3</v>
      </c>
      <c r="H14" s="4">
        <f t="shared" ref="H14:H16" si="9">G14*B14</f>
        <v>0.89999999999999991</v>
      </c>
      <c r="I14" s="4">
        <f t="shared" ref="I14:I16" si="10">H14*$C$2</f>
        <v>6218.9999999999991</v>
      </c>
      <c r="J14" s="51">
        <f t="shared" ref="J14:J16" si="11">(D14+E14+F14+I14)*$C$3</f>
        <v>2114.2080000000001</v>
      </c>
      <c r="K14" s="6"/>
      <c r="L14" s="17"/>
    </row>
    <row r="15" spans="1:12" x14ac:dyDescent="0.25">
      <c r="A15" s="17" t="s">
        <v>320</v>
      </c>
      <c r="B15" s="4">
        <v>4</v>
      </c>
      <c r="C15" s="4">
        <v>19000</v>
      </c>
      <c r="D15" s="4">
        <f t="shared" si="7"/>
        <v>76000</v>
      </c>
      <c r="E15" s="4">
        <f t="shared" si="8"/>
        <v>3800</v>
      </c>
      <c r="F15" s="4">
        <v>0</v>
      </c>
      <c r="G15" s="4">
        <v>0.2</v>
      </c>
      <c r="H15" s="4">
        <f t="shared" si="9"/>
        <v>0.8</v>
      </c>
      <c r="I15" s="4">
        <f t="shared" si="10"/>
        <v>5528</v>
      </c>
      <c r="J15" s="51">
        <f t="shared" si="11"/>
        <v>2730.4960000000001</v>
      </c>
      <c r="K15" s="6"/>
      <c r="L15" s="17"/>
    </row>
    <row r="16" spans="1:12" x14ac:dyDescent="0.25">
      <c r="A16" s="17" t="s">
        <v>321</v>
      </c>
      <c r="B16" s="5">
        <v>5</v>
      </c>
      <c r="C16" s="5">
        <v>6420</v>
      </c>
      <c r="D16" s="4">
        <f t="shared" si="7"/>
        <v>32100</v>
      </c>
      <c r="E16" s="4">
        <f t="shared" si="8"/>
        <v>1605</v>
      </c>
      <c r="F16" s="5">
        <f>2500/6*5</f>
        <v>2083.3333333333335</v>
      </c>
      <c r="G16" s="5">
        <v>0.4</v>
      </c>
      <c r="H16" s="4">
        <f t="shared" si="9"/>
        <v>2</v>
      </c>
      <c r="I16" s="4">
        <f t="shared" si="10"/>
        <v>13820</v>
      </c>
      <c r="J16" s="51">
        <f t="shared" si="11"/>
        <v>1587.4666666666667</v>
      </c>
      <c r="K16" s="6"/>
      <c r="L16" s="17"/>
    </row>
    <row r="17" spans="1:13" ht="26.25" x14ac:dyDescent="0.4">
      <c r="A17" s="1" t="s">
        <v>299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332</v>
      </c>
    </row>
    <row r="18" spans="1:13" x14ac:dyDescent="0.25">
      <c r="A18" s="4" t="s">
        <v>57</v>
      </c>
      <c r="B18" s="4">
        <v>1</v>
      </c>
      <c r="C18" s="4">
        <v>7900</v>
      </c>
      <c r="D18" s="4">
        <f t="shared" ref="D18:D20" si="12"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25">
      <c r="A19" s="4" t="s">
        <v>326</v>
      </c>
      <c r="B19" s="4">
        <v>1</v>
      </c>
      <c r="C19" s="4">
        <v>11900</v>
      </c>
      <c r="D19" s="4">
        <f t="shared" si="12"/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25">
      <c r="A20" s="4" t="s">
        <v>325</v>
      </c>
      <c r="B20" s="4">
        <v>1</v>
      </c>
      <c r="C20" s="4">
        <v>14700</v>
      </c>
      <c r="D20" s="4">
        <f t="shared" si="12"/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.25" x14ac:dyDescent="0.4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 t="shared" ref="L21" si="13">K21-J21</f>
        <v>-84.954666666666753</v>
      </c>
    </row>
    <row r="22" spans="1:13" x14ac:dyDescent="0.25">
      <c r="A22" s="17" t="s">
        <v>322</v>
      </c>
      <c r="B22" s="4">
        <v>1</v>
      </c>
      <c r="C22" s="4">
        <v>4900</v>
      </c>
      <c r="D22" s="4">
        <f t="shared" ref="D22:D23" si="14"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25">
      <c r="A23" s="17" t="s">
        <v>323</v>
      </c>
      <c r="B23" s="4">
        <v>1</v>
      </c>
      <c r="C23" s="4">
        <v>7000</v>
      </c>
      <c r="D23" s="4">
        <f t="shared" si="14"/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5" x14ac:dyDescent="0.25"/>
  <cols>
    <col min="1" max="1" width="39.140625" customWidth="1"/>
    <col min="3" max="3" width="11.28515625" customWidth="1"/>
    <col min="10" max="10" width="11.85546875" customWidth="1"/>
    <col min="11" max="11" width="12.140625" customWidth="1"/>
    <col min="12" max="12" width="13.28515625" customWidth="1"/>
  </cols>
  <sheetData>
    <row r="1" spans="1:13" ht="21" x14ac:dyDescent="0.35">
      <c r="A1" s="55" t="s">
        <v>283</v>
      </c>
      <c r="B1" s="4"/>
      <c r="C1" s="15">
        <v>41669</v>
      </c>
      <c r="D1" s="30"/>
    </row>
    <row r="2" spans="1:13" ht="21" x14ac:dyDescent="0.35">
      <c r="A2" s="55" t="s">
        <v>240</v>
      </c>
      <c r="B2" s="4"/>
      <c r="C2" s="16">
        <v>7110</v>
      </c>
      <c r="D2" s="30"/>
    </row>
    <row r="3" spans="1:13" ht="21" x14ac:dyDescent="0.35">
      <c r="A3" s="55" t="s">
        <v>241</v>
      </c>
      <c r="B3" s="4"/>
      <c r="C3" s="16">
        <v>3.2500000000000001E-2</v>
      </c>
      <c r="D3" s="30"/>
    </row>
    <row r="5" spans="1:13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" t="s">
        <v>290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359</v>
      </c>
    </row>
    <row r="7" spans="1:13" x14ac:dyDescent="0.25">
      <c r="A7" s="17" t="s">
        <v>331</v>
      </c>
      <c r="B7" s="4">
        <v>1</v>
      </c>
      <c r="C7" s="4">
        <v>9900</v>
      </c>
      <c r="D7" s="4">
        <f t="shared" ref="D7:D10" si="0"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25">
      <c r="A8" s="17" t="s">
        <v>331</v>
      </c>
      <c r="B8" s="4">
        <v>2</v>
      </c>
      <c r="C8" s="4">
        <v>10900</v>
      </c>
      <c r="D8" s="4">
        <f t="shared" si="0"/>
        <v>21800</v>
      </c>
      <c r="E8" s="4">
        <f t="shared" ref="E8:E10" si="1"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25">
      <c r="A9" s="17" t="s">
        <v>331</v>
      </c>
      <c r="B9" s="4">
        <v>1</v>
      </c>
      <c r="C9" s="4">
        <v>9900</v>
      </c>
      <c r="D9" s="4">
        <f t="shared" si="0"/>
        <v>9900</v>
      </c>
      <c r="E9" s="4">
        <f t="shared" si="1"/>
        <v>495</v>
      </c>
      <c r="F9" s="4">
        <v>2500</v>
      </c>
      <c r="G9" s="4">
        <v>0.2</v>
      </c>
      <c r="H9" s="4">
        <f t="shared" ref="H9:H10" si="2"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25">
      <c r="A10" s="17" t="s">
        <v>331</v>
      </c>
      <c r="B10" s="4">
        <v>1</v>
      </c>
      <c r="C10" s="4">
        <v>9900</v>
      </c>
      <c r="D10" s="4">
        <f t="shared" si="0"/>
        <v>9900</v>
      </c>
      <c r="E10" s="4">
        <f t="shared" si="1"/>
        <v>495</v>
      </c>
      <c r="F10" s="4">
        <v>2500</v>
      </c>
      <c r="G10" s="4">
        <v>0.2</v>
      </c>
      <c r="H10" s="4">
        <f t="shared" si="2"/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.25" x14ac:dyDescent="0.4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370</v>
      </c>
    </row>
    <row r="12" spans="1:13" x14ac:dyDescent="0.25">
      <c r="A12" s="4" t="s">
        <v>329</v>
      </c>
      <c r="B12" s="47">
        <v>2</v>
      </c>
      <c r="C12" s="4">
        <v>3000</v>
      </c>
      <c r="D12" s="4">
        <f t="shared" ref="D12:D14" si="3"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25">
      <c r="A13" s="4" t="s">
        <v>57</v>
      </c>
      <c r="B13" s="4">
        <v>1</v>
      </c>
      <c r="C13" s="4">
        <v>2300</v>
      </c>
      <c r="D13" s="4">
        <f t="shared" si="3"/>
        <v>2300</v>
      </c>
      <c r="E13" s="4">
        <f>D13*0.05</f>
        <v>115</v>
      </c>
      <c r="F13" s="4">
        <v>2500</v>
      </c>
      <c r="G13" s="4">
        <v>0.25</v>
      </c>
      <c r="H13" s="4">
        <f t="shared" ref="H13:H14" si="4"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25">
      <c r="A14" s="41" t="s">
        <v>330</v>
      </c>
      <c r="B14" s="4">
        <v>1</v>
      </c>
      <c r="C14" s="4">
        <v>9900</v>
      </c>
      <c r="D14" s="4">
        <f t="shared" si="3"/>
        <v>9900</v>
      </c>
      <c r="E14" s="4">
        <f>D14*0.05</f>
        <v>495</v>
      </c>
      <c r="F14" s="4">
        <v>3000</v>
      </c>
      <c r="G14" s="4">
        <v>0.3</v>
      </c>
      <c r="H14" s="4">
        <f t="shared" si="4"/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.25" x14ac:dyDescent="0.4">
      <c r="A15" s="1" t="s">
        <v>327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 t="shared" ref="L15" si="5">K15-J15</f>
        <v>-26.911399999999958</v>
      </c>
    </row>
    <row r="16" spans="1:13" x14ac:dyDescent="0.25">
      <c r="A16" s="3" t="s">
        <v>328</v>
      </c>
      <c r="B16" s="4">
        <v>1</v>
      </c>
      <c r="C16" s="4">
        <v>8500</v>
      </c>
      <c r="D16" s="4">
        <f t="shared" ref="D16" si="6"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5" x14ac:dyDescent="0.25"/>
  <cols>
    <col min="1" max="1" width="36.42578125" customWidth="1"/>
    <col min="2" max="2" width="18.85546875" customWidth="1"/>
    <col min="3" max="3" width="14.85546875" customWidth="1"/>
    <col min="10" max="10" width="10" customWidth="1"/>
    <col min="11" max="11" width="10.7109375" customWidth="1"/>
    <col min="12" max="12" width="12.28515625" customWidth="1"/>
  </cols>
  <sheetData>
    <row r="1" spans="1:13" ht="21" x14ac:dyDescent="0.35">
      <c r="A1" s="55" t="s">
        <v>283</v>
      </c>
      <c r="B1" s="4"/>
      <c r="C1" s="15">
        <v>41689</v>
      </c>
      <c r="D1" s="30"/>
    </row>
    <row r="2" spans="1:13" ht="21" x14ac:dyDescent="0.35">
      <c r="A2" s="55" t="s">
        <v>240</v>
      </c>
      <c r="B2" s="4"/>
      <c r="C2" s="16">
        <v>6645</v>
      </c>
      <c r="D2" s="30"/>
    </row>
    <row r="3" spans="1:13" ht="21" x14ac:dyDescent="0.35">
      <c r="A3" s="55" t="s">
        <v>218</v>
      </c>
      <c r="B3" s="4"/>
      <c r="C3" s="16">
        <v>3.4099999999999998E-2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351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333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 t="shared" ref="L6" si="0">K6-J6</f>
        <v>-2.4956499999998414</v>
      </c>
      <c r="M6" s="136" t="s">
        <v>422</v>
      </c>
    </row>
    <row r="7" spans="1:13" x14ac:dyDescent="0.25">
      <c r="A7" s="39" t="s">
        <v>334</v>
      </c>
      <c r="B7" s="98">
        <v>1</v>
      </c>
      <c r="C7" s="99">
        <v>8900</v>
      </c>
      <c r="D7" s="37">
        <f t="shared" ref="D7:D12" si="1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25">
      <c r="A8" s="39" t="s">
        <v>57</v>
      </c>
      <c r="B8" s="98">
        <v>1</v>
      </c>
      <c r="C8" s="99">
        <v>12350</v>
      </c>
      <c r="D8" s="37">
        <f t="shared" ref="D8:D9" si="2">B8*C8</f>
        <v>12350</v>
      </c>
      <c r="E8" s="39">
        <f t="shared" ref="E8:E9" si="3">D8*0.05</f>
        <v>617.5</v>
      </c>
      <c r="F8" s="98">
        <v>2500</v>
      </c>
      <c r="G8" s="99">
        <v>0.2</v>
      </c>
      <c r="H8" s="37">
        <f t="shared" ref="H8:H9" si="4">G8*B8</f>
        <v>0.2</v>
      </c>
      <c r="I8" s="4">
        <f t="shared" ref="I8:I9" si="5">H8*$C$2</f>
        <v>1329</v>
      </c>
      <c r="J8" s="51">
        <f t="shared" ref="J8:J9" si="6">(D8+E8+F8+I8)*$C$3</f>
        <v>572.76064999999994</v>
      </c>
      <c r="K8" s="6"/>
      <c r="L8" s="17"/>
    </row>
    <row r="9" spans="1:13" x14ac:dyDescent="0.25">
      <c r="A9" s="39" t="s">
        <v>57</v>
      </c>
      <c r="B9" s="98">
        <v>1</v>
      </c>
      <c r="C9" s="99">
        <v>11400</v>
      </c>
      <c r="D9" s="37">
        <f t="shared" si="2"/>
        <v>11400</v>
      </c>
      <c r="E9" s="39">
        <f t="shared" si="3"/>
        <v>570</v>
      </c>
      <c r="F9" s="98">
        <v>2500</v>
      </c>
      <c r="G9" s="99">
        <v>0.2</v>
      </c>
      <c r="H9" s="37">
        <f t="shared" si="4"/>
        <v>0.2</v>
      </c>
      <c r="I9" s="4">
        <f t="shared" si="5"/>
        <v>1329</v>
      </c>
      <c r="J9" s="51">
        <f t="shared" si="6"/>
        <v>538.74590000000001</v>
      </c>
      <c r="K9" s="6"/>
      <c r="L9" s="17"/>
    </row>
    <row r="10" spans="1:13" x14ac:dyDescent="0.25">
      <c r="A10" s="115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25">
      <c r="A11" s="39" t="s">
        <v>162</v>
      </c>
      <c r="B11" s="98">
        <v>1</v>
      </c>
      <c r="C11" s="99">
        <v>14800</v>
      </c>
      <c r="D11" s="37">
        <f t="shared" si="1"/>
        <v>14800</v>
      </c>
      <c r="E11" s="39">
        <f t="shared" ref="E11:E12" si="7">D11*0.05</f>
        <v>740</v>
      </c>
      <c r="F11" s="98">
        <v>2500</v>
      </c>
      <c r="G11" s="99">
        <v>0.3</v>
      </c>
      <c r="H11" s="37">
        <f t="shared" ref="H11:H12" si="8">G11*B11</f>
        <v>0.3</v>
      </c>
      <c r="I11" s="4">
        <f t="shared" ref="I11:I12" si="9">H11*$C$2</f>
        <v>1993.5</v>
      </c>
      <c r="J11" s="51">
        <f t="shared" ref="J11:J12" si="10">(D11+E11+F11+I11)*$C$3</f>
        <v>683.14234999999996</v>
      </c>
      <c r="K11" s="6"/>
      <c r="L11" s="17"/>
    </row>
    <row r="12" spans="1:13" x14ac:dyDescent="0.25">
      <c r="A12" s="39" t="s">
        <v>335</v>
      </c>
      <c r="B12" s="98">
        <v>1</v>
      </c>
      <c r="C12" s="99">
        <v>7000</v>
      </c>
      <c r="D12" s="37">
        <f t="shared" si="1"/>
        <v>7000</v>
      </c>
      <c r="E12" s="39">
        <f t="shared" si="7"/>
        <v>350</v>
      </c>
      <c r="F12" s="98">
        <v>0</v>
      </c>
      <c r="G12" s="99">
        <v>0.3</v>
      </c>
      <c r="H12" s="37">
        <f t="shared" si="8"/>
        <v>0.3</v>
      </c>
      <c r="I12" s="4">
        <f t="shared" si="9"/>
        <v>1993.5</v>
      </c>
      <c r="J12" s="51">
        <f t="shared" si="10"/>
        <v>318.61334999999997</v>
      </c>
      <c r="K12" s="6"/>
      <c r="L12" s="17"/>
    </row>
    <row r="13" spans="1:13" ht="26.25" x14ac:dyDescent="0.4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25">
      <c r="A14" s="39" t="s">
        <v>172</v>
      </c>
      <c r="B14" s="107">
        <v>3</v>
      </c>
      <c r="C14" s="99">
        <v>3600</v>
      </c>
      <c r="D14" s="37">
        <f t="shared" ref="D14:D16" si="11"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25">
      <c r="A15" s="39" t="s">
        <v>336</v>
      </c>
      <c r="B15" s="98">
        <v>1</v>
      </c>
      <c r="C15" s="99">
        <v>12000</v>
      </c>
      <c r="D15" s="37">
        <f t="shared" si="11"/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25">
      <c r="A16" s="39" t="s">
        <v>337</v>
      </c>
      <c r="B16" s="98">
        <v>1</v>
      </c>
      <c r="C16" s="99">
        <v>9900</v>
      </c>
      <c r="D16" s="37">
        <f t="shared" si="11"/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.25" x14ac:dyDescent="0.4">
      <c r="A17" s="104" t="s">
        <v>338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5" t="s">
        <v>358</v>
      </c>
    </row>
    <row r="18" spans="1:13" x14ac:dyDescent="0.25">
      <c r="A18" s="39" t="s">
        <v>339</v>
      </c>
      <c r="B18" s="98">
        <v>1</v>
      </c>
      <c r="C18" s="99">
        <v>9900</v>
      </c>
      <c r="D18" s="37">
        <f t="shared" ref="D18" si="12"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25">
      <c r="A19" s="115" t="s">
        <v>340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.25" x14ac:dyDescent="0.4">
      <c r="A20" s="104" t="s">
        <v>295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 t="shared" ref="L20" si="13">K20-J20</f>
        <v>128.6309</v>
      </c>
    </row>
    <row r="21" spans="1:13" x14ac:dyDescent="0.25">
      <c r="A21" s="39" t="s">
        <v>357</v>
      </c>
      <c r="B21" s="98">
        <v>1</v>
      </c>
      <c r="C21" s="99">
        <f>9900/3</f>
        <v>3300</v>
      </c>
      <c r="D21" s="37">
        <f t="shared" ref="D21" si="14"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25">
      <c r="A22" s="115" t="s">
        <v>340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.25" x14ac:dyDescent="0.4">
      <c r="A23" s="104" t="s">
        <v>341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 t="shared" ref="L23" si="15">K23-J23</f>
        <v>0.20139999999992142</v>
      </c>
    </row>
    <row r="24" spans="1:13" x14ac:dyDescent="0.25">
      <c r="A24" s="39" t="s">
        <v>57</v>
      </c>
      <c r="B24" s="107">
        <v>2</v>
      </c>
      <c r="C24" s="99">
        <v>8400</v>
      </c>
      <c r="D24" s="37">
        <f t="shared" ref="D24:D25" si="16"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25">
      <c r="A25" s="39" t="s">
        <v>57</v>
      </c>
      <c r="B25" s="107">
        <v>2</v>
      </c>
      <c r="C25" s="99">
        <v>5900</v>
      </c>
      <c r="D25" s="37">
        <f t="shared" si="16"/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.25" x14ac:dyDescent="0.4">
      <c r="A26" s="104" t="s">
        <v>299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 t="shared" ref="L26" si="17">K26-J26</f>
        <v>-28.635925000000043</v>
      </c>
    </row>
    <row r="27" spans="1:13" x14ac:dyDescent="0.25">
      <c r="A27" s="39" t="s">
        <v>163</v>
      </c>
      <c r="B27" s="98">
        <v>1</v>
      </c>
      <c r="C27" s="99">
        <v>19000</v>
      </c>
      <c r="D27" s="37">
        <f t="shared" ref="D27:D28" si="18"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25">
      <c r="A28" s="90" t="s">
        <v>97</v>
      </c>
      <c r="B28" s="98">
        <v>1</v>
      </c>
      <c r="C28" s="99">
        <v>6900</v>
      </c>
      <c r="D28" s="37">
        <f t="shared" si="18"/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.25" x14ac:dyDescent="0.4">
      <c r="A29" s="104" t="s">
        <v>342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 t="shared" ref="L29" si="19">K29-J29</f>
        <v>-5.17499999998563E-2</v>
      </c>
    </row>
    <row r="30" spans="1:13" x14ac:dyDescent="0.25">
      <c r="A30" s="106" t="s">
        <v>343</v>
      </c>
      <c r="B30" s="107">
        <v>2</v>
      </c>
      <c r="C30" s="99">
        <v>3900</v>
      </c>
      <c r="D30" s="37">
        <f t="shared" ref="D30:D31" si="20"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25">
      <c r="A31" t="s">
        <v>344</v>
      </c>
      <c r="B31" s="98">
        <v>1</v>
      </c>
      <c r="C31" s="99">
        <v>4200</v>
      </c>
      <c r="D31" s="37">
        <f t="shared" si="20"/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.25" x14ac:dyDescent="0.4">
      <c r="A32" s="104" t="s">
        <v>192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 t="shared" ref="L32" si="21">K32-J32</f>
        <v>0.36081000000001495</v>
      </c>
    </row>
    <row r="33" spans="1:12" x14ac:dyDescent="0.25">
      <c r="A33" s="39" t="s">
        <v>339</v>
      </c>
      <c r="B33" s="98">
        <v>1</v>
      </c>
      <c r="C33" s="99">
        <v>9900</v>
      </c>
      <c r="D33" s="37">
        <f t="shared" ref="D33" si="22"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.25" x14ac:dyDescent="0.4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 t="shared" ref="L34" si="23">K34-J34</f>
        <v>-0.24039999999990869</v>
      </c>
    </row>
    <row r="35" spans="1:12" x14ac:dyDescent="0.25">
      <c r="A35" s="39" t="s">
        <v>345</v>
      </c>
      <c r="B35" s="98">
        <v>1</v>
      </c>
      <c r="C35" s="99">
        <v>26300</v>
      </c>
      <c r="D35" s="37">
        <f t="shared" ref="D35" si="24"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.25" x14ac:dyDescent="0.4">
      <c r="A36" s="104" t="s">
        <v>346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 t="shared" ref="L36" si="25">K36-J36</f>
        <v>-25.593399999999974</v>
      </c>
    </row>
    <row r="37" spans="1:12" x14ac:dyDescent="0.25">
      <c r="A37" s="39" t="s">
        <v>67</v>
      </c>
      <c r="B37" s="98">
        <v>1</v>
      </c>
      <c r="C37" s="99">
        <v>10900</v>
      </c>
      <c r="D37" s="37">
        <f t="shared" ref="D37" si="26"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.25" x14ac:dyDescent="0.4">
      <c r="A38" s="104" t="s">
        <v>347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 t="shared" ref="L38" si="27">K38-J38</f>
        <v>128.6309</v>
      </c>
    </row>
    <row r="39" spans="1:12" x14ac:dyDescent="0.25">
      <c r="A39" s="39" t="s">
        <v>357</v>
      </c>
      <c r="B39" s="98">
        <v>1</v>
      </c>
      <c r="C39" s="99">
        <f>9900/3</f>
        <v>3300</v>
      </c>
      <c r="D39" s="37">
        <f t="shared" ref="D39" si="28"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25">
      <c r="A40" s="115" t="s">
        <v>340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.25" x14ac:dyDescent="0.4">
      <c r="A41" s="104" t="s">
        <v>348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 t="shared" ref="L41" si="29">K41-J41</f>
        <v>0.30860000000006949</v>
      </c>
    </row>
    <row r="42" spans="1:12" ht="15.75" thickBot="1" x14ac:dyDescent="0.3">
      <c r="A42" s="39" t="s">
        <v>349</v>
      </c>
      <c r="B42" s="102">
        <v>1</v>
      </c>
      <c r="C42" s="103">
        <v>19600</v>
      </c>
      <c r="D42" s="37">
        <f t="shared" ref="D42" si="30"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2" ht="21" x14ac:dyDescent="0.35">
      <c r="A1" s="55" t="s">
        <v>283</v>
      </c>
      <c r="B1" s="4"/>
      <c r="C1" s="15">
        <v>41737</v>
      </c>
      <c r="D1" s="30"/>
    </row>
    <row r="2" spans="1:12" ht="21" x14ac:dyDescent="0.35">
      <c r="A2" s="55" t="s">
        <v>240</v>
      </c>
      <c r="B2" s="4"/>
      <c r="C2" s="16">
        <v>6320</v>
      </c>
      <c r="D2" s="30"/>
    </row>
    <row r="3" spans="1:12" ht="21" x14ac:dyDescent="0.35">
      <c r="A3" s="55" t="s">
        <v>241</v>
      </c>
      <c r="B3" s="4"/>
      <c r="C3" s="16">
        <v>3.4000000000000002E-2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351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05" t="s">
        <v>333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 t="shared" ref="L6" si="0">K6-J6</f>
        <v>9.7216666666663514</v>
      </c>
    </row>
    <row r="7" spans="1:12" x14ac:dyDescent="0.25">
      <c r="A7" s="39" t="s">
        <v>57</v>
      </c>
      <c r="B7" s="117">
        <v>1</v>
      </c>
      <c r="C7" s="118">
        <v>15000</v>
      </c>
      <c r="D7" s="37">
        <f t="shared" ref="D7:D9" si="1">B7*C7</f>
        <v>15000</v>
      </c>
      <c r="E7" s="39">
        <f>D7*0.05</f>
        <v>750</v>
      </c>
      <c r="F7" s="117">
        <v>0</v>
      </c>
      <c r="G7" s="118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25">
      <c r="A8" s="39" t="s">
        <v>368</v>
      </c>
      <c r="B8" s="117">
        <v>1</v>
      </c>
      <c r="C8" s="118">
        <v>12350</v>
      </c>
      <c r="D8" s="37">
        <f t="shared" si="1"/>
        <v>12350</v>
      </c>
      <c r="E8" s="39">
        <f t="shared" ref="E8:E9" si="2">D8*0.05</f>
        <v>617.5</v>
      </c>
      <c r="F8" s="117">
        <v>2500</v>
      </c>
      <c r="G8" s="118">
        <v>0.2</v>
      </c>
      <c r="H8" s="37">
        <f t="shared" ref="H8:H9" si="3">G8*B8</f>
        <v>0.2</v>
      </c>
      <c r="I8" s="4">
        <f t="shared" ref="I8:I9" si="4">H8*$C$2</f>
        <v>1264</v>
      </c>
      <c r="J8" s="51">
        <f t="shared" ref="J8:J9" si="5">(D8+E8+F8+I8)*$C$3</f>
        <v>568.87100000000009</v>
      </c>
      <c r="K8" s="6"/>
      <c r="L8" s="17"/>
    </row>
    <row r="9" spans="1:12" x14ac:dyDescent="0.25">
      <c r="A9" s="39" t="s">
        <v>360</v>
      </c>
      <c r="B9" s="117">
        <v>1</v>
      </c>
      <c r="C9" s="118">
        <f>8900/3</f>
        <v>2966.6666666666665</v>
      </c>
      <c r="D9" s="37">
        <f t="shared" si="1"/>
        <v>2966.6666666666665</v>
      </c>
      <c r="E9" s="39">
        <f t="shared" si="2"/>
        <v>148.33333333333334</v>
      </c>
      <c r="F9" s="121">
        <v>0</v>
      </c>
      <c r="G9" s="118">
        <f>1.55/3</f>
        <v>0.51666666666666672</v>
      </c>
      <c r="H9" s="37">
        <f t="shared" si="3"/>
        <v>0.51666666666666672</v>
      </c>
      <c r="I9" s="4">
        <f t="shared" si="4"/>
        <v>3265.3333333333335</v>
      </c>
      <c r="J9" s="51">
        <f t="shared" si="5"/>
        <v>216.93133333333336</v>
      </c>
      <c r="K9" s="6"/>
      <c r="L9" s="17"/>
    </row>
    <row r="10" spans="1:12" ht="26.25" x14ac:dyDescent="0.4">
      <c r="A10" s="104" t="s">
        <v>295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25">
      <c r="A11" s="39" t="s">
        <v>360</v>
      </c>
      <c r="B11" s="117">
        <v>1</v>
      </c>
      <c r="C11" s="118">
        <f>8900/3</f>
        <v>2966.6666666666665</v>
      </c>
      <c r="D11" s="37">
        <f t="shared" ref="D11:D12" si="6">B11*C11</f>
        <v>2966.6666666666665</v>
      </c>
      <c r="E11" s="39">
        <f>D11*0.05</f>
        <v>148.33333333333334</v>
      </c>
      <c r="F11" s="121">
        <v>0</v>
      </c>
      <c r="G11" s="118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25">
      <c r="A12" s="106" t="s">
        <v>340</v>
      </c>
      <c r="B12" s="98">
        <v>1</v>
      </c>
      <c r="C12" s="99">
        <f>10900/3</f>
        <v>3633.3333333333335</v>
      </c>
      <c r="D12" s="37">
        <f t="shared" si="6"/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.5" x14ac:dyDescent="0.5">
      <c r="A13" s="116" t="s">
        <v>361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 t="shared" ref="L13" si="7">K13-J13</f>
        <v>7.6240000000000236</v>
      </c>
    </row>
    <row r="14" spans="1:12" x14ac:dyDescent="0.25">
      <c r="A14" s="39" t="s">
        <v>263</v>
      </c>
      <c r="B14" s="98">
        <v>1</v>
      </c>
      <c r="C14" s="99">
        <v>8800</v>
      </c>
      <c r="D14" s="37">
        <f t="shared" ref="D14:D15" si="8"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25">
      <c r="A15" s="39" t="s">
        <v>67</v>
      </c>
      <c r="B15" s="98">
        <v>1</v>
      </c>
      <c r="C15" s="99">
        <v>4000</v>
      </c>
      <c r="D15" s="37">
        <f t="shared" si="8"/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.5" x14ac:dyDescent="0.5">
      <c r="A16" s="116" t="s">
        <v>32</v>
      </c>
      <c r="B16" s="119"/>
      <c r="C16" s="120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25">
      <c r="A17" s="39" t="s">
        <v>362</v>
      </c>
      <c r="B17" s="98">
        <v>1</v>
      </c>
      <c r="C17" s="99">
        <v>12000</v>
      </c>
      <c r="D17" s="37">
        <f t="shared" ref="D17" si="9"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.5" x14ac:dyDescent="0.5">
      <c r="A18" s="116" t="s">
        <v>165</v>
      </c>
      <c r="B18" s="119"/>
      <c r="C18" s="120"/>
      <c r="D18" s="32"/>
      <c r="E18" s="92"/>
      <c r="F18" s="119"/>
      <c r="G18" s="120"/>
      <c r="H18" s="32"/>
      <c r="I18" s="2"/>
      <c r="J18" s="52">
        <f>J19</f>
        <v>454.69900000000001</v>
      </c>
      <c r="K18" s="10">
        <v>458</v>
      </c>
      <c r="L18" s="10">
        <f t="shared" ref="L18" si="10">K18-J18</f>
        <v>3.3009999999999877</v>
      </c>
    </row>
    <row r="19" spans="1:12" x14ac:dyDescent="0.25">
      <c r="A19" s="39" t="s">
        <v>363</v>
      </c>
      <c r="B19" s="98">
        <v>1</v>
      </c>
      <c r="C19" s="99">
        <v>8550</v>
      </c>
      <c r="D19" s="37">
        <f t="shared" ref="D19" si="11"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.25" x14ac:dyDescent="0.4">
      <c r="A20" s="104" t="s">
        <v>338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 t="shared" ref="L20" si="12">K20-J20</f>
        <v>3.5939999999999941</v>
      </c>
    </row>
    <row r="21" spans="1:12" x14ac:dyDescent="0.25">
      <c r="A21" s="39" t="s">
        <v>364</v>
      </c>
      <c r="B21" s="98">
        <v>1</v>
      </c>
      <c r="C21" s="99">
        <v>9900</v>
      </c>
      <c r="D21" s="37">
        <f t="shared" ref="D21" si="13"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.25" x14ac:dyDescent="0.4">
      <c r="A22" s="104" t="s">
        <v>347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 t="shared" ref="L22" si="14">K22-J22</f>
        <v>-110.7516</v>
      </c>
    </row>
    <row r="23" spans="1:12" x14ac:dyDescent="0.25">
      <c r="A23" s="106" t="s">
        <v>340</v>
      </c>
      <c r="B23" s="98">
        <v>1</v>
      </c>
      <c r="C23" s="99">
        <f>10900/3</f>
        <v>3633.3333333333335</v>
      </c>
      <c r="D23" s="37">
        <f t="shared" ref="D23" si="15"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.25" x14ac:dyDescent="0.4">
      <c r="A24" s="104" t="s">
        <v>290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 t="shared" ref="L24" si="16">K24-J24</f>
        <v>17.205999999999904</v>
      </c>
    </row>
    <row r="25" spans="1:12" x14ac:dyDescent="0.25">
      <c r="A25" s="39" t="s">
        <v>365</v>
      </c>
      <c r="B25" s="98">
        <v>1</v>
      </c>
      <c r="C25" s="99">
        <v>8900</v>
      </c>
      <c r="D25" s="37">
        <f t="shared" ref="D25" si="17">B25*C25</f>
        <v>8900</v>
      </c>
      <c r="E25" s="39">
        <f>D25*0.05</f>
        <v>445</v>
      </c>
      <c r="F25" s="121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.25" x14ac:dyDescent="0.4">
      <c r="A26" s="104" t="s">
        <v>366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 t="shared" ref="L26" si="18">K26-J26</f>
        <v>2.3739999999999668</v>
      </c>
    </row>
    <row r="27" spans="1:12" ht="15.75" thickBot="1" x14ac:dyDescent="0.3">
      <c r="A27" s="39" t="s">
        <v>367</v>
      </c>
      <c r="B27" s="102">
        <v>1</v>
      </c>
      <c r="C27" s="103">
        <v>4500</v>
      </c>
      <c r="D27" s="37">
        <f t="shared" ref="D27" si="19"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3" ht="21" x14ac:dyDescent="0.35">
      <c r="A1" s="55" t="s">
        <v>283</v>
      </c>
      <c r="B1" s="4"/>
      <c r="C1" s="15">
        <v>41744</v>
      </c>
      <c r="D1" s="30"/>
    </row>
    <row r="2" spans="1:13" ht="21" x14ac:dyDescent="0.35">
      <c r="A2" s="55" t="s">
        <v>240</v>
      </c>
      <c r="B2" s="4"/>
      <c r="C2" s="16">
        <v>6640</v>
      </c>
      <c r="D2" s="30"/>
    </row>
    <row r="3" spans="1:13" ht="21" x14ac:dyDescent="0.35">
      <c r="A3" s="55" t="s">
        <v>241</v>
      </c>
      <c r="B3" s="4"/>
      <c r="C3" s="16">
        <v>3.533E-2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393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 t="shared" ref="L6" si="0">K6-J6</f>
        <v>-9.7989999999981592E-2</v>
      </c>
      <c r="M6" t="s">
        <v>408</v>
      </c>
    </row>
    <row r="7" spans="1:13" x14ac:dyDescent="0.25">
      <c r="A7" s="17" t="s">
        <v>394</v>
      </c>
      <c r="B7" s="131" t="s">
        <v>405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25">
      <c r="A8" s="17" t="s">
        <v>395</v>
      </c>
      <c r="B8" s="37">
        <v>1</v>
      </c>
      <c r="C8" s="99">
        <v>14800</v>
      </c>
      <c r="D8" s="37">
        <f t="shared" ref="D8:D10" si="1">B8*C8</f>
        <v>14800</v>
      </c>
      <c r="E8" s="39">
        <f t="shared" ref="E8:E10" si="2"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25">
      <c r="A9" s="17" t="s">
        <v>396</v>
      </c>
      <c r="B9" s="37">
        <v>1</v>
      </c>
      <c r="C9" s="99">
        <v>8000</v>
      </c>
      <c r="D9" s="37">
        <f t="shared" ref="D9" si="3">B9*C9</f>
        <v>8000</v>
      </c>
      <c r="E9" s="39">
        <f t="shared" si="2"/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25">
      <c r="A10" s="17" t="s">
        <v>397</v>
      </c>
      <c r="B10" s="37">
        <v>1</v>
      </c>
      <c r="C10" s="99">
        <v>2450</v>
      </c>
      <c r="D10" s="37">
        <f t="shared" si="1"/>
        <v>2450</v>
      </c>
      <c r="E10" s="39">
        <f t="shared" si="2"/>
        <v>245</v>
      </c>
      <c r="F10" s="98">
        <v>2500</v>
      </c>
      <c r="G10" s="99">
        <v>0.2</v>
      </c>
      <c r="H10" s="37">
        <f t="shared" ref="H10" si="4">G10*B10</f>
        <v>0.2</v>
      </c>
      <c r="I10" s="4">
        <f t="shared" ref="I10" si="5">H10*$C$2</f>
        <v>1328</v>
      </c>
      <c r="J10" s="51">
        <f t="shared" ref="J10" si="6">(D10+E10+F10+I10)*$C$3</f>
        <v>230.45759000000001</v>
      </c>
      <c r="K10" s="6"/>
      <c r="L10" s="17"/>
    </row>
    <row r="11" spans="1:13" x14ac:dyDescent="0.25">
      <c r="A11" s="122" t="s">
        <v>398</v>
      </c>
      <c r="B11" s="123" t="s">
        <v>406</v>
      </c>
      <c r="C11" s="118"/>
      <c r="D11" s="37"/>
      <c r="E11" s="39"/>
      <c r="F11" s="117"/>
      <c r="G11" s="118"/>
      <c r="H11" s="37"/>
      <c r="I11" s="4"/>
      <c r="J11" s="51"/>
      <c r="K11" s="6"/>
      <c r="L11" s="17"/>
    </row>
    <row r="12" spans="1:13" ht="31.5" x14ac:dyDescent="0.5">
      <c r="A12" s="104" t="s">
        <v>387</v>
      </c>
      <c r="B12" s="126"/>
      <c r="C12" s="127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 t="shared" ref="L12" si="7">K12-J12</f>
        <v>0.47583400000030451</v>
      </c>
    </row>
    <row r="13" spans="1:13" x14ac:dyDescent="0.25">
      <c r="A13" s="124" t="s">
        <v>388</v>
      </c>
      <c r="B13" s="98">
        <v>1</v>
      </c>
      <c r="C13" s="99">
        <v>5990</v>
      </c>
      <c r="D13" s="37">
        <f t="shared" ref="D13:D16" si="8">B13*C13</f>
        <v>5990</v>
      </c>
      <c r="E13" s="39">
        <f>D13*0.1</f>
        <v>599</v>
      </c>
      <c r="F13" s="98">
        <v>2500</v>
      </c>
      <c r="G13" s="99">
        <v>0.2</v>
      </c>
      <c r="H13" s="37">
        <f t="shared" ref="H13" si="9">G13*B13</f>
        <v>0.2</v>
      </c>
      <c r="I13" s="4">
        <f t="shared" ref="I13" si="10">H13*$C$2</f>
        <v>1328</v>
      </c>
      <c r="J13" s="51">
        <f t="shared" ref="J13" si="11">(D13+E13+F13+I13)*$C$3</f>
        <v>368.03260999999998</v>
      </c>
      <c r="K13" s="6"/>
      <c r="L13" s="17"/>
    </row>
    <row r="14" spans="1:13" x14ac:dyDescent="0.25">
      <c r="A14" s="124" t="s">
        <v>389</v>
      </c>
      <c r="B14" s="98">
        <v>1</v>
      </c>
      <c r="C14" s="99">
        <v>19000</v>
      </c>
      <c r="D14" s="37">
        <f t="shared" si="8"/>
        <v>19000</v>
      </c>
      <c r="E14" s="39">
        <f t="shared" ref="E14:E16" si="12"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25">
      <c r="A15" s="124" t="s">
        <v>390</v>
      </c>
      <c r="B15" s="98">
        <v>1</v>
      </c>
      <c r="C15" s="99">
        <v>12600</v>
      </c>
      <c r="D15" s="37">
        <f t="shared" si="8"/>
        <v>12600</v>
      </c>
      <c r="E15" s="39">
        <f t="shared" si="12"/>
        <v>1260</v>
      </c>
      <c r="F15" s="98">
        <v>0</v>
      </c>
      <c r="G15" s="99">
        <v>0.39</v>
      </c>
      <c r="H15" s="37">
        <f t="shared" ref="H15:H16" si="13">G15*B15</f>
        <v>0.39</v>
      </c>
      <c r="I15" s="4">
        <f t="shared" ref="I15:I16" si="14">H15*$C$2</f>
        <v>2589.6</v>
      </c>
      <c r="J15" s="51">
        <f t="shared" ref="J15:J16" si="15">(D15+E15+F15+I15)*$C$3</f>
        <v>581.16436799999997</v>
      </c>
      <c r="K15" s="6"/>
      <c r="L15" s="17"/>
    </row>
    <row r="16" spans="1:13" x14ac:dyDescent="0.25">
      <c r="A16" s="124" t="s">
        <v>391</v>
      </c>
      <c r="B16" s="98">
        <v>1</v>
      </c>
      <c r="C16" s="99">
        <v>12900</v>
      </c>
      <c r="D16" s="37">
        <f t="shared" si="8"/>
        <v>12900</v>
      </c>
      <c r="E16" s="39">
        <f t="shared" si="12"/>
        <v>1290</v>
      </c>
      <c r="F16" s="98">
        <v>0</v>
      </c>
      <c r="G16" s="99">
        <v>0.28999999999999998</v>
      </c>
      <c r="H16" s="37">
        <f t="shared" si="13"/>
        <v>0.28999999999999998</v>
      </c>
      <c r="I16" s="4">
        <f t="shared" si="14"/>
        <v>1925.6</v>
      </c>
      <c r="J16" s="51">
        <f t="shared" si="15"/>
        <v>569.364148</v>
      </c>
      <c r="K16" s="6"/>
      <c r="L16" s="17"/>
    </row>
    <row r="17" spans="1:12" ht="31.5" x14ac:dyDescent="0.5">
      <c r="A17" s="104" t="s">
        <v>333</v>
      </c>
      <c r="B17" s="126"/>
      <c r="C17" s="127"/>
      <c r="D17" s="32"/>
      <c r="E17" s="92"/>
      <c r="F17" s="126"/>
      <c r="G17" s="127"/>
      <c r="H17" s="32"/>
      <c r="I17" s="2"/>
      <c r="J17" s="52">
        <f>SUM(J18:J21)</f>
        <v>2581.3511199999998</v>
      </c>
      <c r="K17" s="10">
        <f>2189+95</f>
        <v>2284</v>
      </c>
      <c r="L17" s="10">
        <f t="shared" ref="L17" si="16">K17-J17</f>
        <v>-297.35111999999981</v>
      </c>
    </row>
    <row r="18" spans="1:12" x14ac:dyDescent="0.25">
      <c r="A18" s="124" t="s">
        <v>399</v>
      </c>
      <c r="B18" s="98">
        <v>1</v>
      </c>
      <c r="C18" s="99">
        <v>11900</v>
      </c>
      <c r="D18" s="37">
        <f t="shared" ref="D18" si="17">B18*C18</f>
        <v>11900</v>
      </c>
      <c r="E18" s="39">
        <f>D18*0.1</f>
        <v>1190</v>
      </c>
      <c r="F18" s="98">
        <v>0</v>
      </c>
      <c r="G18" s="99">
        <v>0.4</v>
      </c>
      <c r="H18" s="37">
        <f t="shared" ref="H18" si="18">G18*B18</f>
        <v>0.4</v>
      </c>
      <c r="I18" s="4">
        <f t="shared" ref="I18" si="19">H18*$C$2</f>
        <v>2656</v>
      </c>
      <c r="J18" s="51">
        <f t="shared" ref="J18" si="20">(D18+E18+F18+I18)*$C$3</f>
        <v>556.30618000000004</v>
      </c>
      <c r="K18" s="6"/>
      <c r="L18" s="17"/>
    </row>
    <row r="19" spans="1:12" x14ac:dyDescent="0.25">
      <c r="A19" s="124" t="s">
        <v>278</v>
      </c>
      <c r="B19" s="98">
        <v>1</v>
      </c>
      <c r="C19" s="99">
        <v>23900</v>
      </c>
      <c r="D19" s="37">
        <f t="shared" ref="D19:D21" si="21">B19*C19</f>
        <v>23900</v>
      </c>
      <c r="E19" s="39">
        <f t="shared" ref="E19:E21" si="22"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25">
      <c r="A20" s="124" t="s">
        <v>57</v>
      </c>
      <c r="B20" s="98">
        <v>1</v>
      </c>
      <c r="C20" s="99">
        <v>15300</v>
      </c>
      <c r="D20" s="37">
        <f t="shared" si="21"/>
        <v>15300</v>
      </c>
      <c r="E20" s="39">
        <f t="shared" si="22"/>
        <v>1530</v>
      </c>
      <c r="F20" s="98">
        <v>2500</v>
      </c>
      <c r="G20" s="99">
        <v>0.3</v>
      </c>
      <c r="H20" s="37">
        <f t="shared" ref="H20:H21" si="23">G20*B20</f>
        <v>0.3</v>
      </c>
      <c r="I20" s="4">
        <f t="shared" ref="I20:I21" si="24">H20*$C$2</f>
        <v>1992</v>
      </c>
      <c r="J20" s="51">
        <f t="shared" ref="J20:J21" si="25">(D20+E20+F20+I20)*$C$3</f>
        <v>753.30625999999995</v>
      </c>
      <c r="K20" s="6"/>
      <c r="L20" s="17"/>
    </row>
    <row r="21" spans="1:12" x14ac:dyDescent="0.25">
      <c r="A21" s="124" t="s">
        <v>392</v>
      </c>
      <c r="B21" s="98">
        <v>1</v>
      </c>
      <c r="C21" s="99">
        <v>3000</v>
      </c>
      <c r="D21" s="37">
        <f t="shared" si="21"/>
        <v>3000</v>
      </c>
      <c r="E21" s="39">
        <f t="shared" si="22"/>
        <v>300</v>
      </c>
      <c r="F21" s="128">
        <f>2500/2</f>
        <v>1250</v>
      </c>
      <c r="G21" s="99">
        <v>0.2</v>
      </c>
      <c r="H21" s="37">
        <f t="shared" si="23"/>
        <v>0.2</v>
      </c>
      <c r="I21" s="4">
        <f t="shared" si="24"/>
        <v>1328</v>
      </c>
      <c r="J21" s="51">
        <f t="shared" si="25"/>
        <v>207.66973999999999</v>
      </c>
      <c r="K21" s="6"/>
      <c r="L21" s="17"/>
    </row>
    <row r="22" spans="1:12" ht="31.5" x14ac:dyDescent="0.5">
      <c r="A22" s="104" t="s">
        <v>384</v>
      </c>
      <c r="B22" s="126"/>
      <c r="C22" s="127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 t="shared" ref="L22" si="26">K22-J22</f>
        <v>0.30138999999985572</v>
      </c>
    </row>
    <row r="23" spans="1:12" x14ac:dyDescent="0.25">
      <c r="A23" s="124" t="s">
        <v>381</v>
      </c>
      <c r="B23" s="98">
        <v>1</v>
      </c>
      <c r="C23" s="99">
        <f>16800/2</f>
        <v>8400</v>
      </c>
      <c r="D23" s="37">
        <f t="shared" ref="D23:D25" si="27"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25">
      <c r="A24" s="124" t="s">
        <v>376</v>
      </c>
      <c r="B24" s="98">
        <v>1</v>
      </c>
      <c r="C24" s="99">
        <f>14900/2</f>
        <v>7450</v>
      </c>
      <c r="D24" s="37">
        <f t="shared" si="27"/>
        <v>7450</v>
      </c>
      <c r="E24" s="39">
        <f t="shared" ref="E24:E25" si="28">D24*0.1</f>
        <v>745</v>
      </c>
      <c r="F24" s="98">
        <v>0</v>
      </c>
      <c r="G24" s="99">
        <v>0.8</v>
      </c>
      <c r="H24" s="37">
        <f t="shared" ref="H24:H25" si="29">G24*B24</f>
        <v>0.8</v>
      </c>
      <c r="I24" s="4">
        <f t="shared" ref="I24:I25" si="30">H24*$C$2</f>
        <v>5312</v>
      </c>
      <c r="J24" s="51">
        <f t="shared" ref="J24:J25" si="31">(D24+E24+F24+I24)*$C$3</f>
        <v>477.20231000000001</v>
      </c>
      <c r="K24" s="6"/>
      <c r="L24" s="17"/>
    </row>
    <row r="25" spans="1:12" x14ac:dyDescent="0.25">
      <c r="A25" s="124" t="s">
        <v>385</v>
      </c>
      <c r="B25" s="98">
        <v>1</v>
      </c>
      <c r="C25" s="99">
        <v>3000</v>
      </c>
      <c r="D25" s="37">
        <f t="shared" si="27"/>
        <v>3000</v>
      </c>
      <c r="E25" s="39">
        <f t="shared" si="28"/>
        <v>300</v>
      </c>
      <c r="F25" s="128">
        <f>2500/2</f>
        <v>1250</v>
      </c>
      <c r="G25" s="99">
        <v>0.2</v>
      </c>
      <c r="H25" s="37">
        <f t="shared" si="29"/>
        <v>0.2</v>
      </c>
      <c r="I25" s="4">
        <f t="shared" si="30"/>
        <v>1328</v>
      </c>
      <c r="J25" s="51">
        <f t="shared" si="31"/>
        <v>207.66973999999999</v>
      </c>
      <c r="K25" s="6"/>
      <c r="L25" s="17"/>
    </row>
    <row r="26" spans="1:12" ht="31.5" x14ac:dyDescent="0.5">
      <c r="A26" s="104" t="s">
        <v>386</v>
      </c>
      <c r="B26" s="126"/>
      <c r="C26" s="127"/>
      <c r="D26" s="32"/>
      <c r="E26" s="92"/>
      <c r="F26" s="126"/>
      <c r="G26" s="127"/>
      <c r="H26" s="32"/>
      <c r="I26" s="2"/>
      <c r="J26" s="52">
        <f>SUM(J27:J29)</f>
        <v>1019.6944599999999</v>
      </c>
      <c r="K26" s="10">
        <f>978+42</f>
        <v>1020</v>
      </c>
      <c r="L26" s="10">
        <f t="shared" ref="L26" si="32">K26-J26</f>
        <v>0.30554000000006454</v>
      </c>
    </row>
    <row r="27" spans="1:12" x14ac:dyDescent="0.25">
      <c r="A27" s="124" t="s">
        <v>97</v>
      </c>
      <c r="B27" s="98">
        <v>1</v>
      </c>
      <c r="C27" s="99">
        <v>3100</v>
      </c>
      <c r="D27" s="37">
        <f t="shared" ref="D27:D29" si="33"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25">
      <c r="A28" s="124" t="s">
        <v>172</v>
      </c>
      <c r="B28" s="98">
        <v>1</v>
      </c>
      <c r="C28" s="99">
        <v>6500</v>
      </c>
      <c r="D28" s="37">
        <f t="shared" si="33"/>
        <v>6500</v>
      </c>
      <c r="E28" s="39">
        <f t="shared" ref="E28:E32" si="34">D28*0.1</f>
        <v>650</v>
      </c>
      <c r="F28" s="98">
        <v>2500</v>
      </c>
      <c r="G28" s="99">
        <v>0.2</v>
      </c>
      <c r="H28" s="37">
        <f t="shared" ref="H28:H29" si="35">G28*B28</f>
        <v>0.2</v>
      </c>
      <c r="I28" s="4">
        <f t="shared" ref="I28:I29" si="36">H28*$C$2</f>
        <v>1328</v>
      </c>
      <c r="J28" s="51">
        <f t="shared" ref="J28:J29" si="37">(D28+E28+F28+I28)*$C$3</f>
        <v>387.85273999999998</v>
      </c>
      <c r="K28" s="6"/>
      <c r="L28" s="17"/>
    </row>
    <row r="29" spans="1:12" x14ac:dyDescent="0.25">
      <c r="A29" s="124" t="s">
        <v>381</v>
      </c>
      <c r="B29" s="98">
        <v>1</v>
      </c>
      <c r="C29" s="99">
        <f>16800/2</f>
        <v>8400</v>
      </c>
      <c r="D29" s="37">
        <f t="shared" si="33"/>
        <v>8400</v>
      </c>
      <c r="E29" s="39">
        <f t="shared" si="34"/>
        <v>840</v>
      </c>
      <c r="F29" s="98">
        <v>0</v>
      </c>
      <c r="G29" s="99">
        <v>0.3</v>
      </c>
      <c r="H29" s="37">
        <f t="shared" si="35"/>
        <v>0.3</v>
      </c>
      <c r="I29" s="4">
        <f t="shared" si="36"/>
        <v>1992</v>
      </c>
      <c r="J29" s="51">
        <f t="shared" si="37"/>
        <v>396.82656000000003</v>
      </c>
      <c r="K29" s="6"/>
      <c r="L29" s="17"/>
    </row>
    <row r="30" spans="1:12" ht="26.25" x14ac:dyDescent="0.4">
      <c r="A30" s="104" t="s">
        <v>348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25">
      <c r="A31" s="124" t="s">
        <v>382</v>
      </c>
      <c r="B31" s="98">
        <v>1</v>
      </c>
      <c r="C31" s="99">
        <f>9900+2900</f>
        <v>12800</v>
      </c>
      <c r="D31" s="37">
        <f t="shared" ref="D31:D32" si="38">B31*C31</f>
        <v>12800</v>
      </c>
      <c r="E31" s="39">
        <f t="shared" si="34"/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25">
      <c r="A32" s="124" t="s">
        <v>383</v>
      </c>
      <c r="B32" s="98">
        <v>1</v>
      </c>
      <c r="C32" s="99">
        <v>9800</v>
      </c>
      <c r="D32" s="37">
        <f t="shared" si="38"/>
        <v>9800</v>
      </c>
      <c r="E32" s="39">
        <f t="shared" si="34"/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.25" x14ac:dyDescent="0.4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25">
      <c r="A34" s="124" t="s">
        <v>372</v>
      </c>
      <c r="B34" s="98">
        <v>1</v>
      </c>
      <c r="C34" s="99">
        <v>5230</v>
      </c>
      <c r="D34" s="37">
        <f t="shared" ref="D34" si="39"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.25" x14ac:dyDescent="0.4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 t="shared" ref="L35" si="40">K35-J35</f>
        <v>0.33157600000004095</v>
      </c>
    </row>
    <row r="36" spans="1:13" x14ac:dyDescent="0.25">
      <c r="A36" s="124" t="s">
        <v>373</v>
      </c>
      <c r="B36" s="98">
        <v>1</v>
      </c>
      <c r="C36" s="99">
        <v>12000</v>
      </c>
      <c r="D36" s="37">
        <f t="shared" ref="D36" si="41"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.25" x14ac:dyDescent="0.4">
      <c r="A37" s="104" t="s">
        <v>374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 t="shared" ref="L37" si="42">K37-J37</f>
        <v>0.98483999999999128</v>
      </c>
    </row>
    <row r="38" spans="1:13" x14ac:dyDescent="0.25">
      <c r="A38" s="124" t="s">
        <v>97</v>
      </c>
      <c r="B38" s="98">
        <v>1</v>
      </c>
      <c r="C38" s="99">
        <v>3100</v>
      </c>
      <c r="D38" s="37">
        <f t="shared" ref="D38" si="43"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.5" x14ac:dyDescent="0.5">
      <c r="A39" s="104" t="s">
        <v>375</v>
      </c>
      <c r="B39" s="126"/>
      <c r="C39" s="127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 t="shared" ref="L39" si="44">K39-J39</f>
        <v>2.7976899999999887</v>
      </c>
      <c r="M39" t="s">
        <v>407</v>
      </c>
    </row>
    <row r="40" spans="1:13" x14ac:dyDescent="0.25">
      <c r="A40" s="124" t="s">
        <v>376</v>
      </c>
      <c r="B40" s="98">
        <v>1</v>
      </c>
      <c r="C40" s="99">
        <f>14900/2</f>
        <v>7450</v>
      </c>
      <c r="D40" s="37">
        <f t="shared" ref="D40" si="45"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.5" x14ac:dyDescent="0.5">
      <c r="A41" s="104" t="s">
        <v>196</v>
      </c>
      <c r="B41" s="126"/>
      <c r="C41" s="127"/>
      <c r="D41" s="32"/>
      <c r="E41" s="92"/>
      <c r="F41" s="126"/>
      <c r="G41" s="127"/>
      <c r="H41" s="32"/>
      <c r="I41" s="2"/>
      <c r="J41" s="52">
        <f>J42</f>
        <v>636.78791999999999</v>
      </c>
      <c r="K41" s="10">
        <f>611+21+6</f>
        <v>638</v>
      </c>
      <c r="L41" s="10">
        <f t="shared" ref="L41" si="46">K41-J41</f>
        <v>1.2120800000000145</v>
      </c>
    </row>
    <row r="42" spans="1:13" ht="30" x14ac:dyDescent="0.25">
      <c r="A42" s="124" t="s">
        <v>377</v>
      </c>
      <c r="B42" s="117">
        <v>1</v>
      </c>
      <c r="C42" s="99">
        <v>12000</v>
      </c>
      <c r="D42" s="37">
        <f t="shared" ref="D42" si="47"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.25" x14ac:dyDescent="0.4">
      <c r="A43" s="104" t="s">
        <v>295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 t="shared" ref="L43" si="48">K43-J43</f>
        <v>0.33805999999998448</v>
      </c>
    </row>
    <row r="44" spans="1:13" x14ac:dyDescent="0.25">
      <c r="A44" s="124" t="s">
        <v>378</v>
      </c>
      <c r="B44" s="98">
        <v>1</v>
      </c>
      <c r="C44" s="99">
        <v>9900</v>
      </c>
      <c r="D44" s="37">
        <f t="shared" ref="D44" si="49"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.25" x14ac:dyDescent="0.4">
      <c r="A45" s="104" t="s">
        <v>379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 t="shared" ref="L45" si="50">K45-J45</f>
        <v>-0.11673999999999296</v>
      </c>
    </row>
    <row r="46" spans="1:13" x14ac:dyDescent="0.25">
      <c r="A46" s="125" t="s">
        <v>380</v>
      </c>
      <c r="B46" s="98">
        <v>1</v>
      </c>
      <c r="C46" s="99">
        <f>19000/2</f>
        <v>9500</v>
      </c>
      <c r="D46" s="37">
        <f t="shared" ref="D46" si="51"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.5" x14ac:dyDescent="0.5">
      <c r="A47" s="104" t="s">
        <v>39</v>
      </c>
      <c r="B47" s="126"/>
      <c r="C47" s="127"/>
      <c r="D47" s="32"/>
      <c r="E47" s="92"/>
      <c r="F47" s="126"/>
      <c r="G47" s="127"/>
      <c r="H47" s="32"/>
      <c r="I47" s="2"/>
      <c r="J47" s="52">
        <f>J48</f>
        <v>396.82656000000003</v>
      </c>
      <c r="K47" s="10">
        <v>380</v>
      </c>
      <c r="L47" s="10">
        <f t="shared" ref="L47" si="52">K47-J47</f>
        <v>-16.826560000000029</v>
      </c>
    </row>
    <row r="48" spans="1:13" ht="15.75" thickBot="1" x14ac:dyDescent="0.3">
      <c r="A48" s="124" t="s">
        <v>381</v>
      </c>
      <c r="B48" s="102">
        <v>1</v>
      </c>
      <c r="C48" s="103">
        <f>16800/2</f>
        <v>8400</v>
      </c>
      <c r="D48" s="37">
        <f t="shared" ref="D48" si="53"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5" x14ac:dyDescent="0.25"/>
  <cols>
    <col min="1" max="1" width="32" bestFit="1" customWidth="1"/>
    <col min="2" max="2" width="8.140625" customWidth="1"/>
    <col min="3" max="3" width="11.28515625" bestFit="1" customWidth="1"/>
    <col min="6" max="6" width="11" customWidth="1"/>
    <col min="7" max="7" width="7.140625" customWidth="1"/>
    <col min="10" max="10" width="11.28515625" customWidth="1"/>
    <col min="11" max="11" width="13.28515625" customWidth="1"/>
    <col min="12" max="12" width="11.7109375" customWidth="1"/>
  </cols>
  <sheetData>
    <row r="1" spans="1:13" ht="21" x14ac:dyDescent="0.35">
      <c r="A1" s="55" t="s">
        <v>283</v>
      </c>
      <c r="B1" s="4"/>
      <c r="C1" s="15">
        <v>41777</v>
      </c>
      <c r="D1" s="30"/>
    </row>
    <row r="2" spans="1:13" ht="21" x14ac:dyDescent="0.35">
      <c r="A2" s="55" t="s">
        <v>240</v>
      </c>
      <c r="B2" s="4"/>
      <c r="C2" s="16">
        <v>6780</v>
      </c>
      <c r="D2" s="30"/>
    </row>
    <row r="3" spans="1:13" ht="21" x14ac:dyDescent="0.35">
      <c r="A3" s="55" t="s">
        <v>241</v>
      </c>
      <c r="B3" s="4"/>
      <c r="C3" s="16">
        <v>3.4529999999999998E-2</v>
      </c>
      <c r="D3" s="30"/>
    </row>
    <row r="4" spans="1:13" ht="15.75" thickBot="1" x14ac:dyDescent="0.3"/>
    <row r="5" spans="1:13" ht="45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32" t="s">
        <v>20</v>
      </c>
      <c r="B6" s="126"/>
      <c r="C6" s="127"/>
      <c r="D6" s="32"/>
      <c r="E6" s="92"/>
      <c r="F6" s="126"/>
      <c r="G6" s="127"/>
      <c r="H6" s="32"/>
      <c r="I6" s="2"/>
      <c r="J6" s="52">
        <f>J7</f>
        <v>464.63567999999998</v>
      </c>
      <c r="K6" s="10">
        <v>470</v>
      </c>
      <c r="L6" s="10">
        <f t="shared" ref="L6" si="0">K6-J6</f>
        <v>5.3643200000000206</v>
      </c>
    </row>
    <row r="7" spans="1:13" x14ac:dyDescent="0.25">
      <c r="A7" s="133" t="s">
        <v>409</v>
      </c>
      <c r="B7" s="117">
        <v>1</v>
      </c>
      <c r="C7" s="99">
        <v>11000</v>
      </c>
      <c r="D7" s="37">
        <f t="shared" ref="D7" si="1">B7*C7</f>
        <v>11000</v>
      </c>
      <c r="E7" s="39">
        <f>D7*0.1</f>
        <v>1100</v>
      </c>
      <c r="F7" s="98">
        <v>0</v>
      </c>
      <c r="G7" s="134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.5" x14ac:dyDescent="0.5">
      <c r="A8" s="132" t="s">
        <v>2</v>
      </c>
      <c r="B8" s="126"/>
      <c r="C8" s="127"/>
      <c r="D8" s="32"/>
      <c r="E8" s="92"/>
      <c r="F8" s="126"/>
      <c r="G8" s="127"/>
      <c r="H8" s="32"/>
      <c r="I8" s="2"/>
      <c r="J8" s="52">
        <f>J9</f>
        <v>532.52166</v>
      </c>
      <c r="K8" s="10">
        <f>604-71</f>
        <v>533</v>
      </c>
      <c r="L8" s="10">
        <f t="shared" ref="L8" si="2">K8-J8</f>
        <v>0.47834000000000287</v>
      </c>
      <c r="M8" s="136" t="s">
        <v>423</v>
      </c>
    </row>
    <row r="9" spans="1:13" x14ac:dyDescent="0.25">
      <c r="A9" s="39" t="s">
        <v>322</v>
      </c>
      <c r="B9" s="98">
        <v>2</v>
      </c>
      <c r="C9" s="99">
        <v>3100</v>
      </c>
      <c r="D9" s="37">
        <f t="shared" ref="D9" si="3"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.5" x14ac:dyDescent="0.5">
      <c r="A10" s="132" t="s">
        <v>410</v>
      </c>
      <c r="B10" s="126"/>
      <c r="C10" s="127"/>
      <c r="D10" s="32"/>
      <c r="E10" s="92"/>
      <c r="F10" s="126"/>
      <c r="G10" s="127"/>
      <c r="H10" s="32"/>
      <c r="I10" s="2"/>
      <c r="J10" s="52">
        <f>J11</f>
        <v>304.07117999999997</v>
      </c>
      <c r="K10" s="10">
        <v>310</v>
      </c>
      <c r="L10" s="10">
        <f t="shared" ref="L10" si="4">K10-J10</f>
        <v>5.9288200000000302</v>
      </c>
    </row>
    <row r="11" spans="1:13" x14ac:dyDescent="0.25">
      <c r="A11" s="133" t="s">
        <v>420</v>
      </c>
      <c r="B11" s="98">
        <v>1</v>
      </c>
      <c r="C11" s="99">
        <v>4500</v>
      </c>
      <c r="D11" s="37">
        <f t="shared" ref="D11" si="5"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.5" x14ac:dyDescent="0.5">
      <c r="A12" s="132" t="s">
        <v>411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323.06268</v>
      </c>
      <c r="K12" s="10">
        <v>327</v>
      </c>
      <c r="L12" s="10">
        <f t="shared" ref="L12" si="6">K12-J12</f>
        <v>3.9373199999999997</v>
      </c>
    </row>
    <row r="13" spans="1:13" x14ac:dyDescent="0.25">
      <c r="A13" s="133" t="s">
        <v>412</v>
      </c>
      <c r="B13" s="98">
        <v>1</v>
      </c>
      <c r="C13" s="99">
        <v>5000</v>
      </c>
      <c r="D13" s="37">
        <f t="shared" ref="D13" si="7"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.5" x14ac:dyDescent="0.5">
      <c r="A14" s="132" t="s">
        <v>413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1387.62258</v>
      </c>
      <c r="K14" s="10">
        <v>1403</v>
      </c>
      <c r="L14" s="10">
        <f t="shared" ref="L14" si="8">K14-J14</f>
        <v>15.377420000000029</v>
      </c>
    </row>
    <row r="15" spans="1:13" x14ac:dyDescent="0.25">
      <c r="A15" s="133" t="s">
        <v>414</v>
      </c>
      <c r="B15" s="98">
        <v>1</v>
      </c>
      <c r="C15" s="99">
        <v>28000</v>
      </c>
      <c r="D15" s="37">
        <f t="shared" ref="D15" si="9"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.5" x14ac:dyDescent="0.5">
      <c r="A16" s="132" t="s">
        <v>415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1387.62258</v>
      </c>
      <c r="K16" s="10">
        <v>1403</v>
      </c>
      <c r="L16" s="10">
        <f t="shared" ref="L16" si="10">K16-J16</f>
        <v>15.377420000000029</v>
      </c>
    </row>
    <row r="17" spans="1:12" x14ac:dyDescent="0.25">
      <c r="A17" s="133" t="s">
        <v>414</v>
      </c>
      <c r="B17" s="98">
        <v>1</v>
      </c>
      <c r="C17" s="99">
        <v>28000</v>
      </c>
      <c r="D17" s="37">
        <f t="shared" ref="D17" si="11"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.5" x14ac:dyDescent="0.5">
      <c r="A18" s="132" t="s">
        <v>194</v>
      </c>
      <c r="B18" s="126"/>
      <c r="C18" s="127"/>
      <c r="D18" s="32"/>
      <c r="E18" s="92"/>
      <c r="F18" s="126"/>
      <c r="G18" s="127"/>
      <c r="H18" s="32"/>
      <c r="I18" s="2"/>
      <c r="J18" s="52">
        <f>SUM(J19:J20)</f>
        <v>321.86563999999998</v>
      </c>
      <c r="K18" s="10">
        <v>316</v>
      </c>
      <c r="L18" s="10">
        <f t="shared" ref="L18" si="12">K18-J18</f>
        <v>-5.8656399999999849</v>
      </c>
    </row>
    <row r="19" spans="1:12" x14ac:dyDescent="0.25">
      <c r="A19" s="39" t="s">
        <v>416</v>
      </c>
      <c r="B19" s="98">
        <v>1</v>
      </c>
      <c r="C19" s="99">
        <v>500</v>
      </c>
      <c r="D19" s="37">
        <f t="shared" ref="D19:D20" si="13"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25">
      <c r="A20" s="39" t="s">
        <v>67</v>
      </c>
      <c r="B20" s="98">
        <v>1</v>
      </c>
      <c r="C20" s="99">
        <f>9900/3</f>
        <v>3300</v>
      </c>
      <c r="D20" s="37">
        <f t="shared" si="13"/>
        <v>3300</v>
      </c>
      <c r="E20" s="39">
        <f t="shared" ref="E20" si="14">D20*0.1</f>
        <v>330</v>
      </c>
      <c r="F20" s="98">
        <f>2500/3</f>
        <v>833.33333333333337</v>
      </c>
      <c r="G20" s="99">
        <f>0.2/3</f>
        <v>6.6666666666666666E-2</v>
      </c>
      <c r="H20" s="37">
        <f t="shared" ref="H20" si="15">G20*B20</f>
        <v>6.6666666666666666E-2</v>
      </c>
      <c r="I20" s="4">
        <f t="shared" ref="I20" si="16">H20*$C$2</f>
        <v>452</v>
      </c>
      <c r="J20" s="51">
        <f t="shared" ref="J20" si="17">(D20+E20+F20+I20)*$C$3</f>
        <v>169.72645999999997</v>
      </c>
      <c r="K20" s="6"/>
      <c r="L20" s="17"/>
    </row>
    <row r="21" spans="1:12" ht="31.5" x14ac:dyDescent="0.5">
      <c r="A21" s="132" t="s">
        <v>348</v>
      </c>
      <c r="B21" s="126"/>
      <c r="C21" s="127"/>
      <c r="D21" s="32"/>
      <c r="E21" s="92"/>
      <c r="F21" s="126"/>
      <c r="G21" s="127"/>
      <c r="H21" s="32"/>
      <c r="I21" s="2"/>
      <c r="J21" s="52">
        <f>SUM(J22:J23)</f>
        <v>604.28881200000001</v>
      </c>
      <c r="K21" s="10">
        <v>612</v>
      </c>
      <c r="L21" s="10">
        <f t="shared" ref="L21" si="18">K21-J21</f>
        <v>7.7111879999999928</v>
      </c>
    </row>
    <row r="22" spans="1:12" x14ac:dyDescent="0.25">
      <c r="A22" s="133" t="s">
        <v>417</v>
      </c>
      <c r="B22" s="98">
        <v>1</v>
      </c>
      <c r="C22" s="99">
        <v>8300</v>
      </c>
      <c r="D22" s="37">
        <f t="shared" ref="D22:D23" si="19"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25">
      <c r="A23" s="39" t="s">
        <v>418</v>
      </c>
      <c r="B23" s="98">
        <v>1</v>
      </c>
      <c r="C23" s="99">
        <v>6500</v>
      </c>
      <c r="D23" s="37">
        <f t="shared" si="19"/>
        <v>6500</v>
      </c>
      <c r="E23" s="39">
        <f t="shared" ref="E23:E26" si="20">D23*0.1</f>
        <v>650</v>
      </c>
      <c r="F23" s="98">
        <v>0</v>
      </c>
      <c r="G23" s="99">
        <v>0.09</v>
      </c>
      <c r="H23" s="37">
        <f t="shared" ref="H23" si="21">G23*B23</f>
        <v>0.09</v>
      </c>
      <c r="I23" s="4">
        <f t="shared" ref="I23" si="22">H23*$C$2</f>
        <v>610.19999999999993</v>
      </c>
      <c r="J23" s="51">
        <f t="shared" ref="J23" si="23">(D23+E23+F23+I23)*$C$3</f>
        <v>267.95970599999998</v>
      </c>
      <c r="K23" s="6"/>
      <c r="L23" s="17"/>
    </row>
    <row r="24" spans="1:12" ht="31.5" x14ac:dyDescent="0.5">
      <c r="A24" s="132" t="s">
        <v>384</v>
      </c>
      <c r="B24" s="126"/>
      <c r="C24" s="127"/>
      <c r="D24" s="32"/>
      <c r="E24" s="92"/>
      <c r="F24" s="126"/>
      <c r="G24" s="127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25">
      <c r="A25" s="133" t="s">
        <v>421</v>
      </c>
      <c r="B25" s="98">
        <v>1</v>
      </c>
      <c r="C25" s="99">
        <f>9900/2</f>
        <v>4950</v>
      </c>
      <c r="D25" s="37">
        <f t="shared" ref="D25:D26" si="24">B25*C25</f>
        <v>4950</v>
      </c>
      <c r="E25" s="39">
        <f t="shared" si="20"/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.75" thickBot="1" x14ac:dyDescent="0.3">
      <c r="A26" s="39" t="s">
        <v>419</v>
      </c>
      <c r="B26" s="102">
        <v>1</v>
      </c>
      <c r="C26" s="103">
        <v>12900</v>
      </c>
      <c r="D26" s="37">
        <f t="shared" si="24"/>
        <v>12900</v>
      </c>
      <c r="E26" s="39">
        <f t="shared" si="20"/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5" x14ac:dyDescent="0.25"/>
  <cols>
    <col min="1" max="1" width="33" customWidth="1"/>
    <col min="3" max="3" width="17.7109375" customWidth="1"/>
    <col min="10" max="10" width="10.7109375" customWidth="1"/>
    <col min="11" max="11" width="9.5703125" bestFit="1" customWidth="1"/>
    <col min="12" max="12" width="11.42578125" customWidth="1"/>
  </cols>
  <sheetData>
    <row r="1" spans="1:13" ht="21" x14ac:dyDescent="0.35">
      <c r="A1" s="55" t="s">
        <v>283</v>
      </c>
      <c r="B1" s="4"/>
      <c r="C1" s="15">
        <v>41817</v>
      </c>
      <c r="D1" s="30"/>
    </row>
    <row r="2" spans="1:13" ht="21" x14ac:dyDescent="0.35">
      <c r="A2" s="55" t="s">
        <v>240</v>
      </c>
      <c r="B2" s="4"/>
      <c r="C2" s="16">
        <v>7420</v>
      </c>
      <c r="D2" s="30"/>
    </row>
    <row r="3" spans="1:13" ht="21" x14ac:dyDescent="0.35">
      <c r="A3" s="55" t="s">
        <v>241</v>
      </c>
      <c r="B3" s="4"/>
      <c r="C3" s="16">
        <v>3.3779999999999998E-2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32" t="s">
        <v>165</v>
      </c>
      <c r="B6" s="126"/>
      <c r="C6" s="127"/>
      <c r="D6" s="32"/>
      <c r="E6" s="92"/>
      <c r="F6" s="126"/>
      <c r="G6" s="127"/>
      <c r="H6" s="32"/>
      <c r="I6" s="2"/>
      <c r="J6" s="52">
        <f>J7</f>
        <v>1723.6853039999999</v>
      </c>
      <c r="K6" s="10">
        <v>1739</v>
      </c>
      <c r="L6" s="10">
        <f t="shared" ref="L6" si="0">K6-J6</f>
        <v>15.31469600000014</v>
      </c>
    </row>
    <row r="7" spans="1:13" x14ac:dyDescent="0.25">
      <c r="A7" s="39" t="s">
        <v>424</v>
      </c>
      <c r="B7" s="98">
        <v>1</v>
      </c>
      <c r="C7" s="99">
        <v>36000</v>
      </c>
      <c r="D7" s="37">
        <f t="shared" ref="D7" si="1"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.5" x14ac:dyDescent="0.5">
      <c r="A8" s="132" t="s">
        <v>348</v>
      </c>
      <c r="B8" s="126"/>
      <c r="C8" s="127"/>
      <c r="D8" s="32"/>
      <c r="E8" s="92"/>
      <c r="F8" s="126"/>
      <c r="G8" s="127"/>
      <c r="H8" s="32"/>
      <c r="I8" s="2"/>
      <c r="J8" s="52">
        <f>J9</f>
        <v>264.085284</v>
      </c>
      <c r="K8" s="10">
        <v>258</v>
      </c>
      <c r="L8" s="10">
        <f t="shared" ref="L8" si="2">K8-J8</f>
        <v>-6.0852840000000015</v>
      </c>
      <c r="M8" s="136"/>
    </row>
    <row r="9" spans="1:13" x14ac:dyDescent="0.25">
      <c r="A9" s="133" t="s">
        <v>425</v>
      </c>
      <c r="B9" s="98">
        <v>1</v>
      </c>
      <c r="C9" s="99">
        <v>6500</v>
      </c>
      <c r="D9" s="37">
        <f t="shared" ref="D9" si="3"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.5" x14ac:dyDescent="0.5">
      <c r="A10" s="132" t="s">
        <v>2</v>
      </c>
      <c r="B10" s="126"/>
      <c r="C10" s="127"/>
      <c r="D10" s="32"/>
      <c r="E10" s="92"/>
      <c r="F10" s="126"/>
      <c r="G10" s="127"/>
      <c r="H10" s="32"/>
      <c r="I10" s="2"/>
      <c r="J10" s="52">
        <f>J11</f>
        <v>780.04775999999993</v>
      </c>
      <c r="K10" s="10">
        <v>787</v>
      </c>
      <c r="L10" s="10">
        <f t="shared" ref="L10" si="4">K10-J10</f>
        <v>6.9522400000000744</v>
      </c>
    </row>
    <row r="11" spans="1:13" x14ac:dyDescent="0.25">
      <c r="A11" s="39" t="s">
        <v>426</v>
      </c>
      <c r="B11" s="137">
        <v>1</v>
      </c>
      <c r="C11" s="138">
        <v>15010</v>
      </c>
      <c r="D11" s="37">
        <f t="shared" ref="D11" si="5"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.5" x14ac:dyDescent="0.5">
      <c r="A12" s="132" t="s">
        <v>39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772.75127999999995</v>
      </c>
      <c r="K12" s="10">
        <v>797</v>
      </c>
      <c r="L12" s="10">
        <f t="shared" ref="L12" si="6">K12-J12</f>
        <v>24.248720000000048</v>
      </c>
    </row>
    <row r="13" spans="1:13" x14ac:dyDescent="0.25">
      <c r="A13" s="39" t="s">
        <v>427</v>
      </c>
      <c r="B13" s="137">
        <v>1</v>
      </c>
      <c r="C13" s="138">
        <v>15400</v>
      </c>
      <c r="D13" s="37">
        <f t="shared" ref="D13" si="7"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.5" x14ac:dyDescent="0.5">
      <c r="A14" s="132" t="s">
        <v>428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425.513148</v>
      </c>
      <c r="K14" s="10">
        <v>429</v>
      </c>
      <c r="L14" s="10">
        <f t="shared" ref="L14" si="8">K14-J14</f>
        <v>3.486851999999999</v>
      </c>
    </row>
    <row r="15" spans="1:13" x14ac:dyDescent="0.25">
      <c r="A15" s="39" t="s">
        <v>429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.5" x14ac:dyDescent="0.5">
      <c r="A16" s="132" t="s">
        <v>430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417.24380399999995</v>
      </c>
      <c r="K16" s="10">
        <v>450</v>
      </c>
      <c r="L16" s="10">
        <f t="shared" ref="L16" si="10">K16-J16</f>
        <v>32.756196000000045</v>
      </c>
    </row>
    <row r="17" spans="1:13" x14ac:dyDescent="0.25">
      <c r="A17" s="39" t="s">
        <v>431</v>
      </c>
      <c r="B17" s="98">
        <v>1</v>
      </c>
      <c r="C17" s="99">
        <v>5900</v>
      </c>
      <c r="D17" s="37">
        <f t="shared" ref="D17" si="11"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.5" x14ac:dyDescent="0.5">
      <c r="A18" s="145" t="s">
        <v>432</v>
      </c>
      <c r="B18" s="126"/>
      <c r="C18" s="127"/>
      <c r="D18" s="32"/>
      <c r="E18" s="92"/>
      <c r="F18" s="126"/>
      <c r="G18" s="127"/>
      <c r="H18" s="32"/>
      <c r="I18" s="2"/>
      <c r="J18" s="52">
        <f>SUM(J19:J20)</f>
        <v>335.00977199999994</v>
      </c>
      <c r="K18" s="10">
        <v>550</v>
      </c>
      <c r="L18" s="10">
        <f t="shared" ref="L18" si="12">K18-J18</f>
        <v>214.99022800000006</v>
      </c>
    </row>
    <row r="19" spans="1:13" x14ac:dyDescent="0.25">
      <c r="A19" s="39" t="s">
        <v>433</v>
      </c>
      <c r="B19" s="121"/>
      <c r="C19" s="146"/>
      <c r="D19" s="147"/>
      <c r="E19" s="146"/>
      <c r="F19" s="121"/>
      <c r="G19" s="146"/>
      <c r="H19" s="147"/>
      <c r="I19" s="18"/>
      <c r="J19" s="78"/>
      <c r="K19" s="6"/>
      <c r="L19" s="17"/>
    </row>
    <row r="20" spans="1:13" x14ac:dyDescent="0.25">
      <c r="A20" s="39" t="s">
        <v>434</v>
      </c>
      <c r="B20" s="98">
        <v>1</v>
      </c>
      <c r="C20" s="99">
        <v>4800</v>
      </c>
      <c r="D20" s="37">
        <f t="shared" ref="D20" si="13">B20*C20</f>
        <v>4800</v>
      </c>
      <c r="E20" s="39">
        <f t="shared" ref="E20" si="14">D20*0.1</f>
        <v>480</v>
      </c>
      <c r="F20" s="98">
        <f>2300/2</f>
        <v>1150</v>
      </c>
      <c r="G20" s="99">
        <v>0.47</v>
      </c>
      <c r="H20" s="37">
        <f t="shared" ref="H20" si="15">G20*B20</f>
        <v>0.47</v>
      </c>
      <c r="I20" s="4">
        <f t="shared" ref="I20" si="16">H20*$C$2</f>
        <v>3487.3999999999996</v>
      </c>
      <c r="J20" s="51">
        <f t="shared" ref="J20" si="17">(D20+E20+F20+I20)*$C$3</f>
        <v>335.00977199999994</v>
      </c>
      <c r="K20" s="6"/>
      <c r="L20" s="17"/>
    </row>
    <row r="21" spans="1:13" ht="31.5" x14ac:dyDescent="0.5">
      <c r="A21" s="132" t="s">
        <v>333</v>
      </c>
      <c r="B21" s="126"/>
      <c r="C21" s="127"/>
      <c r="D21" s="32"/>
      <c r="E21" s="92"/>
      <c r="F21" s="126"/>
      <c r="G21" s="127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5" t="s">
        <v>438</v>
      </c>
    </row>
    <row r="22" spans="1:13" x14ac:dyDescent="0.25">
      <c r="A22" s="133" t="s">
        <v>435</v>
      </c>
      <c r="B22" s="139">
        <v>1</v>
      </c>
      <c r="C22" s="140">
        <v>18400</v>
      </c>
      <c r="D22" s="37">
        <f t="shared" ref="D22" si="18">B22*C22</f>
        <v>18400</v>
      </c>
      <c r="E22" s="39">
        <f t="shared" ref="E22" si="19">D22*0.1</f>
        <v>1840</v>
      </c>
      <c r="F22" s="117">
        <v>0</v>
      </c>
      <c r="G22" s="140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25">
      <c r="A23" s="133" t="s">
        <v>436</v>
      </c>
      <c r="B23" s="139">
        <v>1</v>
      </c>
      <c r="C23" s="140">
        <v>18400</v>
      </c>
      <c r="D23" s="37">
        <f t="shared" ref="D23:D24" si="20">B23*C23</f>
        <v>18400</v>
      </c>
      <c r="E23" s="39">
        <f t="shared" ref="E23:E24" si="21">D23*0.1</f>
        <v>1840</v>
      </c>
      <c r="F23" s="117">
        <v>0</v>
      </c>
      <c r="G23" s="140">
        <v>0.48</v>
      </c>
      <c r="H23" s="37">
        <f t="shared" ref="H23:H24" si="22">G23</f>
        <v>0.48</v>
      </c>
      <c r="I23" s="4">
        <f t="shared" ref="I23:I24" si="23">H23*$C$2</f>
        <v>3561.6</v>
      </c>
      <c r="J23" s="51">
        <f t="shared" ref="J23:J24" si="24">(D23+E23+F23+I23)*$C$3</f>
        <v>804.01804799999991</v>
      </c>
      <c r="K23" s="6"/>
      <c r="L23" s="17"/>
    </row>
    <row r="24" spans="1:13" ht="15.75" thickBot="1" x14ac:dyDescent="0.3">
      <c r="A24" s="133" t="s">
        <v>437</v>
      </c>
      <c r="B24" s="141">
        <v>1</v>
      </c>
      <c r="C24" s="142">
        <v>22400</v>
      </c>
      <c r="D24" s="37">
        <f t="shared" si="20"/>
        <v>22400</v>
      </c>
      <c r="E24" s="39">
        <f t="shared" si="21"/>
        <v>2240</v>
      </c>
      <c r="F24" s="143">
        <v>0</v>
      </c>
      <c r="G24" s="142">
        <v>0.44</v>
      </c>
      <c r="H24" s="37">
        <f t="shared" si="22"/>
        <v>0.44</v>
      </c>
      <c r="I24" s="4">
        <f t="shared" si="23"/>
        <v>3264.8</v>
      </c>
      <c r="J24" s="51">
        <f t="shared" si="24"/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5" x14ac:dyDescent="0.25"/>
  <cols>
    <col min="1" max="1" width="34.5703125" customWidth="1"/>
    <col min="3" max="3" width="18.42578125" customWidth="1"/>
    <col min="10" max="10" width="10.140625" customWidth="1"/>
    <col min="11" max="11" width="15.42578125" customWidth="1"/>
    <col min="12" max="12" width="10.7109375" customWidth="1"/>
  </cols>
  <sheetData>
    <row r="1" spans="1:13" ht="21" x14ac:dyDescent="0.35">
      <c r="A1" s="55" t="s">
        <v>283</v>
      </c>
      <c r="B1" s="4"/>
      <c r="C1" s="15">
        <v>41834</v>
      </c>
      <c r="D1" s="30"/>
    </row>
    <row r="2" spans="1:13" ht="21" x14ac:dyDescent="0.35">
      <c r="A2" s="55" t="s">
        <v>240</v>
      </c>
      <c r="B2" s="4"/>
      <c r="C2" s="16">
        <v>7550</v>
      </c>
      <c r="D2" s="30"/>
    </row>
    <row r="3" spans="1:13" ht="21" x14ac:dyDescent="0.35">
      <c r="A3" s="55" t="s">
        <v>241</v>
      </c>
      <c r="B3" s="4"/>
      <c r="C3" s="16">
        <v>3.4200000000000001E-2</v>
      </c>
      <c r="D3" s="30"/>
    </row>
    <row r="5" spans="1:13" ht="15.75" thickBot="1" x14ac:dyDescent="0.3"/>
    <row r="6" spans="1:13" ht="60" x14ac:dyDescent="0.25">
      <c r="A6" s="91"/>
      <c r="B6" s="94" t="s">
        <v>3</v>
      </c>
      <c r="C6" s="95" t="s">
        <v>350</v>
      </c>
      <c r="D6" s="93" t="s">
        <v>5</v>
      </c>
      <c r="E6" s="91" t="s">
        <v>403</v>
      </c>
      <c r="F6" s="94" t="s">
        <v>352</v>
      </c>
      <c r="G6" s="95" t="s">
        <v>7</v>
      </c>
      <c r="H6" s="93" t="s">
        <v>10</v>
      </c>
      <c r="I6" s="8" t="s">
        <v>353</v>
      </c>
      <c r="J6" s="49" t="s">
        <v>16</v>
      </c>
      <c r="K6" s="8" t="s">
        <v>143</v>
      </c>
      <c r="L6" s="8" t="s">
        <v>144</v>
      </c>
    </row>
    <row r="7" spans="1:13" ht="31.5" x14ac:dyDescent="0.5">
      <c r="A7" s="132" t="s">
        <v>428</v>
      </c>
      <c r="B7" s="126"/>
      <c r="C7" s="127"/>
      <c r="D7" s="32"/>
      <c r="E7" s="92"/>
      <c r="F7" s="126"/>
      <c r="G7" s="127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5"/>
    </row>
    <row r="8" spans="1:13" x14ac:dyDescent="0.25">
      <c r="A8" s="133" t="s">
        <v>67</v>
      </c>
      <c r="B8" s="139">
        <v>1</v>
      </c>
      <c r="C8" s="140">
        <v>10900</v>
      </c>
      <c r="D8" s="37">
        <f t="shared" ref="D8:D12" si="0">B8*C8</f>
        <v>10900</v>
      </c>
      <c r="E8" s="39">
        <f t="shared" ref="E8:E12" si="1">D8*0.1</f>
        <v>1090</v>
      </c>
      <c r="F8" s="117">
        <v>0</v>
      </c>
      <c r="G8" s="140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25">
      <c r="A9" s="133" t="s">
        <v>200</v>
      </c>
      <c r="B9" s="139">
        <v>1</v>
      </c>
      <c r="C9" s="140">
        <v>7200</v>
      </c>
      <c r="D9" s="37">
        <f t="shared" ref="D9:D10" si="2">B9*C9</f>
        <v>7200</v>
      </c>
      <c r="E9" s="39">
        <f t="shared" ref="E9:E10" si="3">D9*0.1</f>
        <v>720</v>
      </c>
      <c r="F9" s="117">
        <v>0</v>
      </c>
      <c r="G9" s="140">
        <v>0.1</v>
      </c>
      <c r="H9" s="37">
        <f t="shared" ref="H9:H10" si="4">G9</f>
        <v>0.1</v>
      </c>
      <c r="I9" s="4">
        <f t="shared" ref="I9:I10" si="5">H9*$C$2</f>
        <v>755</v>
      </c>
      <c r="J9" s="51">
        <f t="shared" ref="J9:J10" si="6">(D9+E9+F9+I9)*$C$3</f>
        <v>296.685</v>
      </c>
      <c r="K9" s="6"/>
      <c r="L9" s="17"/>
    </row>
    <row r="10" spans="1:13" x14ac:dyDescent="0.25">
      <c r="A10" s="133" t="s">
        <v>440</v>
      </c>
      <c r="B10" s="139">
        <v>1</v>
      </c>
      <c r="C10" s="140">
        <v>7900</v>
      </c>
      <c r="D10" s="37">
        <f t="shared" si="2"/>
        <v>7900</v>
      </c>
      <c r="E10" s="39">
        <f t="shared" si="3"/>
        <v>790</v>
      </c>
      <c r="F10" s="117">
        <v>2500</v>
      </c>
      <c r="G10" s="140">
        <v>0.33</v>
      </c>
      <c r="H10" s="37">
        <f t="shared" si="4"/>
        <v>0.33</v>
      </c>
      <c r="I10" s="4">
        <f t="shared" si="5"/>
        <v>2491.5</v>
      </c>
      <c r="J10" s="51">
        <f t="shared" si="6"/>
        <v>467.90730000000002</v>
      </c>
      <c r="K10" s="6"/>
      <c r="L10" s="17"/>
    </row>
    <row r="11" spans="1:13" x14ac:dyDescent="0.25">
      <c r="A11" s="133" t="s">
        <v>441</v>
      </c>
      <c r="B11" s="148">
        <v>2</v>
      </c>
      <c r="C11" s="140">
        <v>2700</v>
      </c>
      <c r="D11" s="37">
        <f>B11*C11</f>
        <v>5400</v>
      </c>
      <c r="E11" s="39">
        <f>D11*0.1</f>
        <v>540</v>
      </c>
      <c r="F11" s="117">
        <v>2500</v>
      </c>
      <c r="G11" s="140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25">
      <c r="A12" s="133" t="s">
        <v>105</v>
      </c>
      <c r="B12" s="139">
        <v>1</v>
      </c>
      <c r="C12" s="140">
        <v>11800</v>
      </c>
      <c r="D12" s="37">
        <f t="shared" si="0"/>
        <v>11800</v>
      </c>
      <c r="E12" s="39">
        <f t="shared" si="1"/>
        <v>1180</v>
      </c>
      <c r="F12" s="117">
        <v>0</v>
      </c>
      <c r="G12" s="140">
        <v>0.56000000000000005</v>
      </c>
      <c r="H12" s="37">
        <f t="shared" ref="H12" si="7">G12</f>
        <v>0.56000000000000005</v>
      </c>
      <c r="I12" s="4">
        <f t="shared" ref="I12" si="8">H12*$C$2</f>
        <v>4228</v>
      </c>
      <c r="J12" s="51">
        <f t="shared" ref="J12" si="9">(D12+E12+F12+I12)*$C$3</f>
        <v>588.5136</v>
      </c>
      <c r="K12" s="6"/>
      <c r="L12" s="17"/>
    </row>
    <row r="13" spans="1:13" ht="31.5" x14ac:dyDescent="0.5">
      <c r="A13" s="132" t="s">
        <v>333</v>
      </c>
      <c r="B13" s="149"/>
      <c r="C13" s="150"/>
      <c r="D13" s="32"/>
      <c r="E13" s="92"/>
      <c r="F13" s="149"/>
      <c r="G13" s="150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5"/>
    </row>
    <row r="14" spans="1:13" x14ac:dyDescent="0.25">
      <c r="A14" s="133" t="s">
        <v>442</v>
      </c>
      <c r="B14" s="98">
        <v>1</v>
      </c>
      <c r="C14" s="99">
        <f>19900+9800</f>
        <v>29700</v>
      </c>
      <c r="D14" s="37">
        <f t="shared" ref="D14:D16" si="10">B14*C14</f>
        <v>29700</v>
      </c>
      <c r="E14" s="39">
        <f t="shared" ref="E14:E16" si="11"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25">
      <c r="A15" s="133" t="s">
        <v>443</v>
      </c>
      <c r="B15" s="98">
        <v>1</v>
      </c>
      <c r="C15" s="99">
        <f>19900-5000</f>
        <v>14900</v>
      </c>
      <c r="D15" s="37">
        <f t="shared" si="10"/>
        <v>14900</v>
      </c>
      <c r="E15" s="39">
        <f t="shared" si="11"/>
        <v>1490</v>
      </c>
      <c r="F15" s="98">
        <v>0</v>
      </c>
      <c r="G15" s="99">
        <v>0.4</v>
      </c>
      <c r="H15" s="37">
        <f t="shared" ref="H15:H16" si="12">G15</f>
        <v>0.4</v>
      </c>
      <c r="I15" s="4">
        <f t="shared" ref="I15:I16" si="13">H15*$C$2</f>
        <v>3020</v>
      </c>
      <c r="J15" s="51">
        <f t="shared" ref="J15:J16" si="14">(D15+E15+F15+I15)*$C$3</f>
        <v>663.822</v>
      </c>
      <c r="K15" s="6"/>
      <c r="L15" s="17"/>
    </row>
    <row r="16" spans="1:13" x14ac:dyDescent="0.25">
      <c r="A16" s="39" t="s">
        <v>57</v>
      </c>
      <c r="B16" s="98">
        <v>1</v>
      </c>
      <c r="C16" s="99">
        <v>10000</v>
      </c>
      <c r="D16" s="37">
        <f t="shared" si="10"/>
        <v>10000</v>
      </c>
      <c r="E16" s="39">
        <f t="shared" si="11"/>
        <v>1000</v>
      </c>
      <c r="F16" s="98">
        <v>0</v>
      </c>
      <c r="G16" s="99">
        <v>0.28000000000000003</v>
      </c>
      <c r="H16" s="37">
        <f t="shared" si="12"/>
        <v>0.28000000000000003</v>
      </c>
      <c r="I16" s="4">
        <f t="shared" si="13"/>
        <v>2114</v>
      </c>
      <c r="J16" s="51">
        <f t="shared" si="14"/>
        <v>448.49880000000002</v>
      </c>
      <c r="K16" s="6"/>
      <c r="L16" s="17"/>
    </row>
    <row r="17" spans="1:13" ht="31.5" x14ac:dyDescent="0.5">
      <c r="A17" s="132" t="s">
        <v>165</v>
      </c>
      <c r="B17" s="126"/>
      <c r="C17" s="127"/>
      <c r="D17" s="32"/>
      <c r="E17" s="92"/>
      <c r="F17" s="126"/>
      <c r="G17" s="127"/>
      <c r="H17" s="32"/>
      <c r="I17" s="2"/>
      <c r="J17" s="52">
        <f>J18</f>
        <v>522.55889999999999</v>
      </c>
      <c r="K17" s="10">
        <f>511-59+71</f>
        <v>523</v>
      </c>
      <c r="L17" s="10">
        <f t="shared" ref="L17" si="15">K17-J17</f>
        <v>0.44110000000000582</v>
      </c>
      <c r="M17" s="135" t="s">
        <v>456</v>
      </c>
    </row>
    <row r="18" spans="1:13" x14ac:dyDescent="0.25">
      <c r="A18" s="39" t="s">
        <v>453</v>
      </c>
      <c r="B18" s="117">
        <v>1</v>
      </c>
      <c r="C18" s="118">
        <v>11900</v>
      </c>
      <c r="D18" s="37">
        <f t="shared" ref="D18" si="16">B18*C18</f>
        <v>11900</v>
      </c>
      <c r="E18" s="39">
        <f>D18*0.1</f>
        <v>1190</v>
      </c>
      <c r="F18" s="117">
        <v>0</v>
      </c>
      <c r="G18" s="118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.5" x14ac:dyDescent="0.5">
      <c r="A19" s="132" t="s">
        <v>444</v>
      </c>
      <c r="B19" s="126"/>
      <c r="C19" s="127"/>
      <c r="D19" s="32"/>
      <c r="E19" s="92"/>
      <c r="F19" s="126"/>
      <c r="G19" s="127"/>
      <c r="H19" s="32"/>
      <c r="I19" s="2"/>
      <c r="J19" s="52">
        <f>J20</f>
        <v>1544.9850000000001</v>
      </c>
      <c r="K19" s="10">
        <f>1511+34</f>
        <v>1545</v>
      </c>
      <c r="L19" s="10">
        <f t="shared" ref="L19" si="17">K19-J19</f>
        <v>1.4999999999872671E-2</v>
      </c>
      <c r="M19" s="136"/>
    </row>
    <row r="20" spans="1:13" x14ac:dyDescent="0.25">
      <c r="A20" s="39" t="s">
        <v>445</v>
      </c>
      <c r="B20" s="128">
        <v>5</v>
      </c>
      <c r="C20" s="118">
        <v>5700</v>
      </c>
      <c r="D20" s="37">
        <f t="shared" ref="D20" si="18">B20*C20</f>
        <v>28500</v>
      </c>
      <c r="E20" s="39">
        <f>D20*0.1</f>
        <v>2850</v>
      </c>
      <c r="F20" s="117">
        <v>2500</v>
      </c>
      <c r="G20" s="118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.5" x14ac:dyDescent="0.5">
      <c r="A21" s="132" t="s">
        <v>448</v>
      </c>
      <c r="B21" s="126"/>
      <c r="C21" s="127"/>
      <c r="D21" s="32"/>
      <c r="E21" s="92"/>
      <c r="F21" s="126"/>
      <c r="G21" s="127"/>
      <c r="H21" s="32"/>
      <c r="I21" s="2"/>
      <c r="J21" s="52">
        <f>J22</f>
        <v>741.64409999999998</v>
      </c>
      <c r="K21" s="10">
        <f>726+16</f>
        <v>742</v>
      </c>
      <c r="L21" s="10">
        <f t="shared" ref="L21" si="19">K21-J21</f>
        <v>0.35590000000001965</v>
      </c>
    </row>
    <row r="22" spans="1:13" x14ac:dyDescent="0.25">
      <c r="A22" s="39" t="s">
        <v>449</v>
      </c>
      <c r="B22" s="98">
        <v>1</v>
      </c>
      <c r="C22" s="99">
        <v>16900</v>
      </c>
      <c r="D22" s="37">
        <f t="shared" ref="D22" si="20"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.5" x14ac:dyDescent="0.5">
      <c r="A23" s="132" t="s">
        <v>226</v>
      </c>
      <c r="B23" s="126"/>
      <c r="C23" s="127"/>
      <c r="D23" s="32"/>
      <c r="E23" s="92"/>
      <c r="F23" s="126"/>
      <c r="G23" s="127"/>
      <c r="H23" s="32"/>
      <c r="I23" s="2"/>
      <c r="J23" s="52">
        <f>J24</f>
        <v>741.64409999999998</v>
      </c>
      <c r="K23" s="10">
        <f>726+18</f>
        <v>744</v>
      </c>
      <c r="L23" s="10">
        <f t="shared" ref="L23" si="21">K23-J23</f>
        <v>2.3559000000000196</v>
      </c>
    </row>
    <row r="24" spans="1:13" x14ac:dyDescent="0.25">
      <c r="A24" s="39" t="s">
        <v>449</v>
      </c>
      <c r="B24" s="98">
        <v>1</v>
      </c>
      <c r="C24" s="99">
        <v>16900</v>
      </c>
      <c r="D24" s="37">
        <f t="shared" ref="D24" si="22"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.5" x14ac:dyDescent="0.5">
      <c r="A25" s="132" t="s">
        <v>450</v>
      </c>
      <c r="B25" s="126"/>
      <c r="C25" s="127"/>
      <c r="D25" s="32"/>
      <c r="E25" s="92"/>
      <c r="F25" s="126"/>
      <c r="G25" s="127"/>
      <c r="H25" s="32"/>
      <c r="I25" s="2"/>
      <c r="J25" s="52">
        <f>J26</f>
        <v>370.82204999999999</v>
      </c>
      <c r="K25" s="10">
        <f>363+8</f>
        <v>371</v>
      </c>
      <c r="L25" s="10">
        <f t="shared" ref="L25" si="23">K25-J25</f>
        <v>0.17795000000000982</v>
      </c>
    </row>
    <row r="26" spans="1:13" x14ac:dyDescent="0.25">
      <c r="A26" s="39" t="s">
        <v>451</v>
      </c>
      <c r="B26" s="98">
        <v>1</v>
      </c>
      <c r="C26" s="99">
        <f>16900/2</f>
        <v>8450</v>
      </c>
      <c r="D26" s="37">
        <f t="shared" ref="D26" si="24"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.5" x14ac:dyDescent="0.5">
      <c r="A27" s="132" t="s">
        <v>452</v>
      </c>
      <c r="B27" s="126"/>
      <c r="C27" s="127"/>
      <c r="D27" s="32"/>
      <c r="E27" s="92"/>
      <c r="F27" s="126"/>
      <c r="G27" s="127"/>
      <c r="H27" s="32"/>
      <c r="I27" s="2"/>
      <c r="J27" s="52">
        <f>J28</f>
        <v>370.82204999999999</v>
      </c>
      <c r="K27" s="10">
        <f>363+8</f>
        <v>371</v>
      </c>
      <c r="L27" s="10">
        <f t="shared" ref="L27" si="25">K27-J27</f>
        <v>0.17795000000000982</v>
      </c>
    </row>
    <row r="28" spans="1:13" x14ac:dyDescent="0.25">
      <c r="A28" s="39" t="s">
        <v>451</v>
      </c>
      <c r="B28" s="98">
        <v>1</v>
      </c>
      <c r="C28" s="99">
        <f>16900/2</f>
        <v>8450</v>
      </c>
      <c r="D28" s="37">
        <f t="shared" ref="D28" si="26"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.5" x14ac:dyDescent="0.5">
      <c r="A29" s="132" t="s">
        <v>446</v>
      </c>
      <c r="B29" s="126"/>
      <c r="C29" s="127"/>
      <c r="D29" s="32"/>
      <c r="E29" s="92"/>
      <c r="F29" s="126"/>
      <c r="G29" s="127"/>
      <c r="H29" s="32"/>
      <c r="I29" s="2"/>
      <c r="J29" s="52">
        <f>J30</f>
        <v>983.76300000000003</v>
      </c>
      <c r="K29" s="10">
        <f>962+22</f>
        <v>984</v>
      </c>
      <c r="L29" s="10">
        <f t="shared" ref="L29" si="27">K29-J29</f>
        <v>0.23699999999996635</v>
      </c>
    </row>
    <row r="30" spans="1:13" x14ac:dyDescent="0.25">
      <c r="A30" s="39" t="s">
        <v>447</v>
      </c>
      <c r="B30" s="117">
        <v>3</v>
      </c>
      <c r="C30" s="118">
        <v>5900</v>
      </c>
      <c r="D30" s="37">
        <f t="shared" ref="D30" si="28">B30*C30</f>
        <v>17700</v>
      </c>
      <c r="E30" s="39">
        <f>D30*0.1</f>
        <v>1770</v>
      </c>
      <c r="F30" s="117">
        <v>2500</v>
      </c>
      <c r="G30" s="118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.5" x14ac:dyDescent="0.5">
      <c r="A31" s="145" t="s">
        <v>432</v>
      </c>
      <c r="B31" s="126"/>
      <c r="C31" s="127"/>
      <c r="D31" s="32"/>
      <c r="E31" s="92"/>
      <c r="F31" s="126"/>
      <c r="G31" s="127"/>
      <c r="H31" s="32"/>
      <c r="I31" s="2"/>
      <c r="J31" s="52">
        <f>SUM(J32:J33)</f>
        <v>212.9178</v>
      </c>
      <c r="K31" s="10"/>
      <c r="L31" s="10">
        <f t="shared" ref="L31" si="29">K31-J31</f>
        <v>-212.9178</v>
      </c>
    </row>
    <row r="32" spans="1:13" ht="15.75" thickBot="1" x14ac:dyDescent="0.3">
      <c r="A32" s="39" t="s">
        <v>433</v>
      </c>
      <c r="B32" s="143">
        <v>1</v>
      </c>
      <c r="C32" s="151">
        <f>11900/3</f>
        <v>3966.6666666666665</v>
      </c>
      <c r="D32" s="144">
        <f t="shared" ref="D32" si="30">B32*C32</f>
        <v>3966.6666666666665</v>
      </c>
      <c r="E32" s="152">
        <f>D32*0.1</f>
        <v>396.66666666666669</v>
      </c>
      <c r="F32" s="143">
        <v>0</v>
      </c>
      <c r="G32" s="151">
        <f>0.74/3</f>
        <v>0.24666666666666667</v>
      </c>
      <c r="H32" s="144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5" x14ac:dyDescent="0.25"/>
  <cols>
    <col min="1" max="1" width="36.5703125" customWidth="1"/>
    <col min="3" max="3" width="19.5703125" customWidth="1"/>
    <col min="11" max="11" width="11.7109375" customWidth="1"/>
    <col min="12" max="12" width="11.5703125" customWidth="1"/>
  </cols>
  <sheetData>
    <row r="1" spans="1:13" ht="21" x14ac:dyDescent="0.35">
      <c r="A1" s="55" t="s">
        <v>283</v>
      </c>
      <c r="B1" s="4"/>
      <c r="C1" s="15">
        <v>41847</v>
      </c>
      <c r="D1" s="30"/>
    </row>
    <row r="2" spans="1:13" ht="21" x14ac:dyDescent="0.35">
      <c r="A2" s="55" t="s">
        <v>240</v>
      </c>
      <c r="B2" s="4"/>
      <c r="C2" s="16">
        <v>7470</v>
      </c>
      <c r="D2" s="30"/>
    </row>
    <row r="3" spans="1:13" ht="21" x14ac:dyDescent="0.35">
      <c r="A3" s="55" t="s">
        <v>241</v>
      </c>
      <c r="B3" s="4"/>
      <c r="C3" s="16">
        <v>3.5000000000000003E-2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384</v>
      </c>
      <c r="B6" s="154"/>
      <c r="C6" s="154"/>
      <c r="D6" s="32"/>
      <c r="E6" s="92"/>
      <c r="F6" s="149"/>
      <c r="G6" s="150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5"/>
    </row>
    <row r="7" spans="1:13" x14ac:dyDescent="0.25">
      <c r="A7" s="4" t="s">
        <v>263</v>
      </c>
      <c r="B7" s="4">
        <v>1</v>
      </c>
      <c r="C7" s="4">
        <v>7900</v>
      </c>
      <c r="D7" s="37">
        <f t="shared" ref="D7:D8" si="0">B7*C7</f>
        <v>7900</v>
      </c>
      <c r="E7" s="39">
        <f t="shared" ref="E7:E8" si="1"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25">
      <c r="A8" s="4" t="s">
        <v>457</v>
      </c>
      <c r="B8" s="4">
        <v>1</v>
      </c>
      <c r="C8" s="4">
        <v>9900</v>
      </c>
      <c r="D8" s="37">
        <f t="shared" si="0"/>
        <v>9900</v>
      </c>
      <c r="E8" s="39">
        <f t="shared" si="1"/>
        <v>990</v>
      </c>
      <c r="F8" s="4">
        <v>2500</v>
      </c>
      <c r="G8" s="4">
        <v>0.14000000000000001</v>
      </c>
      <c r="H8" s="37">
        <f t="shared" ref="H8" si="2">G8</f>
        <v>0.14000000000000001</v>
      </c>
      <c r="I8" s="4">
        <f t="shared" ref="I8" si="3">H8*$C$2</f>
        <v>1045.8000000000002</v>
      </c>
      <c r="J8" s="51">
        <f t="shared" ref="J8" si="4">(D8+E8+F8+I8)*$C$3</f>
        <v>505.25300000000004</v>
      </c>
      <c r="K8" s="6"/>
      <c r="L8" s="17"/>
    </row>
    <row r="9" spans="1:13" ht="31.5" x14ac:dyDescent="0.5">
      <c r="A9" s="155" t="s">
        <v>458</v>
      </c>
      <c r="B9" s="154"/>
      <c r="C9" s="154"/>
      <c r="D9" s="32"/>
      <c r="E9" s="92"/>
      <c r="F9" s="154"/>
      <c r="G9" s="154"/>
      <c r="H9" s="32"/>
      <c r="I9" s="2"/>
      <c r="J9" s="52">
        <f>J10</f>
        <v>494.79500000000007</v>
      </c>
      <c r="K9" s="10">
        <f>484+11</f>
        <v>495</v>
      </c>
      <c r="L9" s="10">
        <f t="shared" ref="L9" si="5">K9-J9</f>
        <v>0.20499999999992724</v>
      </c>
      <c r="M9" s="135"/>
    </row>
    <row r="10" spans="1:13" x14ac:dyDescent="0.25">
      <c r="A10" s="4" t="s">
        <v>459</v>
      </c>
      <c r="B10" s="4">
        <v>1</v>
      </c>
      <c r="C10" s="4">
        <v>9900</v>
      </c>
      <c r="D10" s="37">
        <f t="shared" ref="D10" si="6"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.5" x14ac:dyDescent="0.5">
      <c r="A11" s="153" t="s">
        <v>39</v>
      </c>
      <c r="B11" s="154"/>
      <c r="C11" s="154"/>
      <c r="D11" s="32"/>
      <c r="E11" s="92"/>
      <c r="F11" s="154"/>
      <c r="G11" s="154"/>
      <c r="H11" s="32"/>
      <c r="I11" s="2"/>
      <c r="J11" s="52">
        <f>J12</f>
        <v>537.73300000000006</v>
      </c>
      <c r="K11" s="10">
        <f>519+11</f>
        <v>530</v>
      </c>
      <c r="L11" s="10">
        <f t="shared" ref="L11" si="7">K11-J11</f>
        <v>-7.7330000000000609</v>
      </c>
      <c r="M11" s="136"/>
    </row>
    <row r="12" spans="1:13" x14ac:dyDescent="0.25">
      <c r="A12" s="17" t="s">
        <v>460</v>
      </c>
      <c r="B12" s="4">
        <v>1</v>
      </c>
      <c r="C12" s="4">
        <v>10300</v>
      </c>
      <c r="D12" s="37">
        <f t="shared" ref="D12" si="8"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.5" x14ac:dyDescent="0.5">
      <c r="A13" s="153" t="s">
        <v>461</v>
      </c>
      <c r="B13" s="154"/>
      <c r="C13" s="154"/>
      <c r="D13" s="32"/>
      <c r="E13" s="92"/>
      <c r="F13" s="154"/>
      <c r="G13" s="154"/>
      <c r="H13" s="32"/>
      <c r="I13" s="2"/>
      <c r="J13" s="52">
        <f>J14</f>
        <v>423.08000000000004</v>
      </c>
      <c r="K13" s="10">
        <f>421+2</f>
        <v>423</v>
      </c>
      <c r="L13" s="10">
        <f t="shared" ref="L13" si="9">K13-J13</f>
        <v>-8.0000000000040927E-2</v>
      </c>
    </row>
    <row r="14" spans="1:13" x14ac:dyDescent="0.25">
      <c r="A14" s="4" t="s">
        <v>462</v>
      </c>
      <c r="B14" s="21">
        <v>1</v>
      </c>
      <c r="C14" s="21">
        <v>6000</v>
      </c>
      <c r="D14" s="4">
        <f t="shared" ref="D14" si="10"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7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f>30.3</f>
        <v>30.3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.25" x14ac:dyDescent="0.4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6.11</v>
      </c>
      <c r="D12" s="4">
        <f t="shared" ref="D12:D14" si="0">B12*C12</f>
        <v>12.22</v>
      </c>
      <c r="E12" s="4">
        <f t="shared" ref="E12:E14" si="1"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2.8000000000000003</v>
      </c>
      <c r="I12" s="4">
        <f t="shared" ref="I12:I22" si="3">D12+F12+H12+E12</f>
        <v>16.311</v>
      </c>
      <c r="J12" s="9">
        <f t="shared" ref="J12:J62" si="4">I12*$C$4</f>
        <v>494.22329999999999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1.4000000000000001</v>
      </c>
      <c r="I13" s="4">
        <f t="shared" si="3"/>
        <v>6.605666666666667</v>
      </c>
      <c r="J13" s="9">
        <f t="shared" si="4"/>
        <v>200.15170000000001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2.1</v>
      </c>
      <c r="I14" s="4">
        <f t="shared" si="3"/>
        <v>9.9644999999999992</v>
      </c>
      <c r="J14" s="9">
        <f t="shared" si="4"/>
        <v>301.92435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 t="shared" ref="L15:L74" si="6">J15-K15</f>
        <v>0.46887500000002547</v>
      </c>
    </row>
    <row r="16" spans="1:12" ht="26.25" x14ac:dyDescent="0.4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2"/>
        <v>6.2999999999999989</v>
      </c>
      <c r="I16" s="4">
        <f t="shared" si="3"/>
        <v>40.949999999999996</v>
      </c>
      <c r="J16" s="9">
        <f t="shared" si="4"/>
        <v>1240.7849999999999</v>
      </c>
      <c r="K16" s="9"/>
      <c r="L16" s="10"/>
    </row>
    <row r="17" spans="1:12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2"/>
        <v>6.2999999999999989</v>
      </c>
      <c r="I17" s="4">
        <f t="shared" si="3"/>
        <v>32.928000000000004</v>
      </c>
      <c r="J17" s="9">
        <f t="shared" si="4"/>
        <v>997.7184000000002</v>
      </c>
      <c r="K17" s="9"/>
      <c r="L17" s="10"/>
    </row>
    <row r="18" spans="1:12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1.4000000000000001</v>
      </c>
      <c r="I18" s="4">
        <f t="shared" si="3"/>
        <v>8.2634999999999987</v>
      </c>
      <c r="J18" s="9">
        <f t="shared" si="4"/>
        <v>250.38404999999997</v>
      </c>
      <c r="K18" s="9"/>
      <c r="L18" s="10"/>
    </row>
    <row r="19" spans="1:12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0.70000000000000007</v>
      </c>
      <c r="I19" s="4">
        <f t="shared" si="3"/>
        <v>5.6297500000000005</v>
      </c>
      <c r="J19" s="9">
        <f t="shared" si="4"/>
        <v>170.58142500000002</v>
      </c>
      <c r="K19" s="9"/>
      <c r="L19" s="10"/>
    </row>
    <row r="20" spans="1:12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 t="shared" si="6"/>
        <v>0.17570000000000618</v>
      </c>
    </row>
    <row r="21" spans="1:12" ht="26.25" x14ac:dyDescent="0.4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2"/>
        <v>4.2000000000000011</v>
      </c>
      <c r="I21" s="4">
        <f t="shared" si="3"/>
        <v>24.466500000000003</v>
      </c>
      <c r="J21" s="9">
        <f t="shared" si="4"/>
        <v>741.33495000000016</v>
      </c>
      <c r="K21" s="9"/>
      <c r="L21" s="10"/>
    </row>
    <row r="22" spans="1:12" ht="26.25" x14ac:dyDescent="0.4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2"/>
        <v>6.2999999999999989</v>
      </c>
      <c r="I22" s="4">
        <f t="shared" si="3"/>
        <v>17.552499999999995</v>
      </c>
      <c r="J22" s="9">
        <f t="shared" si="4"/>
        <v>531.84074999999984</v>
      </c>
      <c r="K22" s="9"/>
      <c r="L22" s="10"/>
    </row>
    <row r="23" spans="1:12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.25" x14ac:dyDescent="0.4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 t="shared" ref="E24:E25" si="8"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4"/>
        <v>417.51885000000004</v>
      </c>
      <c r="K24" s="9"/>
      <c r="L24" s="10"/>
    </row>
    <row r="25" spans="1:12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4"/>
        <v>217.19039999999998</v>
      </c>
      <c r="K25" s="9"/>
      <c r="L25" s="10"/>
    </row>
    <row r="26" spans="1:12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 t="shared" si="6"/>
        <v>0.49445000000014261</v>
      </c>
    </row>
    <row r="27" spans="1:12" ht="26.25" x14ac:dyDescent="0.4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4"/>
        <v>626.01315</v>
      </c>
      <c r="K27" s="9"/>
      <c r="L27" s="10"/>
    </row>
    <row r="28" spans="1:12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4"/>
        <v>490.79940000000005</v>
      </c>
      <c r="K28" s="9"/>
      <c r="L28" s="10"/>
    </row>
    <row r="29" spans="1:12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4"/>
        <v>453.68189999999998</v>
      </c>
      <c r="K29" s="9"/>
      <c r="L29" s="10"/>
    </row>
    <row r="30" spans="1:12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4"/>
        <v>575.00310000000002</v>
      </c>
      <c r="K31" s="9"/>
      <c r="L31" s="10"/>
    </row>
    <row r="32" spans="1:12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0.70000000000000007</v>
      </c>
      <c r="I32" s="4">
        <f t="shared" ref="I32" si="11">D32+F32+H32+E32</f>
        <v>5.6297500000000005</v>
      </c>
      <c r="J32" s="9">
        <f t="shared" si="4"/>
        <v>170.58142500000002</v>
      </c>
      <c r="K32" s="9"/>
      <c r="L32" s="10"/>
    </row>
    <row r="33" spans="1:12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2.38</v>
      </c>
      <c r="G34" s="4">
        <v>0.4</v>
      </c>
      <c r="H34" s="4">
        <f>G34*$C$2</f>
        <v>2.8000000000000003</v>
      </c>
      <c r="I34" s="4">
        <f>D34+F34+H34+E34</f>
        <v>13.3385</v>
      </c>
      <c r="J34" s="9">
        <f t="shared" si="4"/>
        <v>404.15654999999998</v>
      </c>
      <c r="K34" s="9"/>
      <c r="L34" s="10"/>
    </row>
    <row r="35" spans="1:12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2.38</v>
      </c>
      <c r="G35" s="4">
        <v>0.2</v>
      </c>
      <c r="H35" s="4">
        <f t="shared" ref="H35:H39" si="13">G35*$C$2</f>
        <v>1.4000000000000001</v>
      </c>
      <c r="I35" s="4">
        <f t="shared" ref="I35:I39" si="14">D35+F35+H35+E35</f>
        <v>12.400500000000001</v>
      </c>
      <c r="J35" s="9">
        <f t="shared" si="4"/>
        <v>375.73515000000003</v>
      </c>
      <c r="K35" s="9"/>
      <c r="L35" s="10"/>
    </row>
    <row r="36" spans="1:12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2.38</v>
      </c>
      <c r="G36" s="4">
        <v>0.2</v>
      </c>
      <c r="H36" s="4">
        <f t="shared" si="13"/>
        <v>1.4000000000000001</v>
      </c>
      <c r="I36" s="4">
        <f t="shared" si="14"/>
        <v>11.508000000000001</v>
      </c>
      <c r="J36" s="9">
        <f t="shared" si="4"/>
        <v>348.69240000000002</v>
      </c>
      <c r="K36" s="9"/>
      <c r="L36" s="10"/>
    </row>
    <row r="37" spans="1:12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2.38</v>
      </c>
      <c r="G37" s="4">
        <v>0.2</v>
      </c>
      <c r="H37" s="4">
        <f t="shared" si="13"/>
        <v>1.4000000000000001</v>
      </c>
      <c r="I37" s="4">
        <f t="shared" si="14"/>
        <v>11.938499999999999</v>
      </c>
      <c r="J37" s="9">
        <f t="shared" si="4"/>
        <v>361.73654999999997</v>
      </c>
      <c r="K37" s="9"/>
      <c r="L37" s="10"/>
    </row>
    <row r="38" spans="1:12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2.38</v>
      </c>
      <c r="G38" s="4">
        <v>0.3</v>
      </c>
      <c r="H38" s="4">
        <f t="shared" si="13"/>
        <v>2.1</v>
      </c>
      <c r="I38" s="4">
        <f t="shared" si="14"/>
        <v>12.638499999999999</v>
      </c>
      <c r="J38" s="9">
        <f t="shared" si="4"/>
        <v>382.94654999999995</v>
      </c>
      <c r="K38" s="9"/>
      <c r="L38" s="10"/>
    </row>
    <row r="39" spans="1:12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2.38</v>
      </c>
      <c r="G39" s="4">
        <v>0.3</v>
      </c>
      <c r="H39" s="4">
        <f t="shared" si="13"/>
        <v>2.1</v>
      </c>
      <c r="I39" s="4">
        <f t="shared" si="14"/>
        <v>16.344999999999999</v>
      </c>
      <c r="J39" s="9">
        <f t="shared" si="4"/>
        <v>495.25349999999997</v>
      </c>
      <c r="K39" s="9"/>
      <c r="L39" s="10"/>
    </row>
    <row r="40" spans="1:12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 t="shared" si="6"/>
        <v>0.15170000000000528</v>
      </c>
    </row>
    <row r="41" spans="1:12" ht="26.25" x14ac:dyDescent="0.4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4"/>
        <v>200.15170000000001</v>
      </c>
      <c r="K41" s="9"/>
      <c r="L41" s="10"/>
    </row>
    <row r="42" spans="1:12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 t="shared" si="6"/>
        <v>-0.28829999999999245</v>
      </c>
    </row>
    <row r="43" spans="1:12" ht="26.25" x14ac:dyDescent="0.4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4"/>
        <v>295.2432</v>
      </c>
      <c r="K43" s="9"/>
      <c r="L43" s="10"/>
    </row>
    <row r="44" spans="1:12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4"/>
        <v>163.46850000000001</v>
      </c>
      <c r="K44" s="9"/>
      <c r="L44" s="10"/>
    </row>
    <row r="45" spans="1:12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 t="shared" si="6"/>
        <v>-0.3277499999999236</v>
      </c>
    </row>
    <row r="46" spans="1:12" ht="26.25" x14ac:dyDescent="0.4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4"/>
        <v>199.1619</v>
      </c>
      <c r="K46" s="9"/>
      <c r="L46" s="10"/>
    </row>
    <row r="47" spans="1:12" ht="26.25" x14ac:dyDescent="0.4">
      <c r="A47" s="7" t="s">
        <v>56</v>
      </c>
      <c r="B47" s="4">
        <v>1</v>
      </c>
      <c r="C47" s="4">
        <v>3.61</v>
      </c>
      <c r="D47" s="4">
        <v>3.61</v>
      </c>
      <c r="E47" s="4">
        <f t="shared" ref="E47:E50" si="18"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4"/>
        <v>250.59615000000002</v>
      </c>
      <c r="K47" s="9"/>
      <c r="L47" s="10"/>
    </row>
    <row r="48" spans="1:12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4"/>
        <v>379.44690000000003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4"/>
        <v>506.17665000000005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4"/>
        <v>578.29065000000003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 t="shared" si="6"/>
        <v>0.24644999999998163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4"/>
        <v>377.39660000000003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8.5399999999999991</v>
      </c>
      <c r="D53" s="4">
        <f t="shared" si="19"/>
        <v>8.5399999999999991</v>
      </c>
      <c r="E53" s="4">
        <f t="shared" ref="E53:E54" si="20"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4"/>
        <v>314.12009999999998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2.65</v>
      </c>
      <c r="D54" s="4">
        <f>C54</f>
        <v>2.65</v>
      </c>
      <c r="E54" s="4">
        <f t="shared" si="20"/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4"/>
        <v>126.72975000000001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 t="shared" si="6"/>
        <v>-0.35999999999989996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 t="shared" ref="D56:D59" si="21"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4"/>
        <v>377.39660000000003</v>
      </c>
      <c r="K56" s="9"/>
      <c r="L56" s="10"/>
    </row>
    <row r="57" spans="1:12" ht="26.25" x14ac:dyDescent="0.4">
      <c r="A57" s="7" t="s">
        <v>64</v>
      </c>
      <c r="B57" s="4">
        <v>2</v>
      </c>
      <c r="C57" s="4">
        <v>8.57</v>
      </c>
      <c r="D57" s="4">
        <f t="shared" si="21"/>
        <v>17.14</v>
      </c>
      <c r="E57" s="4">
        <f t="shared" ref="E57:E59" si="22"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4"/>
        <v>630.14910000000009</v>
      </c>
      <c r="K57" s="9"/>
      <c r="L57" s="10"/>
    </row>
    <row r="58" spans="1:12" ht="26.25" x14ac:dyDescent="0.4">
      <c r="A58" s="7" t="s">
        <v>65</v>
      </c>
      <c r="B58" s="4">
        <v>2</v>
      </c>
      <c r="C58" s="4">
        <v>4.58</v>
      </c>
      <c r="D58" s="4">
        <f t="shared" si="21"/>
        <v>9.16</v>
      </c>
      <c r="E58" s="4">
        <f t="shared" si="22"/>
        <v>0.45800000000000002</v>
      </c>
      <c r="F58" s="18">
        <f>2.38/6</f>
        <v>0.39666666666666667</v>
      </c>
      <c r="G58" s="4">
        <f t="shared" ref="G58" si="23"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4"/>
        <v>388.28440000000006</v>
      </c>
      <c r="K58" s="9"/>
      <c r="L58" s="10"/>
    </row>
    <row r="59" spans="1:12" ht="26.25" x14ac:dyDescent="0.4">
      <c r="A59" s="7" t="s">
        <v>66</v>
      </c>
      <c r="B59" s="4">
        <v>1</v>
      </c>
      <c r="C59" s="4">
        <v>7.86</v>
      </c>
      <c r="D59" s="4">
        <f t="shared" si="21"/>
        <v>7.86</v>
      </c>
      <c r="E59" s="4">
        <f t="shared" si="22"/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4"/>
        <v>385.80990000000003</v>
      </c>
      <c r="K59" s="9"/>
      <c r="L59" s="10"/>
    </row>
    <row r="60" spans="1:12" ht="26.25" x14ac:dyDescent="0.4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 t="shared" si="6"/>
        <v>-3.8450000000011642E-2</v>
      </c>
    </row>
    <row r="61" spans="1:12" ht="26.25" x14ac:dyDescent="0.4">
      <c r="A61" s="7" t="s">
        <v>67</v>
      </c>
      <c r="B61" s="4">
        <v>1</v>
      </c>
      <c r="C61" s="5">
        <v>13.23</v>
      </c>
      <c r="D61" s="4">
        <f t="shared" ref="D61:D62" si="24"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4"/>
        <v>497.26845000000003</v>
      </c>
      <c r="K61" s="9"/>
      <c r="L61" s="10"/>
    </row>
    <row r="62" spans="1:12" ht="26.25" x14ac:dyDescent="0.4">
      <c r="A62" s="7" t="s">
        <v>68</v>
      </c>
      <c r="B62" s="4">
        <v>1</v>
      </c>
      <c r="C62" s="4">
        <v>8.74</v>
      </c>
      <c r="D62" s="4">
        <f t="shared" si="24"/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4"/>
        <v>341.69309999999996</v>
      </c>
      <c r="K62" s="9"/>
      <c r="L62" s="10"/>
    </row>
    <row r="63" spans="1:12" ht="26.25" x14ac:dyDescent="0.4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 t="shared" si="6"/>
        <v>0.41864999999995689</v>
      </c>
    </row>
    <row r="64" spans="1:12" ht="26.25" x14ac:dyDescent="0.4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 t="shared" ref="J64:J65" si="25">I64*$C$4</f>
        <v>168.72555</v>
      </c>
      <c r="K64" s="9"/>
      <c r="L64" s="10"/>
    </row>
    <row r="65" spans="1:12" ht="26.25" x14ac:dyDescent="0.4">
      <c r="A65" s="7" t="s">
        <v>70</v>
      </c>
      <c r="B65" s="4">
        <v>1</v>
      </c>
      <c r="C65" s="4">
        <v>8.74</v>
      </c>
      <c r="D65" s="4">
        <f t="shared" ref="D65" si="26"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 t="shared" si="25"/>
        <v>341.69309999999996</v>
      </c>
      <c r="K65" s="9"/>
      <c r="L65" s="10"/>
    </row>
    <row r="66" spans="1:12" ht="26.25" x14ac:dyDescent="0.4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 t="shared" si="6"/>
        <v>-0.18914999999992688</v>
      </c>
    </row>
    <row r="67" spans="1:12" ht="26.25" x14ac:dyDescent="0.4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 t="shared" ref="J67" si="27">I67*$C$4</f>
        <v>527.81085000000007</v>
      </c>
      <c r="K67" s="9"/>
      <c r="L67" s="10"/>
    </row>
    <row r="68" spans="1:12" ht="26.25" x14ac:dyDescent="0.4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.25" x14ac:dyDescent="0.4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 t="shared" ref="J69" si="28">I69*$C$4</f>
        <v>494.22329999999999</v>
      </c>
      <c r="K69" s="9"/>
      <c r="L69" s="10"/>
    </row>
    <row r="70" spans="1:12" ht="26.25" x14ac:dyDescent="0.4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 t="shared" si="6"/>
        <v>0.16285000000004857</v>
      </c>
    </row>
    <row r="71" spans="1:12" ht="26.25" x14ac:dyDescent="0.4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 t="shared" ref="E71" si="29"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30">I71*$C$4</f>
        <v>341.16285000000005</v>
      </c>
      <c r="K71" s="9"/>
      <c r="L71" s="10"/>
    </row>
    <row r="72" spans="1:12" ht="26.25" x14ac:dyDescent="0.4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 t="shared" si="6"/>
        <v>-0.41857499999997572</v>
      </c>
    </row>
    <row r="73" spans="1:12" ht="26.25" x14ac:dyDescent="0.4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30"/>
        <v>170.58142500000002</v>
      </c>
      <c r="K73" s="9"/>
      <c r="L73" s="10"/>
    </row>
    <row r="74" spans="1:12" ht="26.25" x14ac:dyDescent="0.4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 t="shared" si="6"/>
        <v>-0.41857499999997572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30"/>
        <v>170.58142500000002</v>
      </c>
      <c r="K75" s="9"/>
      <c r="L75" s="10"/>
    </row>
    <row r="76" spans="1:12" ht="26.25" x14ac:dyDescent="0.4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31">J76-K76</f>
        <v>-0.41857499999997572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30"/>
        <v>170.58142500000002</v>
      </c>
      <c r="K77" s="9"/>
      <c r="L77" s="10"/>
    </row>
    <row r="78" spans="1:12" ht="26.25" x14ac:dyDescent="0.4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31"/>
        <v>-0.41857499999997572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30"/>
        <v>170.58142500000002</v>
      </c>
      <c r="K79" s="9"/>
      <c r="L79" s="10"/>
    </row>
    <row r="80" spans="1:12" ht="26.25" x14ac:dyDescent="0.4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31"/>
        <v>-0.41857499999997572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30"/>
        <v>170.58142500000002</v>
      </c>
      <c r="K81" s="9"/>
      <c r="L81" s="10"/>
    </row>
    <row r="82" spans="1:12" ht="26.25" x14ac:dyDescent="0.4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31"/>
        <v>-0.41857499999997572</v>
      </c>
    </row>
    <row r="83" spans="1:12" ht="18.75" x14ac:dyDescent="0.3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30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9.5703125" bestFit="1" customWidth="1"/>
    <col min="12" max="12" width="12.42578125" customWidth="1"/>
  </cols>
  <sheetData>
    <row r="1" spans="1:13" ht="21" x14ac:dyDescent="0.35">
      <c r="A1" s="55" t="s">
        <v>283</v>
      </c>
      <c r="B1" s="4"/>
      <c r="C1" s="15">
        <v>41888</v>
      </c>
      <c r="D1" s="30"/>
    </row>
    <row r="2" spans="1:13" ht="21" x14ac:dyDescent="0.35">
      <c r="A2" s="55" t="s">
        <v>240</v>
      </c>
      <c r="B2" s="4"/>
      <c r="C2" s="16">
        <v>7500</v>
      </c>
      <c r="D2" s="30"/>
    </row>
    <row r="3" spans="1:13" ht="21" x14ac:dyDescent="0.35">
      <c r="A3" s="55" t="s">
        <v>241</v>
      </c>
      <c r="B3" s="4"/>
      <c r="C3" s="16">
        <v>3.5900000000000001E-2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463</v>
      </c>
      <c r="B6" s="154"/>
      <c r="C6" s="154"/>
      <c r="D6" s="32"/>
      <c r="E6" s="92"/>
      <c r="F6" s="149"/>
      <c r="G6" s="150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5"/>
    </row>
    <row r="7" spans="1:13" x14ac:dyDescent="0.25">
      <c r="A7" s="156" t="s">
        <v>464</v>
      </c>
      <c r="B7" s="156">
        <v>1</v>
      </c>
      <c r="C7" s="156">
        <v>10000</v>
      </c>
      <c r="D7" s="37">
        <f t="shared" ref="D7:D8" si="0">B7*C7</f>
        <v>10000</v>
      </c>
      <c r="E7" s="39">
        <f t="shared" ref="E7:E8" si="1">D7*0.1</f>
        <v>1000</v>
      </c>
      <c r="F7" s="4">
        <v>0</v>
      </c>
      <c r="G7" s="156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25">
      <c r="A8" s="156" t="s">
        <v>262</v>
      </c>
      <c r="B8" s="156">
        <v>1</v>
      </c>
      <c r="C8" s="156">
        <v>10000</v>
      </c>
      <c r="D8" s="37">
        <f t="shared" si="0"/>
        <v>10000</v>
      </c>
      <c r="E8" s="39">
        <f t="shared" si="1"/>
        <v>1000</v>
      </c>
      <c r="F8" s="4">
        <v>2500</v>
      </c>
      <c r="G8" s="156">
        <v>0.25</v>
      </c>
      <c r="H8" s="37">
        <f t="shared" ref="H8" si="2">G8</f>
        <v>0.25</v>
      </c>
      <c r="I8" s="4">
        <f t="shared" ref="I8" si="3">H8*$C$2</f>
        <v>1875</v>
      </c>
      <c r="J8" s="51">
        <f t="shared" ref="J8" si="4">(D8+E8+F8+I8)*$C$3</f>
        <v>551.96249999999998</v>
      </c>
      <c r="K8" s="6"/>
      <c r="L8" s="17"/>
    </row>
    <row r="9" spans="1:13" ht="31.5" x14ac:dyDescent="0.5">
      <c r="A9" s="153" t="s">
        <v>255</v>
      </c>
      <c r="B9" s="154"/>
      <c r="C9" s="154"/>
      <c r="D9" s="32"/>
      <c r="E9" s="92"/>
      <c r="F9" s="154"/>
      <c r="G9" s="154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5"/>
    </row>
    <row r="10" spans="1:13" x14ac:dyDescent="0.25">
      <c r="A10" s="17" t="s">
        <v>465</v>
      </c>
      <c r="B10" s="4">
        <v>1</v>
      </c>
      <c r="C10" s="4">
        <v>11900</v>
      </c>
      <c r="D10" s="37">
        <f t="shared" ref="D10:D11" si="5">B10*C10</f>
        <v>11900</v>
      </c>
      <c r="E10" s="39">
        <f t="shared" ref="E10:E11" si="6"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25">
      <c r="A11" s="17" t="s">
        <v>466</v>
      </c>
      <c r="B11" s="4">
        <v>1</v>
      </c>
      <c r="C11" s="4">
        <f>1500+9900</f>
        <v>11400</v>
      </c>
      <c r="D11" s="37">
        <f t="shared" si="5"/>
        <v>11400</v>
      </c>
      <c r="E11" s="39">
        <f t="shared" si="6"/>
        <v>1140</v>
      </c>
      <c r="F11" s="4">
        <v>0</v>
      </c>
      <c r="G11" s="4">
        <v>0.3</v>
      </c>
      <c r="H11" s="37">
        <f t="shared" ref="H11" si="7">G11</f>
        <v>0.3</v>
      </c>
      <c r="I11" s="4">
        <f t="shared" ref="I11" si="8">H11*$C$2</f>
        <v>2250</v>
      </c>
      <c r="J11" s="51">
        <f t="shared" ref="J11" si="9">(D11+E11+F11+I11)*$C$3</f>
        <v>530.96100000000001</v>
      </c>
      <c r="K11" s="6"/>
      <c r="L11" s="17"/>
    </row>
    <row r="12" spans="1:13" ht="31.5" x14ac:dyDescent="0.5">
      <c r="A12" s="153" t="s">
        <v>467</v>
      </c>
      <c r="B12" s="154"/>
      <c r="C12" s="154"/>
      <c r="D12" s="32"/>
      <c r="E12" s="92"/>
      <c r="F12" s="154"/>
      <c r="G12" s="154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5"/>
    </row>
    <row r="13" spans="1:13" x14ac:dyDescent="0.25">
      <c r="A13" s="4" t="s">
        <v>468</v>
      </c>
      <c r="B13" s="4">
        <v>3</v>
      </c>
      <c r="C13" s="4">
        <v>990</v>
      </c>
      <c r="D13" s="37">
        <f t="shared" ref="D13:D14" si="10"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25">
      <c r="A14" s="4" t="s">
        <v>172</v>
      </c>
      <c r="B14" s="4">
        <v>1</v>
      </c>
      <c r="C14" s="4">
        <v>3300</v>
      </c>
      <c r="D14" s="37">
        <f t="shared" si="10"/>
        <v>3300</v>
      </c>
      <c r="E14" s="39">
        <f t="shared" ref="E14" si="11">D14*0.1</f>
        <v>330</v>
      </c>
      <c r="F14" s="4">
        <v>0</v>
      </c>
      <c r="G14" s="4">
        <v>0.15</v>
      </c>
      <c r="H14" s="37">
        <f t="shared" ref="H14" si="12">G14</f>
        <v>0.15</v>
      </c>
      <c r="I14" s="4">
        <f t="shared" ref="I14" si="13">H14*$C$2</f>
        <v>1125</v>
      </c>
      <c r="J14" s="51">
        <f t="shared" ref="J14" si="14">(D14+E14+F14+I14)*$C$3</f>
        <v>170.7045</v>
      </c>
      <c r="K14" s="6"/>
      <c r="L14" s="17"/>
    </row>
    <row r="15" spans="1:13" ht="31.5" x14ac:dyDescent="0.5">
      <c r="A15" s="153" t="s">
        <v>469</v>
      </c>
      <c r="B15" s="154"/>
      <c r="C15" s="154"/>
      <c r="D15" s="32"/>
      <c r="E15" s="92"/>
      <c r="F15" s="154"/>
      <c r="G15" s="154"/>
      <c r="H15" s="32"/>
      <c r="I15" s="2"/>
      <c r="J15" s="52">
        <f>J16</f>
        <v>1373.175</v>
      </c>
      <c r="K15" s="10">
        <v>1373</v>
      </c>
      <c r="L15" s="10">
        <f t="shared" ref="L15" si="15">K15-J15</f>
        <v>-0.17499999999995453</v>
      </c>
      <c r="M15" s="135"/>
    </row>
    <row r="16" spans="1:13" x14ac:dyDescent="0.25">
      <c r="A16" s="4" t="s">
        <v>424</v>
      </c>
      <c r="B16" s="4">
        <v>1</v>
      </c>
      <c r="C16" s="4">
        <v>25000</v>
      </c>
      <c r="D16" s="37">
        <f t="shared" ref="D16" si="16"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.5" x14ac:dyDescent="0.5">
      <c r="A17" s="153" t="s">
        <v>20</v>
      </c>
      <c r="B17" s="154"/>
      <c r="C17" s="154"/>
      <c r="D17" s="32"/>
      <c r="E17" s="92"/>
      <c r="F17" s="154"/>
      <c r="G17" s="154"/>
      <c r="H17" s="32"/>
      <c r="I17" s="2"/>
      <c r="J17" s="52">
        <f>J18</f>
        <v>544.42349999999999</v>
      </c>
      <c r="K17" s="10">
        <v>539</v>
      </c>
      <c r="L17" s="10">
        <f t="shared" ref="L17" si="17">K17-J17</f>
        <v>-5.42349999999999</v>
      </c>
      <c r="M17" s="136"/>
    </row>
    <row r="18" spans="1:13" x14ac:dyDescent="0.25">
      <c r="A18" s="4" t="s">
        <v>470</v>
      </c>
      <c r="B18" s="4">
        <v>1</v>
      </c>
      <c r="C18" s="4">
        <v>12900</v>
      </c>
      <c r="D18" s="37">
        <f t="shared" ref="D18" si="18"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.5" x14ac:dyDescent="0.5">
      <c r="A19" s="153" t="s">
        <v>165</v>
      </c>
      <c r="B19" s="154"/>
      <c r="C19" s="154"/>
      <c r="D19" s="32"/>
      <c r="E19" s="92"/>
      <c r="F19" s="154"/>
      <c r="G19" s="154"/>
      <c r="H19" s="32"/>
      <c r="I19" s="2"/>
      <c r="J19" s="52">
        <f>J20</f>
        <v>495.95850000000002</v>
      </c>
      <c r="K19" s="10">
        <v>496</v>
      </c>
      <c r="L19" s="10">
        <f t="shared" ref="L19" si="19">K19-J19</f>
        <v>4.1499999999984993E-2</v>
      </c>
      <c r="M19" s="136"/>
    </row>
    <row r="20" spans="1:13" x14ac:dyDescent="0.25">
      <c r="A20" s="4" t="s">
        <v>474</v>
      </c>
      <c r="B20" s="4">
        <v>1</v>
      </c>
      <c r="C20" s="4">
        <v>9900</v>
      </c>
      <c r="D20" s="37">
        <f t="shared" ref="D20" si="20"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10" bestFit="1" customWidth="1"/>
    <col min="12" max="12" width="12.42578125" customWidth="1"/>
  </cols>
  <sheetData>
    <row r="1" spans="1:13" ht="21" x14ac:dyDescent="0.35">
      <c r="A1" s="55" t="s">
        <v>283</v>
      </c>
      <c r="B1" s="4"/>
      <c r="C1" s="15">
        <v>41898</v>
      </c>
      <c r="D1" s="30"/>
    </row>
    <row r="2" spans="1:13" ht="21" x14ac:dyDescent="0.35">
      <c r="A2" s="55" t="s">
        <v>240</v>
      </c>
      <c r="B2" s="4"/>
      <c r="C2" s="16">
        <v>7450</v>
      </c>
      <c r="D2" s="30"/>
    </row>
    <row r="3" spans="1:13" ht="21" x14ac:dyDescent="0.35">
      <c r="A3" s="55" t="s">
        <v>241</v>
      </c>
      <c r="B3" s="4"/>
      <c r="C3" s="16">
        <v>3.7900000000000003E-2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450</v>
      </c>
      <c r="B6" s="154"/>
      <c r="C6" s="154"/>
      <c r="D6" s="32"/>
      <c r="E6" s="92"/>
      <c r="F6" s="149"/>
      <c r="G6" s="150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5"/>
    </row>
    <row r="7" spans="1:13" x14ac:dyDescent="0.25">
      <c r="A7" s="3" t="s">
        <v>476</v>
      </c>
      <c r="B7" s="4">
        <v>1</v>
      </c>
      <c r="C7" s="4">
        <v>9900</v>
      </c>
      <c r="D7" s="37">
        <f t="shared" ref="D7:D8" si="0">B7*C7</f>
        <v>9900</v>
      </c>
      <c r="E7" s="39">
        <f t="shared" ref="E7:E8" si="1"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25">
      <c r="A8" s="3" t="s">
        <v>487</v>
      </c>
      <c r="B8" s="4">
        <v>3</v>
      </c>
      <c r="C8" s="4">
        <v>1500</v>
      </c>
      <c r="D8" s="37">
        <f t="shared" si="0"/>
        <v>4500</v>
      </c>
      <c r="E8" s="39">
        <f t="shared" si="1"/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 t="shared" ref="I8" si="2">H8*$C$2</f>
        <v>6481.4999999999991</v>
      </c>
      <c r="J8" s="51">
        <f t="shared" ref="J8" si="3">(D8+E8+F8+I8)*$C$3</f>
        <v>528.00385000000006</v>
      </c>
      <c r="K8" s="6"/>
      <c r="L8" s="17"/>
    </row>
    <row r="9" spans="1:13" x14ac:dyDescent="0.25">
      <c r="A9" s="4" t="s">
        <v>477</v>
      </c>
      <c r="B9" s="4">
        <v>1</v>
      </c>
      <c r="C9" s="4">
        <f>9900/2</f>
        <v>4950</v>
      </c>
      <c r="D9" s="37">
        <f t="shared" ref="D9:D10" si="4">B9*C9</f>
        <v>4950</v>
      </c>
      <c r="E9" s="39">
        <f t="shared" ref="E9:E10" si="5"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25">
      <c r="A10" s="4" t="s">
        <v>478</v>
      </c>
      <c r="B10" s="4">
        <v>1</v>
      </c>
      <c r="C10" s="4">
        <v>16800</v>
      </c>
      <c r="D10" s="37">
        <f t="shared" si="4"/>
        <v>16800</v>
      </c>
      <c r="E10" s="39">
        <f t="shared" si="5"/>
        <v>1680</v>
      </c>
      <c r="F10" s="4">
        <v>0</v>
      </c>
      <c r="G10" s="4">
        <v>0.41</v>
      </c>
      <c r="H10" s="37">
        <f t="shared" ref="H10" si="6">G10</f>
        <v>0.41</v>
      </c>
      <c r="I10" s="4">
        <f t="shared" ref="I10" si="7">H10*$C$2</f>
        <v>3054.5</v>
      </c>
      <c r="J10" s="51">
        <f t="shared" ref="J10" si="8">(D10+E10+F10+I10)*$C$3</f>
        <v>816.15755000000001</v>
      </c>
      <c r="K10" s="6"/>
      <c r="L10" s="17"/>
    </row>
    <row r="11" spans="1:13" ht="31.5" x14ac:dyDescent="0.5">
      <c r="A11" s="153" t="s">
        <v>2</v>
      </c>
      <c r="B11" s="154"/>
      <c r="C11" s="154"/>
      <c r="D11" s="32"/>
      <c r="E11" s="92"/>
      <c r="F11" s="154"/>
      <c r="G11" s="154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5"/>
    </row>
    <row r="12" spans="1:13" x14ac:dyDescent="0.25">
      <c r="A12" s="4" t="s">
        <v>479</v>
      </c>
      <c r="B12" s="4">
        <v>1</v>
      </c>
      <c r="C12" s="4">
        <v>9800</v>
      </c>
      <c r="D12" s="37">
        <f t="shared" ref="D12:D14" si="9">B12*C12</f>
        <v>9800</v>
      </c>
      <c r="E12" s="39">
        <f t="shared" ref="E12:E14" si="10"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25">
      <c r="A13" s="4" t="s">
        <v>480</v>
      </c>
      <c r="B13" s="4">
        <v>1</v>
      </c>
      <c r="C13" s="4">
        <v>12000</v>
      </c>
      <c r="D13" s="37">
        <f t="shared" si="9"/>
        <v>12000</v>
      </c>
      <c r="E13" s="39">
        <f t="shared" si="10"/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25">
      <c r="A14" s="4" t="s">
        <v>481</v>
      </c>
      <c r="B14" s="4">
        <v>1</v>
      </c>
      <c r="C14" s="4">
        <v>16800</v>
      </c>
      <c r="D14" s="37">
        <f t="shared" si="9"/>
        <v>16800</v>
      </c>
      <c r="E14" s="39">
        <f t="shared" si="10"/>
        <v>1680</v>
      </c>
      <c r="F14" s="4">
        <v>0</v>
      </c>
      <c r="G14" s="4">
        <v>0.25</v>
      </c>
      <c r="H14" s="37">
        <f t="shared" ref="H14" si="11">G14</f>
        <v>0.25</v>
      </c>
      <c r="I14" s="4">
        <f t="shared" ref="I14" si="12">H14*$C$2</f>
        <v>1862.5</v>
      </c>
      <c r="J14" s="51">
        <f t="shared" ref="J14" si="13">(D14+E14+F14+I14)*$C$3</f>
        <v>770.98075000000006</v>
      </c>
      <c r="K14" s="6"/>
      <c r="L14" s="17"/>
    </row>
    <row r="15" spans="1:13" ht="31.5" x14ac:dyDescent="0.5">
      <c r="A15" s="153" t="s">
        <v>28</v>
      </c>
      <c r="B15" s="154"/>
      <c r="C15" s="154"/>
      <c r="D15" s="32"/>
      <c r="E15" s="92"/>
      <c r="F15" s="154"/>
      <c r="G15" s="154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5"/>
    </row>
    <row r="16" spans="1:13" x14ac:dyDescent="0.25">
      <c r="A16" s="4" t="s">
        <v>244</v>
      </c>
      <c r="B16" s="5">
        <v>1</v>
      </c>
      <c r="C16" s="5">
        <v>2900</v>
      </c>
      <c r="D16" s="37">
        <f t="shared" ref="D16:D17" si="14">B16*C16</f>
        <v>2900</v>
      </c>
      <c r="E16" s="39">
        <f t="shared" ref="E16:E17" si="15"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25">
      <c r="A17" s="4" t="s">
        <v>478</v>
      </c>
      <c r="B17" s="4">
        <v>1</v>
      </c>
      <c r="C17" s="4">
        <v>16800</v>
      </c>
      <c r="D17" s="37">
        <f t="shared" si="14"/>
        <v>16800</v>
      </c>
      <c r="E17" s="39">
        <f t="shared" si="15"/>
        <v>1680</v>
      </c>
      <c r="F17" s="4">
        <v>0</v>
      </c>
      <c r="G17" s="4">
        <v>0.41</v>
      </c>
      <c r="H17" s="37">
        <f t="shared" ref="H17" si="16">G17</f>
        <v>0.41</v>
      </c>
      <c r="I17" s="4">
        <f t="shared" ref="I17" si="17">H17*$C$2</f>
        <v>3054.5</v>
      </c>
      <c r="J17" s="51">
        <f t="shared" ref="J17" si="18">(D17+E17+F17+I17)*$C$3</f>
        <v>816.15755000000001</v>
      </c>
      <c r="K17" s="6"/>
      <c r="L17" s="17"/>
    </row>
    <row r="18" spans="1:13" ht="31.5" x14ac:dyDescent="0.5">
      <c r="A18" s="153" t="s">
        <v>482</v>
      </c>
      <c r="B18" s="154"/>
      <c r="C18" s="154"/>
      <c r="D18" s="32"/>
      <c r="E18" s="92"/>
      <c r="F18" s="154"/>
      <c r="G18" s="154"/>
      <c r="H18" s="32"/>
      <c r="I18" s="2"/>
      <c r="J18" s="52">
        <f>J19</f>
        <v>264.24827500000004</v>
      </c>
      <c r="K18" s="10">
        <f>251+13</f>
        <v>264</v>
      </c>
      <c r="L18" s="10">
        <f t="shared" ref="L18" si="19">K18-J18</f>
        <v>-0.24827500000003511</v>
      </c>
      <c r="M18" s="135"/>
    </row>
    <row r="19" spans="1:13" x14ac:dyDescent="0.25">
      <c r="A19" s="4" t="s">
        <v>477</v>
      </c>
      <c r="B19" s="4">
        <v>1</v>
      </c>
      <c r="C19" s="4">
        <f>9900/2</f>
        <v>4950</v>
      </c>
      <c r="D19" s="37">
        <f t="shared" ref="D19" si="20"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.5" x14ac:dyDescent="0.5">
      <c r="A20" s="153" t="s">
        <v>483</v>
      </c>
      <c r="B20" s="154"/>
      <c r="C20" s="154"/>
      <c r="D20" s="32"/>
      <c r="E20" s="92"/>
      <c r="F20" s="154"/>
      <c r="G20" s="154"/>
      <c r="H20" s="32"/>
      <c r="I20" s="2"/>
      <c r="J20" s="52">
        <f>J21</f>
        <v>816.15755000000001</v>
      </c>
      <c r="K20" s="10">
        <f>776+40</f>
        <v>816</v>
      </c>
      <c r="L20" s="10">
        <f t="shared" ref="L20" si="21">K20-J20</f>
        <v>-0.15755000000001473</v>
      </c>
      <c r="M20" s="136"/>
    </row>
    <row r="21" spans="1:13" x14ac:dyDescent="0.25">
      <c r="A21" s="4" t="s">
        <v>478</v>
      </c>
      <c r="B21" s="4">
        <v>1</v>
      </c>
      <c r="C21" s="4">
        <v>16800</v>
      </c>
      <c r="D21" s="37">
        <f t="shared" ref="D21" si="22"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.5" x14ac:dyDescent="0.5">
      <c r="A22" s="153" t="s">
        <v>463</v>
      </c>
      <c r="B22" s="154"/>
      <c r="C22" s="154"/>
      <c r="D22" s="32"/>
      <c r="E22" s="92"/>
      <c r="F22" s="154"/>
      <c r="G22" s="154"/>
      <c r="H22" s="32"/>
      <c r="I22" s="2"/>
      <c r="J22" s="52">
        <f>J23</f>
        <v>727.98320000000001</v>
      </c>
      <c r="K22" s="10">
        <f>693+35</f>
        <v>728</v>
      </c>
      <c r="L22" s="10">
        <f t="shared" ref="L22" si="23">K22-J22</f>
        <v>1.6799999999989268E-2</v>
      </c>
      <c r="M22" s="136"/>
    </row>
    <row r="23" spans="1:13" x14ac:dyDescent="0.25">
      <c r="A23" s="4" t="s">
        <v>57</v>
      </c>
      <c r="B23" s="4">
        <v>1</v>
      </c>
      <c r="C23" s="4">
        <v>9500</v>
      </c>
      <c r="D23" s="37">
        <f t="shared" ref="D23" si="24"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.5" x14ac:dyDescent="0.5">
      <c r="A24" s="153" t="s">
        <v>333</v>
      </c>
      <c r="B24" s="154"/>
      <c r="C24" s="154"/>
      <c r="D24" s="32"/>
      <c r="E24" s="92"/>
      <c r="F24" s="154"/>
      <c r="G24" s="154"/>
      <c r="H24" s="32"/>
      <c r="I24" s="2"/>
      <c r="J24" s="52">
        <f>J25</f>
        <v>665.59980000000007</v>
      </c>
      <c r="K24" s="10">
        <f>635+29</f>
        <v>664</v>
      </c>
      <c r="L24" s="10">
        <f t="shared" ref="L24" si="25">K24-J24</f>
        <v>-1.5998000000000729</v>
      </c>
      <c r="M24" s="135"/>
    </row>
    <row r="25" spans="1:13" x14ac:dyDescent="0.25">
      <c r="A25" s="17" t="s">
        <v>484</v>
      </c>
      <c r="B25" s="4">
        <v>1</v>
      </c>
      <c r="C25" s="4">
        <v>9900</v>
      </c>
      <c r="D25" s="37">
        <f t="shared" ref="D25" si="26"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.5" x14ac:dyDescent="0.5">
      <c r="A26" s="153" t="s">
        <v>485</v>
      </c>
      <c r="B26" s="154"/>
      <c r="C26" s="154"/>
      <c r="D26" s="32"/>
      <c r="E26" s="92"/>
      <c r="F26" s="154"/>
      <c r="G26" s="154"/>
      <c r="H26" s="32"/>
      <c r="I26" s="2"/>
      <c r="J26" s="52">
        <f>J27</f>
        <v>816.15755000000001</v>
      </c>
      <c r="K26" s="10">
        <f>776+40</f>
        <v>816</v>
      </c>
      <c r="L26" s="10">
        <f t="shared" ref="L26" si="27">K26-J26</f>
        <v>-0.15755000000001473</v>
      </c>
      <c r="M26" s="136"/>
    </row>
    <row r="27" spans="1:13" x14ac:dyDescent="0.25">
      <c r="A27" s="4" t="s">
        <v>478</v>
      </c>
      <c r="B27" s="4">
        <v>1</v>
      </c>
      <c r="C27" s="4">
        <v>16800</v>
      </c>
      <c r="D27" s="37">
        <f t="shared" ref="D27" si="28"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.5" x14ac:dyDescent="0.5">
      <c r="A28" s="153" t="s">
        <v>23</v>
      </c>
      <c r="B28" s="154"/>
      <c r="C28" s="154"/>
      <c r="D28" s="32"/>
      <c r="E28" s="92"/>
      <c r="F28" s="154"/>
      <c r="G28" s="154"/>
      <c r="H28" s="32"/>
      <c r="I28" s="2"/>
      <c r="J28" s="52">
        <f>J29</f>
        <v>816.15755000000001</v>
      </c>
      <c r="K28" s="10">
        <f>776+37</f>
        <v>813</v>
      </c>
      <c r="L28" s="10">
        <f t="shared" ref="L28" si="29">K28-J28</f>
        <v>-3.1575500000000147</v>
      </c>
      <c r="M28" s="136"/>
    </row>
    <row r="29" spans="1:13" x14ac:dyDescent="0.25">
      <c r="A29" s="4" t="s">
        <v>478</v>
      </c>
      <c r="B29" s="4">
        <v>1</v>
      </c>
      <c r="C29" s="4">
        <v>16800</v>
      </c>
      <c r="D29" s="37">
        <f t="shared" ref="D29" si="30"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.5" x14ac:dyDescent="0.5">
      <c r="A30" s="153" t="s">
        <v>366</v>
      </c>
      <c r="B30" s="154"/>
      <c r="C30" s="154"/>
      <c r="D30" s="32"/>
      <c r="E30" s="92"/>
      <c r="F30" s="154"/>
      <c r="G30" s="154"/>
      <c r="H30" s="32"/>
      <c r="I30" s="2"/>
      <c r="J30" s="52">
        <f>J31</f>
        <v>282.75295</v>
      </c>
      <c r="K30" s="10">
        <v>269</v>
      </c>
      <c r="L30" s="10">
        <f t="shared" ref="L30" si="31">K30-J30</f>
        <v>-13.752949999999998</v>
      </c>
      <c r="M30" s="136"/>
    </row>
    <row r="31" spans="1:13" x14ac:dyDescent="0.25">
      <c r="A31" s="4" t="s">
        <v>486</v>
      </c>
      <c r="B31" s="4">
        <v>1</v>
      </c>
      <c r="C31" s="4">
        <v>3900</v>
      </c>
      <c r="D31" s="37">
        <f t="shared" ref="D31" si="32"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.5" x14ac:dyDescent="0.5">
      <c r="A32" s="153" t="s">
        <v>492</v>
      </c>
      <c r="B32" s="154"/>
      <c r="C32" s="154"/>
      <c r="D32" s="32"/>
      <c r="E32" s="92"/>
      <c r="F32" s="154"/>
      <c r="G32" s="154"/>
      <c r="H32" s="32"/>
      <c r="I32" s="2"/>
      <c r="J32" s="52">
        <f>J33</f>
        <v>572.34685000000002</v>
      </c>
      <c r="K32" s="10">
        <v>591</v>
      </c>
      <c r="L32" s="10">
        <f t="shared" ref="L32" si="33">K32-J32</f>
        <v>18.653149999999982</v>
      </c>
      <c r="M32" s="136"/>
    </row>
    <row r="33" spans="1:12" x14ac:dyDescent="0.25">
      <c r="A33" s="4" t="s">
        <v>493</v>
      </c>
      <c r="B33" s="4">
        <v>1</v>
      </c>
      <c r="C33" s="4">
        <v>11900</v>
      </c>
      <c r="D33" s="37">
        <f t="shared" ref="D33" si="34"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5" x14ac:dyDescent="0.25"/>
  <cols>
    <col min="1" max="1" width="33.42578125" customWidth="1"/>
    <col min="3" max="3" width="17.85546875" customWidth="1"/>
    <col min="10" max="10" width="13.42578125" customWidth="1"/>
    <col min="11" max="11" width="13.28515625" customWidth="1"/>
    <col min="12" max="12" width="12.85546875" customWidth="1"/>
  </cols>
  <sheetData>
    <row r="1" spans="1:13" ht="21" x14ac:dyDescent="0.35">
      <c r="A1" s="55" t="s">
        <v>283</v>
      </c>
      <c r="B1" s="4"/>
      <c r="C1" s="15">
        <v>41919</v>
      </c>
      <c r="D1" s="30"/>
    </row>
    <row r="2" spans="1:13" ht="21" x14ac:dyDescent="0.35">
      <c r="A2" s="55" t="s">
        <v>240</v>
      </c>
      <c r="B2" s="4"/>
      <c r="C2" s="16">
        <v>7450</v>
      </c>
      <c r="D2" s="30"/>
    </row>
    <row r="3" spans="1:13" ht="21" x14ac:dyDescent="0.35">
      <c r="A3" s="55" t="s">
        <v>241</v>
      </c>
      <c r="B3" s="4"/>
      <c r="C3" s="16">
        <v>3.8300000000000001E-2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7" t="s">
        <v>492</v>
      </c>
      <c r="B6" s="149"/>
      <c r="C6" s="150"/>
      <c r="D6" s="158"/>
      <c r="E6" s="92"/>
      <c r="F6" s="149"/>
      <c r="G6" s="150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5"/>
    </row>
    <row r="7" spans="1:13" x14ac:dyDescent="0.25">
      <c r="A7" s="106" t="s">
        <v>57</v>
      </c>
      <c r="B7" s="98">
        <v>1</v>
      </c>
      <c r="C7" s="99">
        <v>9450</v>
      </c>
      <c r="D7" s="37">
        <v>9450</v>
      </c>
      <c r="E7" s="39">
        <f t="shared" ref="E7:E9" si="0"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25">
      <c r="A8" s="39" t="s">
        <v>494</v>
      </c>
      <c r="B8" s="98">
        <v>1</v>
      </c>
      <c r="C8" s="99">
        <v>4550</v>
      </c>
      <c r="D8" s="37">
        <v>4550</v>
      </c>
      <c r="E8" s="39">
        <f t="shared" si="0"/>
        <v>455</v>
      </c>
      <c r="F8" s="98">
        <v>2500</v>
      </c>
      <c r="G8" s="99">
        <v>1.1000000000000001</v>
      </c>
      <c r="H8" s="37">
        <f>G8*B8</f>
        <v>1.1000000000000001</v>
      </c>
      <c r="I8" s="4">
        <f t="shared" ref="I8" si="1">H8*$C$2</f>
        <v>8195</v>
      </c>
      <c r="J8" s="51">
        <f t="shared" ref="J8" si="2">(D8+E8+F8+I8)*$C$3</f>
        <v>601.31000000000006</v>
      </c>
      <c r="K8" s="6"/>
      <c r="L8" s="17"/>
    </row>
    <row r="9" spans="1:13" x14ac:dyDescent="0.25">
      <c r="A9" s="39" t="s">
        <v>495</v>
      </c>
      <c r="B9" s="98">
        <v>1</v>
      </c>
      <c r="C9" s="99">
        <v>4500</v>
      </c>
      <c r="D9" s="37">
        <v>4500</v>
      </c>
      <c r="E9" s="39">
        <f t="shared" si="0"/>
        <v>450</v>
      </c>
      <c r="F9" s="98">
        <v>2500</v>
      </c>
      <c r="G9" s="99">
        <v>0.25</v>
      </c>
      <c r="H9" s="37">
        <f t="shared" ref="H9" si="3">G9</f>
        <v>0.25</v>
      </c>
      <c r="I9" s="4">
        <f t="shared" ref="I9" si="4">H9*$C$2</f>
        <v>1862.5</v>
      </c>
      <c r="J9" s="51">
        <f t="shared" ref="J9" si="5">(D9+E9+F9+I9)*$C$3</f>
        <v>356.66874999999999</v>
      </c>
      <c r="K9" s="6"/>
      <c r="L9" s="17"/>
    </row>
    <row r="10" spans="1:13" ht="31.5" x14ac:dyDescent="0.5">
      <c r="A10" s="145" t="s">
        <v>160</v>
      </c>
      <c r="B10" s="126"/>
      <c r="C10" s="127"/>
      <c r="D10" s="159"/>
      <c r="E10" s="92"/>
      <c r="F10" s="126"/>
      <c r="G10" s="127"/>
      <c r="H10" s="32"/>
      <c r="I10" s="2"/>
      <c r="J10" s="52">
        <f>J11</f>
        <v>572.96799999999996</v>
      </c>
      <c r="K10" s="10">
        <v>600</v>
      </c>
      <c r="L10" s="10">
        <f t="shared" ref="L10" si="6">K10-J10</f>
        <v>27.032000000000039</v>
      </c>
      <c r="M10" s="135"/>
    </row>
    <row r="11" spans="1:13" x14ac:dyDescent="0.25">
      <c r="A11" s="39" t="s">
        <v>496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.5" x14ac:dyDescent="0.5">
      <c r="A12" s="145" t="s">
        <v>39</v>
      </c>
      <c r="B12" s="126"/>
      <c r="C12" s="127"/>
      <c r="D12" s="159"/>
      <c r="E12" s="92"/>
      <c r="F12" s="126"/>
      <c r="G12" s="127"/>
      <c r="H12" s="32"/>
      <c r="I12" s="2"/>
      <c r="J12" s="52">
        <f>J13</f>
        <v>572.96799999999996</v>
      </c>
      <c r="K12" s="10">
        <f>569+4</f>
        <v>573</v>
      </c>
      <c r="L12" s="10">
        <f t="shared" ref="L12" si="7">K12-J12</f>
        <v>3.2000000000039108E-2</v>
      </c>
      <c r="M12" s="136"/>
    </row>
    <row r="13" spans="1:13" x14ac:dyDescent="0.25">
      <c r="A13" s="39" t="s">
        <v>496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.5" x14ac:dyDescent="0.5">
      <c r="A14" s="145" t="s">
        <v>497</v>
      </c>
      <c r="B14" s="126"/>
      <c r="C14" s="127"/>
      <c r="D14" s="159"/>
      <c r="E14" s="92"/>
      <c r="F14" s="126"/>
      <c r="G14" s="127"/>
      <c r="H14" s="32"/>
      <c r="I14" s="2"/>
      <c r="J14" s="52">
        <f>J15</f>
        <v>572.96799999999996</v>
      </c>
      <c r="K14" s="10">
        <f>569+4</f>
        <v>573</v>
      </c>
      <c r="L14" s="10">
        <f t="shared" ref="L14" si="8">K14-J14</f>
        <v>3.2000000000039108E-2</v>
      </c>
      <c r="M14" s="136"/>
    </row>
    <row r="15" spans="1:13" x14ac:dyDescent="0.25">
      <c r="A15" s="39" t="s">
        <v>496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.5" x14ac:dyDescent="0.5">
      <c r="A16" s="145" t="s">
        <v>498</v>
      </c>
      <c r="B16" s="126"/>
      <c r="C16" s="127"/>
      <c r="D16" s="159"/>
      <c r="E16" s="92"/>
      <c r="F16" s="126"/>
      <c r="G16" s="127"/>
      <c r="H16" s="32"/>
      <c r="I16" s="2"/>
      <c r="J16" s="52">
        <f>J17</f>
        <v>904.28215</v>
      </c>
      <c r="K16" s="10">
        <v>898</v>
      </c>
      <c r="L16" s="10">
        <f t="shared" ref="L16" si="9">K16-J16</f>
        <v>-6.2821500000000015</v>
      </c>
      <c r="M16" s="135"/>
    </row>
    <row r="17" spans="1:13" x14ac:dyDescent="0.25">
      <c r="A17" s="39" t="s">
        <v>499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.5" x14ac:dyDescent="0.5">
      <c r="A18" s="145" t="s">
        <v>384</v>
      </c>
      <c r="B18" s="126"/>
      <c r="C18" s="127"/>
      <c r="D18" s="159"/>
      <c r="E18" s="92"/>
      <c r="F18" s="126"/>
      <c r="G18" s="127"/>
      <c r="H18" s="32"/>
      <c r="I18" s="2"/>
      <c r="J18" s="52">
        <f>J19</f>
        <v>1045.5899999999999</v>
      </c>
      <c r="K18" s="10">
        <v>1039</v>
      </c>
      <c r="L18" s="10">
        <f t="shared" ref="L18" si="10">K18-J18</f>
        <v>-6.5899999999999181</v>
      </c>
      <c r="M18" s="136"/>
    </row>
    <row r="19" spans="1:13" x14ac:dyDescent="0.25">
      <c r="A19" s="133" t="s">
        <v>500</v>
      </c>
      <c r="B19" s="160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.5" x14ac:dyDescent="0.5">
      <c r="A20" s="145" t="s">
        <v>104</v>
      </c>
      <c r="B20" s="126"/>
      <c r="C20" s="127"/>
      <c r="D20" s="159"/>
      <c r="E20" s="92"/>
      <c r="F20" s="126"/>
      <c r="G20" s="127"/>
      <c r="H20" s="32"/>
      <c r="I20" s="2"/>
      <c r="J20" s="52">
        <f>J21</f>
        <v>362.93080000000003</v>
      </c>
      <c r="K20" s="10">
        <v>360</v>
      </c>
      <c r="L20" s="10">
        <f t="shared" ref="L20" si="11">K20-J20</f>
        <v>-2.9308000000000334</v>
      </c>
      <c r="M20" s="136"/>
    </row>
    <row r="21" spans="1:13" x14ac:dyDescent="0.25">
      <c r="A21" s="133" t="s">
        <v>501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.5" x14ac:dyDescent="0.5">
      <c r="A22" s="145" t="s">
        <v>333</v>
      </c>
      <c r="B22" s="126"/>
      <c r="C22" s="127"/>
      <c r="D22" s="159"/>
      <c r="E22" s="92"/>
      <c r="F22" s="126"/>
      <c r="G22" s="127"/>
      <c r="H22" s="32"/>
      <c r="I22" s="2"/>
      <c r="J22" s="52">
        <f>J23</f>
        <v>1283.7011</v>
      </c>
      <c r="K22" s="10">
        <v>1275</v>
      </c>
      <c r="L22" s="10">
        <f t="shared" ref="L22" si="12">K22-J22</f>
        <v>-8.7010999999999967</v>
      </c>
      <c r="M22" s="136"/>
    </row>
    <row r="23" spans="1:13" x14ac:dyDescent="0.25">
      <c r="A23" s="39" t="s">
        <v>502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.5" x14ac:dyDescent="0.5">
      <c r="A24" s="145" t="s">
        <v>175</v>
      </c>
      <c r="B24" s="126"/>
      <c r="C24" s="127"/>
      <c r="D24" s="159"/>
      <c r="E24" s="92"/>
      <c r="F24" s="126"/>
      <c r="G24" s="127"/>
      <c r="H24" s="32"/>
      <c r="I24" s="2"/>
      <c r="J24" s="52">
        <f>J25</f>
        <v>572.96799999999996</v>
      </c>
      <c r="K24" s="10">
        <f>498+42-38</f>
        <v>502</v>
      </c>
      <c r="L24" s="10">
        <f t="shared" ref="L24" si="13">K24-J24</f>
        <v>-70.967999999999961</v>
      </c>
      <c r="M24" s="136" t="s">
        <v>509</v>
      </c>
    </row>
    <row r="25" spans="1:13" x14ac:dyDescent="0.25">
      <c r="A25" s="133" t="s">
        <v>503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.5" x14ac:dyDescent="0.5">
      <c r="A26" s="145" t="s">
        <v>261</v>
      </c>
      <c r="B26" s="126"/>
      <c r="C26" s="127"/>
      <c r="D26" s="159"/>
      <c r="E26" s="92"/>
      <c r="F26" s="126"/>
      <c r="G26" s="127"/>
      <c r="H26" s="32"/>
      <c r="I26" s="2"/>
      <c r="J26" s="52">
        <f>J27</f>
        <v>625.20920000000001</v>
      </c>
      <c r="K26" s="10">
        <f>621+4</f>
        <v>625</v>
      </c>
      <c r="L26" s="10">
        <f t="shared" ref="L26" si="14">K26-J26</f>
        <v>-0.20920000000000982</v>
      </c>
      <c r="M26" s="136"/>
    </row>
    <row r="27" spans="1:13" x14ac:dyDescent="0.25">
      <c r="A27" s="39" t="s">
        <v>504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.5" x14ac:dyDescent="0.5">
      <c r="A28" s="145" t="s">
        <v>505</v>
      </c>
      <c r="B28" s="126"/>
      <c r="C28" s="127"/>
      <c r="D28" s="159"/>
      <c r="E28" s="92"/>
      <c r="F28" s="126"/>
      <c r="G28" s="127"/>
      <c r="H28" s="32"/>
      <c r="I28" s="2"/>
      <c r="J28" s="52">
        <f>J29</f>
        <v>1303.8086000000001</v>
      </c>
      <c r="K28" s="10">
        <v>1295</v>
      </c>
      <c r="L28" s="10">
        <f t="shared" ref="L28" si="15">K28-J28</f>
        <v>-8.8086000000000695</v>
      </c>
      <c r="M28" s="136"/>
    </row>
    <row r="29" spans="1:13" ht="15.75" thickBot="1" x14ac:dyDescent="0.3">
      <c r="A29" s="39" t="s">
        <v>312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K48" sqref="K48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41935</v>
      </c>
      <c r="D1" s="30"/>
    </row>
    <row r="2" spans="1:13" ht="21" x14ac:dyDescent="0.35">
      <c r="A2" s="55" t="s">
        <v>240</v>
      </c>
      <c r="B2" s="4"/>
      <c r="C2" s="16">
        <v>7100</v>
      </c>
      <c r="D2" s="30"/>
    </row>
    <row r="3" spans="1:13" ht="21" x14ac:dyDescent="0.35">
      <c r="A3" s="55" t="s">
        <v>241</v>
      </c>
      <c r="B3" s="4"/>
      <c r="C3" s="16">
        <v>4.0500000000000001E-2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2</v>
      </c>
      <c r="B6" s="154"/>
      <c r="C6" s="154"/>
      <c r="D6" s="2"/>
      <c r="E6" s="2"/>
      <c r="F6" s="154"/>
      <c r="G6" s="154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5"/>
    </row>
    <row r="7" spans="1:13" x14ac:dyDescent="0.25">
      <c r="A7" s="4" t="s">
        <v>510</v>
      </c>
      <c r="B7" s="4">
        <v>1</v>
      </c>
      <c r="C7" s="4">
        <v>34800</v>
      </c>
      <c r="D7" s="4">
        <f t="shared" ref="D7:D10" si="0">B7*C7</f>
        <v>34800</v>
      </c>
      <c r="E7" s="4">
        <f t="shared" ref="E7:E10" si="1"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25">
      <c r="A8" s="4" t="s">
        <v>274</v>
      </c>
      <c r="B8" s="4">
        <v>2</v>
      </c>
      <c r="C8" s="4">
        <v>3900</v>
      </c>
      <c r="D8" s="4">
        <f t="shared" si="0"/>
        <v>7800</v>
      </c>
      <c r="E8" s="4">
        <f t="shared" si="1"/>
        <v>780</v>
      </c>
      <c r="F8" s="4">
        <v>2500</v>
      </c>
      <c r="G8" s="4">
        <v>0.76</v>
      </c>
      <c r="H8" s="4">
        <f>G8*B8</f>
        <v>1.52</v>
      </c>
      <c r="I8" s="4">
        <f t="shared" ref="I8" si="2">H8*$C$2</f>
        <v>10792</v>
      </c>
      <c r="J8" s="51">
        <f t="shared" ref="J8" si="3">(D8+E8+F8+I8)*$C$3</f>
        <v>885.81600000000003</v>
      </c>
      <c r="K8" s="6"/>
      <c r="L8" s="17"/>
    </row>
    <row r="9" spans="1:13" x14ac:dyDescent="0.25">
      <c r="A9" s="4" t="s">
        <v>440</v>
      </c>
      <c r="B9" s="4">
        <v>1</v>
      </c>
      <c r="C9" s="4">
        <v>5990</v>
      </c>
      <c r="D9" s="4">
        <f t="shared" si="0"/>
        <v>5990</v>
      </c>
      <c r="E9" s="4">
        <f t="shared" si="1"/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25">
      <c r="A10" s="4" t="s">
        <v>511</v>
      </c>
      <c r="B10" s="4">
        <v>1</v>
      </c>
      <c r="C10" s="4">
        <v>16800</v>
      </c>
      <c r="D10" s="4">
        <f t="shared" si="0"/>
        <v>16800</v>
      </c>
      <c r="E10" s="4">
        <f t="shared" si="1"/>
        <v>1680</v>
      </c>
      <c r="F10" s="4">
        <v>0</v>
      </c>
      <c r="G10" s="18">
        <v>0.3</v>
      </c>
      <c r="H10" s="4">
        <f t="shared" ref="H10" si="4">G10</f>
        <v>0.3</v>
      </c>
      <c r="I10" s="4">
        <f t="shared" ref="I10" si="5">H10*$C$2</f>
        <v>2130</v>
      </c>
      <c r="J10" s="51">
        <f t="shared" ref="J10" si="6">(D10+E10+F10+I10)*$C$3</f>
        <v>834.70500000000004</v>
      </c>
      <c r="K10" s="6"/>
      <c r="L10" s="17"/>
      <c r="M10" s="135"/>
    </row>
    <row r="11" spans="1:13" ht="31.5" x14ac:dyDescent="0.5">
      <c r="A11" s="155" t="s">
        <v>356</v>
      </c>
      <c r="B11" s="154"/>
      <c r="C11" s="154"/>
      <c r="D11" s="2"/>
      <c r="E11" s="2"/>
      <c r="F11" s="154"/>
      <c r="G11" s="154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25">
      <c r="A12" s="4" t="s">
        <v>512</v>
      </c>
      <c r="B12" s="4">
        <v>1</v>
      </c>
      <c r="C12" s="4">
        <v>9900</v>
      </c>
      <c r="D12" s="4">
        <f t="shared" ref="D12:D13" si="7">B12*C12</f>
        <v>9900</v>
      </c>
      <c r="E12" s="4">
        <f t="shared" ref="E12:E13" si="8"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6"/>
    </row>
    <row r="13" spans="1:13" x14ac:dyDescent="0.25">
      <c r="A13" s="4" t="s">
        <v>513</v>
      </c>
      <c r="B13" s="4">
        <v>1</v>
      </c>
      <c r="C13" s="4">
        <v>12800</v>
      </c>
      <c r="D13" s="4">
        <f t="shared" si="7"/>
        <v>12800</v>
      </c>
      <c r="E13" s="4">
        <f t="shared" si="8"/>
        <v>1280</v>
      </c>
      <c r="F13" s="4">
        <v>0</v>
      </c>
      <c r="G13" s="18">
        <v>0.37</v>
      </c>
      <c r="H13" s="4">
        <f t="shared" ref="H13" si="9">G13</f>
        <v>0.37</v>
      </c>
      <c r="I13" s="4">
        <f t="shared" ref="I13" si="10">H13*$C$2</f>
        <v>2627</v>
      </c>
      <c r="J13" s="51">
        <f t="shared" ref="J13" si="11">(D13+E13+F13+I13)*$C$3</f>
        <v>676.63350000000003</v>
      </c>
      <c r="K13" s="6"/>
      <c r="L13" s="17"/>
      <c r="M13" s="136"/>
    </row>
    <row r="14" spans="1:13" ht="31.5" x14ac:dyDescent="0.5">
      <c r="A14" s="155" t="s">
        <v>514</v>
      </c>
      <c r="B14" s="154"/>
      <c r="C14" s="154"/>
      <c r="D14" s="2"/>
      <c r="E14" s="2"/>
      <c r="F14" s="154"/>
      <c r="G14" s="154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25">
      <c r="A15" s="4" t="s">
        <v>515</v>
      </c>
      <c r="B15" s="4">
        <v>1</v>
      </c>
      <c r="C15" s="4">
        <v>16800</v>
      </c>
      <c r="D15" s="4">
        <f t="shared" ref="D15:D16" si="12">B15*C15</f>
        <v>16800</v>
      </c>
      <c r="E15" s="4">
        <f t="shared" ref="E15:E16" si="13"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5"/>
    </row>
    <row r="16" spans="1:13" x14ac:dyDescent="0.25">
      <c r="A16" s="4" t="s">
        <v>512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>
        <f>2500/2</f>
        <v>1250</v>
      </c>
      <c r="G16" s="4">
        <v>0.3</v>
      </c>
      <c r="H16" s="4">
        <f t="shared" ref="H16" si="14">G16</f>
        <v>0.3</v>
      </c>
      <c r="I16" s="42">
        <f t="shared" ref="I16" si="15">H16*$C$2</f>
        <v>2130</v>
      </c>
      <c r="J16" s="51">
        <f t="shared" ref="J16" si="16">(D16+E16+F16+I16)*$C$3</f>
        <v>577.93500000000006</v>
      </c>
      <c r="K16" s="6"/>
      <c r="L16" s="17"/>
    </row>
    <row r="17" spans="1:13" ht="31.5" x14ac:dyDescent="0.5">
      <c r="A17" s="155" t="s">
        <v>461</v>
      </c>
      <c r="B17" s="154"/>
      <c r="C17" s="154"/>
      <c r="D17" s="2"/>
      <c r="E17" s="2"/>
      <c r="F17" s="154"/>
      <c r="G17" s="154"/>
      <c r="H17" s="2"/>
      <c r="I17" s="2"/>
      <c r="J17" s="52">
        <f>J18+J19</f>
        <v>1311.5601000000001</v>
      </c>
      <c r="K17" s="10">
        <f>1248+70</f>
        <v>1318</v>
      </c>
      <c r="L17" s="10">
        <f t="shared" ref="L17" si="17">K17-J17</f>
        <v>6.4398999999998523</v>
      </c>
      <c r="M17" s="136"/>
    </row>
    <row r="18" spans="1:13" x14ac:dyDescent="0.25">
      <c r="A18" s="4" t="s">
        <v>516</v>
      </c>
      <c r="B18" s="4">
        <v>1</v>
      </c>
      <c r="C18" s="4">
        <v>6200</v>
      </c>
      <c r="D18" s="4">
        <f t="shared" ref="D18:D19" si="18"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25">
      <c r="A19" s="161" t="s">
        <v>527</v>
      </c>
      <c r="B19" s="4">
        <v>1</v>
      </c>
      <c r="C19" s="4">
        <f>86250/5</f>
        <v>17250</v>
      </c>
      <c r="D19" s="4">
        <f t="shared" si="18"/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.5" x14ac:dyDescent="0.5">
      <c r="A20" s="155" t="s">
        <v>384</v>
      </c>
      <c r="B20" s="154"/>
      <c r="C20" s="154"/>
      <c r="D20" s="2"/>
      <c r="E20" s="2"/>
      <c r="F20" s="154"/>
      <c r="G20" s="154"/>
      <c r="H20" s="2"/>
      <c r="I20" s="2"/>
      <c r="J20" s="52">
        <f>J21</f>
        <v>516.61800000000005</v>
      </c>
      <c r="K20" s="10">
        <f>486+22</f>
        <v>508</v>
      </c>
      <c r="L20" s="10">
        <f t="shared" ref="L20" si="19">K20-J20</f>
        <v>-8.6180000000000518</v>
      </c>
      <c r="M20" s="136"/>
    </row>
    <row r="21" spans="1:13" x14ac:dyDescent="0.25">
      <c r="A21" s="4" t="s">
        <v>516</v>
      </c>
      <c r="B21" s="4">
        <v>1</v>
      </c>
      <c r="C21" s="4">
        <v>6200</v>
      </c>
      <c r="D21" s="4">
        <f t="shared" ref="D21" si="20"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.5" x14ac:dyDescent="0.5">
      <c r="A22" s="155" t="s">
        <v>131</v>
      </c>
      <c r="B22" s="154"/>
      <c r="C22" s="154"/>
      <c r="D22" s="2"/>
      <c r="E22" s="2"/>
      <c r="F22" s="154"/>
      <c r="G22" s="154"/>
      <c r="H22" s="2"/>
      <c r="I22" s="2"/>
      <c r="J22" s="52">
        <f>J23</f>
        <v>590.53050000000007</v>
      </c>
      <c r="K22" s="10">
        <f>557+26</f>
        <v>583</v>
      </c>
      <c r="L22" s="10">
        <f t="shared" ref="L22" si="21">K22-J22</f>
        <v>-7.5305000000000746</v>
      </c>
      <c r="M22" s="136"/>
    </row>
    <row r="23" spans="1:13" x14ac:dyDescent="0.25">
      <c r="A23" s="4" t="s">
        <v>517</v>
      </c>
      <c r="B23" s="4">
        <v>1</v>
      </c>
      <c r="C23" s="4">
        <v>11900</v>
      </c>
      <c r="D23" s="4">
        <f t="shared" ref="D23" si="22"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.5" x14ac:dyDescent="0.5">
      <c r="A24" s="155" t="s">
        <v>160</v>
      </c>
      <c r="B24" s="154"/>
      <c r="C24" s="154"/>
      <c r="D24" s="2"/>
      <c r="E24" s="2"/>
      <c r="F24" s="154"/>
      <c r="G24" s="154"/>
      <c r="H24" s="2"/>
      <c r="I24" s="2"/>
      <c r="J24" s="52">
        <f>J25+J26</f>
        <v>1011.8331000000001</v>
      </c>
      <c r="K24" s="10">
        <v>1000</v>
      </c>
      <c r="L24" s="10">
        <f t="shared" ref="L24" si="23">K24-J24</f>
        <v>-11.833100000000059</v>
      </c>
      <c r="M24" s="136"/>
    </row>
    <row r="25" spans="1:13" x14ac:dyDescent="0.25">
      <c r="A25" s="4" t="s">
        <v>173</v>
      </c>
      <c r="B25" s="4">
        <v>1</v>
      </c>
      <c r="C25" s="4">
        <v>2820</v>
      </c>
      <c r="D25" s="4">
        <f t="shared" ref="D25:D26" si="24"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25">
      <c r="A26" s="161" t="s">
        <v>527</v>
      </c>
      <c r="B26" s="4">
        <v>1</v>
      </c>
      <c r="C26" s="4">
        <f>86250/5</f>
        <v>17250</v>
      </c>
      <c r="D26" s="4">
        <f t="shared" si="24"/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.5" x14ac:dyDescent="0.5">
      <c r="A27" s="155" t="s">
        <v>333</v>
      </c>
      <c r="B27" s="154"/>
      <c r="C27" s="154"/>
      <c r="D27" s="2"/>
      <c r="E27" s="2"/>
      <c r="F27" s="154"/>
      <c r="G27" s="154"/>
      <c r="H27" s="2"/>
      <c r="I27" s="2"/>
      <c r="J27" s="52">
        <f>J28</f>
        <v>275.80500000000001</v>
      </c>
      <c r="K27" s="10">
        <v>400</v>
      </c>
      <c r="L27" s="10">
        <f t="shared" ref="L27" si="25">K27-J27</f>
        <v>124.19499999999999</v>
      </c>
      <c r="M27" s="136"/>
    </row>
    <row r="28" spans="1:13" x14ac:dyDescent="0.25">
      <c r="A28" s="4" t="s">
        <v>518</v>
      </c>
      <c r="B28" s="4">
        <v>1</v>
      </c>
      <c r="C28" s="4">
        <v>4900</v>
      </c>
      <c r="D28" s="4">
        <f t="shared" ref="D28" si="26"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.5" x14ac:dyDescent="0.5">
      <c r="A29" s="155" t="s">
        <v>519</v>
      </c>
      <c r="B29" s="154"/>
      <c r="C29" s="154"/>
      <c r="D29" s="2"/>
      <c r="E29" s="2"/>
      <c r="F29" s="154"/>
      <c r="G29" s="154"/>
      <c r="H29" s="2"/>
      <c r="I29" s="2"/>
      <c r="J29" s="52">
        <f>J30</f>
        <v>315.14400000000006</v>
      </c>
      <c r="K29" s="10">
        <f>300+15</f>
        <v>315</v>
      </c>
      <c r="L29" s="10">
        <f t="shared" ref="L29" si="27">K29-J29</f>
        <v>-0.1440000000000623</v>
      </c>
      <c r="M29" s="136"/>
    </row>
    <row r="30" spans="1:13" x14ac:dyDescent="0.25">
      <c r="A30" s="4" t="s">
        <v>520</v>
      </c>
      <c r="B30" s="4">
        <v>2</v>
      </c>
      <c r="C30" s="4">
        <f>7900/3</f>
        <v>2633.3333333333335</v>
      </c>
      <c r="D30" s="4">
        <f t="shared" ref="D30" si="28"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.5" x14ac:dyDescent="0.5">
      <c r="A31" s="153" t="s">
        <v>521</v>
      </c>
      <c r="B31" s="154"/>
      <c r="C31" s="154"/>
      <c r="D31" s="2"/>
      <c r="E31" s="2"/>
      <c r="F31" s="154"/>
      <c r="G31" s="154"/>
      <c r="H31" s="2"/>
      <c r="I31" s="2"/>
      <c r="J31" s="52">
        <f>J32</f>
        <v>794.9421000000001</v>
      </c>
      <c r="K31" s="10">
        <f>747+48</f>
        <v>795</v>
      </c>
      <c r="L31" s="10">
        <f t="shared" ref="L31" si="29">K31-J31</f>
        <v>5.7899999999904139E-2</v>
      </c>
    </row>
    <row r="32" spans="1:13" x14ac:dyDescent="0.25">
      <c r="A32" s="161" t="s">
        <v>527</v>
      </c>
      <c r="B32" s="4">
        <v>1</v>
      </c>
      <c r="C32" s="4">
        <f>86250/5</f>
        <v>17250</v>
      </c>
      <c r="D32" s="4">
        <f t="shared" ref="D32" si="30"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.5" x14ac:dyDescent="0.5">
      <c r="A33" s="153" t="s">
        <v>522</v>
      </c>
      <c r="B33" s="154"/>
      <c r="C33" s="154"/>
      <c r="D33" s="2"/>
      <c r="E33" s="2"/>
      <c r="F33" s="154"/>
      <c r="G33" s="154"/>
      <c r="H33" s="2"/>
      <c r="I33" s="2"/>
      <c r="J33" s="52">
        <f>J34</f>
        <v>794.9421000000001</v>
      </c>
      <c r="K33" s="10">
        <f>747+48</f>
        <v>795</v>
      </c>
      <c r="L33" s="10">
        <f t="shared" ref="L33" si="31">K33-J33</f>
        <v>5.7899999999904139E-2</v>
      </c>
    </row>
    <row r="34" spans="1:12" x14ac:dyDescent="0.25">
      <c r="A34" s="161" t="s">
        <v>527</v>
      </c>
      <c r="B34" s="4">
        <v>1</v>
      </c>
      <c r="C34" s="4">
        <f>86250/5</f>
        <v>17250</v>
      </c>
      <c r="D34" s="4">
        <f t="shared" ref="D34" si="32"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.5" x14ac:dyDescent="0.5">
      <c r="A35" s="153" t="s">
        <v>523</v>
      </c>
      <c r="B35" s="154"/>
      <c r="C35" s="154"/>
      <c r="D35" s="2"/>
      <c r="E35" s="2"/>
      <c r="F35" s="154"/>
      <c r="G35" s="154"/>
      <c r="H35" s="2"/>
      <c r="I35" s="2"/>
      <c r="J35" s="52">
        <f>J36</f>
        <v>794.9421000000001</v>
      </c>
      <c r="K35" s="10">
        <f>747+48</f>
        <v>795</v>
      </c>
      <c r="L35" s="10">
        <f t="shared" ref="L35" si="33">K35-J35</f>
        <v>5.7899999999904139E-2</v>
      </c>
    </row>
    <row r="36" spans="1:12" x14ac:dyDescent="0.25">
      <c r="A36" s="161" t="s">
        <v>527</v>
      </c>
      <c r="B36" s="4">
        <v>1</v>
      </c>
      <c r="C36" s="4">
        <f>86250/5</f>
        <v>17250</v>
      </c>
      <c r="D36" s="4">
        <f t="shared" ref="D36" si="34"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.5" x14ac:dyDescent="0.5">
      <c r="A37" s="153" t="s">
        <v>524</v>
      </c>
      <c r="B37" s="154"/>
      <c r="C37" s="154"/>
      <c r="D37" s="2"/>
      <c r="E37" s="2"/>
      <c r="F37" s="154"/>
      <c r="G37" s="154"/>
      <c r="H37" s="2"/>
      <c r="I37" s="2"/>
      <c r="J37" s="52">
        <f>J38</f>
        <v>794.9421000000001</v>
      </c>
      <c r="K37" s="10">
        <f>747+48</f>
        <v>795</v>
      </c>
      <c r="L37" s="10">
        <f t="shared" ref="L37" si="35">K37-J37</f>
        <v>5.7899999999904139E-2</v>
      </c>
    </row>
    <row r="38" spans="1:12" x14ac:dyDescent="0.25">
      <c r="A38" s="161" t="s">
        <v>527</v>
      </c>
      <c r="B38" s="4">
        <v>1</v>
      </c>
      <c r="C38" s="4">
        <f>86250/5</f>
        <v>17250</v>
      </c>
      <c r="D38" s="4">
        <f t="shared" ref="D38" si="36"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.5" x14ac:dyDescent="0.5">
      <c r="A39" s="153" t="s">
        <v>525</v>
      </c>
      <c r="B39" s="154"/>
      <c r="C39" s="154"/>
      <c r="D39" s="2"/>
      <c r="E39" s="2"/>
      <c r="F39" s="154"/>
      <c r="G39" s="154"/>
      <c r="H39" s="2"/>
      <c r="I39" s="2"/>
      <c r="J39" s="52">
        <f>J40</f>
        <v>794.9421000000001</v>
      </c>
      <c r="K39" s="10">
        <f>747+48</f>
        <v>795</v>
      </c>
      <c r="L39" s="10">
        <f t="shared" ref="L39" si="37">K39-J39</f>
        <v>5.7899999999904139E-2</v>
      </c>
    </row>
    <row r="40" spans="1:12" x14ac:dyDescent="0.25">
      <c r="A40" s="161" t="s">
        <v>527</v>
      </c>
      <c r="B40" s="4">
        <v>1</v>
      </c>
      <c r="C40" s="4">
        <f>86250/5</f>
        <v>17250</v>
      </c>
      <c r="D40" s="4">
        <f t="shared" ref="D40" si="38"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.5" x14ac:dyDescent="0.5">
      <c r="A41" s="153" t="s">
        <v>526</v>
      </c>
      <c r="B41" s="154"/>
      <c r="C41" s="154"/>
      <c r="D41" s="2"/>
      <c r="E41" s="2"/>
      <c r="F41" s="154"/>
      <c r="G41" s="154"/>
      <c r="H41" s="2"/>
      <c r="I41" s="2"/>
      <c r="J41" s="52">
        <f>J42</f>
        <v>794.9421000000001</v>
      </c>
      <c r="K41" s="10">
        <f>747+48</f>
        <v>795</v>
      </c>
      <c r="L41" s="10">
        <f t="shared" ref="L41" si="39">K41-J41</f>
        <v>5.7899999999904139E-2</v>
      </c>
    </row>
    <row r="42" spans="1:12" x14ac:dyDescent="0.25">
      <c r="A42" s="161" t="s">
        <v>527</v>
      </c>
      <c r="B42" s="4">
        <v>1</v>
      </c>
      <c r="C42" s="4">
        <f>86250/5</f>
        <v>17250</v>
      </c>
      <c r="D42" s="4">
        <f t="shared" ref="D42" si="40"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.5" x14ac:dyDescent="0.5">
      <c r="A43" s="153" t="s">
        <v>528</v>
      </c>
      <c r="B43" s="154"/>
      <c r="C43" s="154"/>
      <c r="D43" s="2"/>
      <c r="E43" s="2"/>
      <c r="F43" s="154"/>
      <c r="G43" s="154"/>
      <c r="H43" s="2"/>
      <c r="I43" s="2"/>
      <c r="J43" s="52">
        <f>J44</f>
        <v>794.9421000000001</v>
      </c>
      <c r="K43" s="10">
        <f>747+48</f>
        <v>795</v>
      </c>
      <c r="L43" s="10">
        <f t="shared" ref="L43" si="41">K43-J43</f>
        <v>5.7899999999904139E-2</v>
      </c>
    </row>
    <row r="44" spans="1:12" x14ac:dyDescent="0.25">
      <c r="A44" s="161" t="s">
        <v>527</v>
      </c>
      <c r="B44" s="4">
        <v>1</v>
      </c>
      <c r="C44" s="4">
        <f>86250/5</f>
        <v>17250</v>
      </c>
      <c r="D44" s="4">
        <f t="shared" ref="D44" si="42"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.5" x14ac:dyDescent="0.5">
      <c r="A45" s="153" t="s">
        <v>39</v>
      </c>
      <c r="B45" s="154"/>
      <c r="C45" s="154"/>
      <c r="D45" s="2"/>
      <c r="E45" s="2"/>
      <c r="F45" s="154"/>
      <c r="G45" s="154"/>
      <c r="H45" s="2"/>
      <c r="I45" s="2"/>
      <c r="J45" s="52">
        <f>J46</f>
        <v>440.63189999999997</v>
      </c>
      <c r="K45" s="10">
        <f>416+25</f>
        <v>441</v>
      </c>
      <c r="L45" s="10">
        <f t="shared" ref="L45" si="43">K45-J45</f>
        <v>0.36810000000002674</v>
      </c>
    </row>
    <row r="46" spans="1:12" x14ac:dyDescent="0.25">
      <c r="A46" s="162" t="s">
        <v>529</v>
      </c>
      <c r="B46" s="4">
        <v>1</v>
      </c>
      <c r="C46" s="4">
        <f>45000/5</f>
        <v>9000</v>
      </c>
      <c r="D46" s="4">
        <f t="shared" ref="D46" si="44"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.5" x14ac:dyDescent="0.5">
      <c r="A47" s="153" t="s">
        <v>366</v>
      </c>
      <c r="B47" s="154"/>
      <c r="C47" s="154"/>
      <c r="D47" s="2"/>
      <c r="E47" s="2"/>
      <c r="F47" s="154"/>
      <c r="G47" s="154"/>
      <c r="H47" s="2"/>
      <c r="I47" s="2"/>
      <c r="J47" s="52">
        <f>J48</f>
        <v>440.63189999999997</v>
      </c>
      <c r="K47" s="10">
        <f>427+17</f>
        <v>444</v>
      </c>
      <c r="L47" s="10">
        <f t="shared" ref="L47" si="45">K47-J47</f>
        <v>3.3681000000000267</v>
      </c>
    </row>
    <row r="48" spans="1:12" x14ac:dyDescent="0.25">
      <c r="A48" s="162" t="s">
        <v>529</v>
      </c>
      <c r="B48" s="4">
        <v>1</v>
      </c>
      <c r="C48" s="4">
        <f>45000/5</f>
        <v>9000</v>
      </c>
      <c r="D48" s="37">
        <f t="shared" ref="D48" si="46"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.5" x14ac:dyDescent="0.5">
      <c r="A49" s="153" t="s">
        <v>530</v>
      </c>
      <c r="B49" s="154"/>
      <c r="C49" s="154"/>
      <c r="D49" s="32"/>
      <c r="E49" s="92"/>
      <c r="F49" s="154"/>
      <c r="G49" s="154"/>
      <c r="H49" s="32"/>
      <c r="I49" s="2"/>
      <c r="J49" s="52">
        <f>J50</f>
        <v>440.63189999999997</v>
      </c>
      <c r="K49" s="10">
        <f>416+25</f>
        <v>441</v>
      </c>
      <c r="L49" s="10">
        <f t="shared" ref="L49" si="47">K49-J49</f>
        <v>0.36810000000002674</v>
      </c>
    </row>
    <row r="50" spans="1:12" x14ac:dyDescent="0.25">
      <c r="A50" s="162" t="s">
        <v>529</v>
      </c>
      <c r="B50" s="4">
        <v>1</v>
      </c>
      <c r="C50" s="4">
        <f>45000/5</f>
        <v>9000</v>
      </c>
      <c r="D50" s="37">
        <f t="shared" ref="D50" si="48"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.5" x14ac:dyDescent="0.5">
      <c r="A51" s="153" t="s">
        <v>531</v>
      </c>
      <c r="B51" s="154"/>
      <c r="C51" s="154"/>
      <c r="D51" s="32"/>
      <c r="E51" s="92"/>
      <c r="F51" s="154"/>
      <c r="G51" s="154"/>
      <c r="H51" s="32"/>
      <c r="I51" s="2"/>
      <c r="J51" s="52">
        <f>J52</f>
        <v>440.63189999999997</v>
      </c>
      <c r="K51" s="10">
        <f>416+25</f>
        <v>441</v>
      </c>
      <c r="L51" s="10">
        <f t="shared" ref="L51" si="49">K51-J51</f>
        <v>0.36810000000002674</v>
      </c>
    </row>
    <row r="52" spans="1:12" x14ac:dyDescent="0.25">
      <c r="A52" s="162" t="s">
        <v>529</v>
      </c>
      <c r="B52" s="4">
        <v>1</v>
      </c>
      <c r="C52" s="4">
        <f>45000/5</f>
        <v>9000</v>
      </c>
      <c r="D52" s="37">
        <f t="shared" ref="D52" si="50"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41962</v>
      </c>
      <c r="D1" s="30"/>
    </row>
    <row r="2" spans="1:13" ht="21" x14ac:dyDescent="0.35">
      <c r="A2" s="55" t="s">
        <v>240</v>
      </c>
      <c r="B2" s="4"/>
      <c r="C2" s="16">
        <v>7050</v>
      </c>
      <c r="D2" s="30"/>
    </row>
    <row r="3" spans="1:13" ht="21" x14ac:dyDescent="0.35">
      <c r="A3" s="55" t="s">
        <v>241</v>
      </c>
      <c r="B3" s="4"/>
      <c r="C3" s="16">
        <v>4.2000000000000003E-2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535</v>
      </c>
      <c r="B6" s="154"/>
      <c r="C6" s="154"/>
      <c r="D6" s="2"/>
      <c r="E6" s="2"/>
      <c r="F6" s="154"/>
      <c r="G6" s="154"/>
      <c r="H6" s="2"/>
      <c r="I6" s="2"/>
      <c r="J6" s="52">
        <f>J7</f>
        <v>546.21</v>
      </c>
      <c r="K6" s="10">
        <f>54+500</f>
        <v>554</v>
      </c>
      <c r="L6" s="10">
        <f t="shared" ref="L6" si="0">K6-J6</f>
        <v>7.7899999999999636</v>
      </c>
      <c r="M6" s="136"/>
    </row>
    <row r="7" spans="1:13" x14ac:dyDescent="0.25">
      <c r="A7" s="17" t="s">
        <v>536</v>
      </c>
      <c r="B7" s="4">
        <v>1</v>
      </c>
      <c r="C7" s="4">
        <v>9900</v>
      </c>
      <c r="D7" s="4">
        <f t="shared" ref="D7" si="1"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.5" x14ac:dyDescent="0.5">
      <c r="A8" s="155" t="s">
        <v>2</v>
      </c>
      <c r="B8" s="154"/>
      <c r="C8" s="154"/>
      <c r="D8" s="2"/>
      <c r="E8" s="2"/>
      <c r="F8" s="154"/>
      <c r="G8" s="154"/>
      <c r="H8" s="2"/>
      <c r="I8" s="2"/>
      <c r="J8" s="52">
        <f>J9</f>
        <v>2151.2400000000002</v>
      </c>
      <c r="K8" s="10">
        <f>2077+74</f>
        <v>2151</v>
      </c>
      <c r="L8" s="10">
        <f t="shared" ref="L8" si="2">K8-J8</f>
        <v>-0.24000000000023647</v>
      </c>
    </row>
    <row r="9" spans="1:13" x14ac:dyDescent="0.25">
      <c r="A9" s="17" t="s">
        <v>537</v>
      </c>
      <c r="B9" s="4">
        <v>1</v>
      </c>
      <c r="C9" s="4">
        <v>44000</v>
      </c>
      <c r="D9" s="4">
        <f t="shared" ref="D9" si="3"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.5" x14ac:dyDescent="0.5">
      <c r="A10" s="155" t="s">
        <v>505</v>
      </c>
      <c r="B10" s="154"/>
      <c r="C10" s="154"/>
      <c r="D10" s="2"/>
      <c r="E10" s="2"/>
      <c r="F10" s="154"/>
      <c r="G10" s="154"/>
      <c r="H10" s="2"/>
      <c r="I10" s="2"/>
      <c r="J10" s="52">
        <f>J11</f>
        <v>3082.9050000000002</v>
      </c>
      <c r="K10" s="10">
        <v>2979</v>
      </c>
      <c r="L10" s="10">
        <f t="shared" ref="L10" si="4">K10-J10</f>
        <v>-103.9050000000002</v>
      </c>
    </row>
    <row r="11" spans="1:13" x14ac:dyDescent="0.25">
      <c r="A11" s="4" t="s">
        <v>538</v>
      </c>
      <c r="B11" s="4">
        <v>5</v>
      </c>
      <c r="C11" s="164">
        <v>12000</v>
      </c>
      <c r="D11" s="4">
        <f t="shared" ref="D11" si="5">B11*C11</f>
        <v>60000</v>
      </c>
      <c r="E11" s="4">
        <f>D11*0.1</f>
        <v>6000</v>
      </c>
      <c r="F11" s="4">
        <v>0</v>
      </c>
      <c r="G11" s="164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.5" x14ac:dyDescent="0.5">
      <c r="A12" s="155" t="s">
        <v>384</v>
      </c>
      <c r="B12" s="154"/>
      <c r="C12" s="154"/>
      <c r="D12" s="2"/>
      <c r="E12" s="2"/>
      <c r="F12" s="154"/>
      <c r="G12" s="154"/>
      <c r="H12" s="2"/>
      <c r="I12" s="2"/>
      <c r="J12" s="52">
        <f>J13</f>
        <v>202.24260000000001</v>
      </c>
      <c r="K12" s="10">
        <f>196+7</f>
        <v>203</v>
      </c>
      <c r="L12" s="10">
        <f t="shared" ref="L12" si="6">K12-J12</f>
        <v>0.75739999999998986</v>
      </c>
    </row>
    <row r="13" spans="1:13" x14ac:dyDescent="0.25">
      <c r="A13" s="4" t="s">
        <v>539</v>
      </c>
      <c r="B13" s="4">
        <v>3</v>
      </c>
      <c r="C13" s="4">
        <f>11900/10</f>
        <v>1190</v>
      </c>
      <c r="D13" s="4">
        <f t="shared" ref="D13" si="7"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.5" x14ac:dyDescent="0.5">
      <c r="A14" s="155" t="s">
        <v>540</v>
      </c>
      <c r="B14" s="154"/>
      <c r="C14" s="154"/>
      <c r="D14" s="2"/>
      <c r="E14" s="2"/>
      <c r="F14" s="154"/>
      <c r="G14" s="154"/>
      <c r="H14" s="2"/>
      <c r="I14" s="2"/>
      <c r="J14" s="52">
        <f>J15</f>
        <v>134.82839999999999</v>
      </c>
      <c r="K14" s="10">
        <f>130+5</f>
        <v>135</v>
      </c>
      <c r="L14" s="10">
        <f t="shared" ref="L14" si="8">K14-J14</f>
        <v>0.17160000000001219</v>
      </c>
    </row>
    <row r="15" spans="1:13" x14ac:dyDescent="0.25">
      <c r="A15" s="4" t="s">
        <v>541</v>
      </c>
      <c r="B15" s="4">
        <v>2</v>
      </c>
      <c r="C15" s="4">
        <f>11900/10</f>
        <v>1190</v>
      </c>
      <c r="D15" s="4">
        <f t="shared" ref="D15" si="9"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41992</v>
      </c>
      <c r="D1" s="30"/>
    </row>
    <row r="2" spans="1:13" ht="21" x14ac:dyDescent="0.35">
      <c r="A2" s="55" t="s">
        <v>240</v>
      </c>
      <c r="B2" s="4"/>
      <c r="C2" s="16">
        <v>7050</v>
      </c>
      <c r="D2" s="30"/>
    </row>
    <row r="3" spans="1:13" ht="21" x14ac:dyDescent="0.35">
      <c r="A3" s="55" t="s">
        <v>241</v>
      </c>
      <c r="B3" s="4"/>
      <c r="C3" s="16">
        <v>5.0200000000000002E-2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5" t="s">
        <v>542</v>
      </c>
      <c r="B6" s="126"/>
      <c r="C6" s="127"/>
      <c r="D6" s="32"/>
      <c r="E6" s="92"/>
      <c r="F6" s="126"/>
      <c r="G6" s="127"/>
      <c r="H6" s="32"/>
      <c r="I6" s="2"/>
      <c r="J6" s="52">
        <f>J7</f>
        <v>544.54449999999997</v>
      </c>
      <c r="K6" s="10">
        <v>529</v>
      </c>
      <c r="L6" s="10">
        <f t="shared" ref="L6" si="0">K6-J6</f>
        <v>-15.544499999999971</v>
      </c>
      <c r="M6" s="136"/>
    </row>
    <row r="7" spans="1:13" x14ac:dyDescent="0.25">
      <c r="A7" s="39" t="s">
        <v>57</v>
      </c>
      <c r="B7" s="98">
        <v>1</v>
      </c>
      <c r="C7" s="99">
        <v>8900</v>
      </c>
      <c r="D7" s="37">
        <f t="shared" ref="D7" si="1"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.5" x14ac:dyDescent="0.5">
      <c r="A8" s="145" t="s">
        <v>543</v>
      </c>
      <c r="B8" s="126"/>
      <c r="C8" s="127"/>
      <c r="D8" s="32"/>
      <c r="E8" s="92"/>
      <c r="F8" s="126"/>
      <c r="G8" s="127"/>
      <c r="H8" s="32"/>
      <c r="I8" s="2"/>
      <c r="J8" s="52">
        <f>J9</f>
        <v>736.96109999999999</v>
      </c>
      <c r="K8" s="10">
        <v>737</v>
      </c>
      <c r="L8" s="10">
        <f t="shared" ref="L8" si="2">K8-J8</f>
        <v>3.8900000000012369E-2</v>
      </c>
    </row>
    <row r="9" spans="1:13" x14ac:dyDescent="0.25">
      <c r="A9" s="39" t="s">
        <v>538</v>
      </c>
      <c r="B9" s="98">
        <v>1</v>
      </c>
      <c r="C9" s="99">
        <v>12000</v>
      </c>
      <c r="D9" s="37">
        <f t="shared" ref="D9" si="3"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.5" x14ac:dyDescent="0.5">
      <c r="A10" s="145" t="s">
        <v>544</v>
      </c>
      <c r="B10" s="172" t="s">
        <v>547</v>
      </c>
      <c r="C10" s="127"/>
      <c r="D10" s="32"/>
      <c r="E10" s="92"/>
      <c r="F10" s="126"/>
      <c r="G10" s="127"/>
      <c r="H10" s="32"/>
      <c r="I10" s="2"/>
      <c r="J10" s="52">
        <f>J11</f>
        <v>412.9452</v>
      </c>
      <c r="K10" s="10">
        <v>413</v>
      </c>
      <c r="L10" s="10">
        <f t="shared" ref="L10" si="4">K10-J10</f>
        <v>5.4800000000000182E-2</v>
      </c>
    </row>
    <row r="11" spans="1:13" x14ac:dyDescent="0.25">
      <c r="A11" s="39" t="s">
        <v>112</v>
      </c>
      <c r="B11" s="98">
        <v>3</v>
      </c>
      <c r="C11" s="99">
        <v>1980</v>
      </c>
      <c r="D11" s="37">
        <f t="shared" ref="D11" si="5"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.5" x14ac:dyDescent="0.5">
      <c r="A12" s="145" t="s">
        <v>505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3684.8054999999999</v>
      </c>
      <c r="K12" s="10">
        <v>3694</v>
      </c>
      <c r="L12" s="10">
        <f t="shared" ref="L12" si="6">K12-J12</f>
        <v>9.1945000000000618</v>
      </c>
    </row>
    <row r="13" spans="1:13" x14ac:dyDescent="0.25">
      <c r="A13" s="39" t="s">
        <v>538</v>
      </c>
      <c r="B13" s="98">
        <v>5</v>
      </c>
      <c r="C13" s="169">
        <v>12000</v>
      </c>
      <c r="D13" s="37">
        <f t="shared" ref="D13" si="7">B13*C13</f>
        <v>60000</v>
      </c>
      <c r="E13" s="39">
        <f>D13*0.1</f>
        <v>6000</v>
      </c>
      <c r="F13" s="98">
        <v>0</v>
      </c>
      <c r="G13" s="169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.5" x14ac:dyDescent="0.5">
      <c r="A14" s="145" t="s">
        <v>346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582.06900000000007</v>
      </c>
      <c r="K14" s="10">
        <v>520</v>
      </c>
      <c r="L14" s="10">
        <f t="shared" ref="L14" si="8">K14-J14</f>
        <v>-62.069000000000074</v>
      </c>
    </row>
    <row r="15" spans="1:13" x14ac:dyDescent="0.25">
      <c r="A15" s="171" t="s">
        <v>545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170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.5" x14ac:dyDescent="0.5">
      <c r="A16" s="145" t="s">
        <v>160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590.55280000000005</v>
      </c>
      <c r="K16" s="10">
        <v>538</v>
      </c>
      <c r="L16" s="10">
        <f t="shared" ref="L16" si="10">K16-J16</f>
        <v>-52.552800000000047</v>
      </c>
    </row>
    <row r="17" spans="1:12" x14ac:dyDescent="0.25">
      <c r="A17" s="171" t="s">
        <v>546</v>
      </c>
      <c r="B17" s="98">
        <v>1</v>
      </c>
      <c r="C17" s="99">
        <v>8900</v>
      </c>
      <c r="D17" s="37">
        <f t="shared" ref="D17" si="11"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.5" x14ac:dyDescent="0.5">
      <c r="A18" s="145" t="s">
        <v>384</v>
      </c>
      <c r="B18" s="126"/>
      <c r="C18" s="127"/>
      <c r="D18" s="32"/>
      <c r="E18" s="92"/>
      <c r="F18" s="126"/>
      <c r="G18" s="127"/>
      <c r="H18" s="32"/>
      <c r="I18" s="2"/>
      <c r="J18" s="52">
        <f>J19+J20</f>
        <v>1448.1445000000001</v>
      </c>
      <c r="K18" s="10">
        <v>1448</v>
      </c>
      <c r="L18" s="10">
        <f t="shared" ref="L18" si="12">K18-J18</f>
        <v>-0.14450000000010732</v>
      </c>
    </row>
    <row r="19" spans="1:12" x14ac:dyDescent="0.25">
      <c r="A19" s="171" t="s">
        <v>549</v>
      </c>
      <c r="B19" s="98">
        <v>1</v>
      </c>
      <c r="C19" s="99">
        <v>12800</v>
      </c>
      <c r="D19" s="37">
        <f t="shared" ref="D19" si="13">B19*C19</f>
        <v>12800</v>
      </c>
      <c r="E19" s="39">
        <f>D19*0.1</f>
        <v>1280</v>
      </c>
      <c r="F19" s="98">
        <v>0</v>
      </c>
      <c r="G19" s="170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.75" thickBot="1" x14ac:dyDescent="0.3">
      <c r="A20" s="171" t="s">
        <v>548</v>
      </c>
      <c r="B20" s="102">
        <v>1</v>
      </c>
      <c r="C20" s="103">
        <v>9900</v>
      </c>
      <c r="D20" s="37">
        <f t="shared" ref="D20" si="14"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41999</v>
      </c>
      <c r="D1" s="30"/>
    </row>
    <row r="2" spans="1:13" ht="21" x14ac:dyDescent="0.35">
      <c r="A2" s="55" t="s">
        <v>240</v>
      </c>
      <c r="B2" s="4"/>
      <c r="C2" s="16">
        <v>7900</v>
      </c>
      <c r="D2" s="30"/>
    </row>
    <row r="3" spans="1:13" ht="21" x14ac:dyDescent="0.35">
      <c r="A3" s="55" t="s">
        <v>241</v>
      </c>
      <c r="B3" s="4"/>
      <c r="C3" s="16">
        <v>4.9000000000000002E-2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552</v>
      </c>
      <c r="B6" s="154"/>
      <c r="C6" s="154"/>
      <c r="D6" s="32"/>
      <c r="E6" s="92"/>
      <c r="F6" s="126"/>
      <c r="G6" s="127"/>
      <c r="H6" s="32"/>
      <c r="I6" s="2"/>
      <c r="J6" s="52">
        <f>J7</f>
        <v>553.553</v>
      </c>
      <c r="K6" s="10">
        <f>551+3</f>
        <v>554</v>
      </c>
      <c r="L6" s="10">
        <f t="shared" ref="L6" si="0">K6-J6</f>
        <v>0.44700000000000273</v>
      </c>
      <c r="M6" s="136"/>
    </row>
    <row r="7" spans="1:13" x14ac:dyDescent="0.25">
      <c r="A7" s="4" t="s">
        <v>553</v>
      </c>
      <c r="B7" s="4">
        <v>1</v>
      </c>
      <c r="C7" s="4">
        <v>7900</v>
      </c>
      <c r="D7" s="37">
        <f t="shared" ref="D7" si="1"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.5" x14ac:dyDescent="0.5">
      <c r="A8" s="155" t="s">
        <v>290</v>
      </c>
      <c r="B8" s="154"/>
      <c r="C8" s="154"/>
      <c r="D8" s="32"/>
      <c r="E8" s="92"/>
      <c r="F8" s="154"/>
      <c r="G8" s="154"/>
      <c r="H8" s="32"/>
      <c r="I8" s="2"/>
      <c r="J8" s="52">
        <f>J9+J10</f>
        <v>1064.5250000000001</v>
      </c>
      <c r="K8" s="10">
        <f>833+232</f>
        <v>1065</v>
      </c>
      <c r="L8" s="10">
        <f t="shared" ref="L8" si="2">K8-J8</f>
        <v>0.47499999999990905</v>
      </c>
    </row>
    <row r="9" spans="1:13" x14ac:dyDescent="0.25">
      <c r="A9" s="4" t="s">
        <v>553</v>
      </c>
      <c r="B9" s="4">
        <v>1</v>
      </c>
      <c r="C9" s="4">
        <v>7900</v>
      </c>
      <c r="D9" s="37">
        <f t="shared" ref="D9:D10" si="3"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25">
      <c r="A10" s="17" t="s">
        <v>378</v>
      </c>
      <c r="B10" s="4">
        <v>1</v>
      </c>
      <c r="C10" s="4">
        <v>7900</v>
      </c>
      <c r="D10" s="37">
        <f t="shared" si="3"/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.5" x14ac:dyDescent="0.5">
      <c r="A11" s="155" t="s">
        <v>346</v>
      </c>
      <c r="B11" s="154"/>
      <c r="C11" s="154"/>
      <c r="D11" s="32"/>
      <c r="E11" s="92"/>
      <c r="F11" s="154"/>
      <c r="G11" s="154"/>
      <c r="H11" s="32"/>
      <c r="I11" s="2"/>
      <c r="J11" s="52">
        <f>J12</f>
        <v>532.82600000000002</v>
      </c>
      <c r="K11" s="10">
        <v>536</v>
      </c>
      <c r="L11" s="10">
        <f t="shared" ref="L11" si="4">K11-J11</f>
        <v>3.1739999999999782</v>
      </c>
    </row>
    <row r="12" spans="1:13" x14ac:dyDescent="0.25">
      <c r="A12" s="4" t="s">
        <v>440</v>
      </c>
      <c r="B12" s="4">
        <v>1</v>
      </c>
      <c r="C12" s="4">
        <v>6320</v>
      </c>
      <c r="D12" s="37">
        <f t="shared" ref="D12" si="5"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.5" x14ac:dyDescent="0.5">
      <c r="A13" s="155" t="s">
        <v>366</v>
      </c>
      <c r="B13" s="154"/>
      <c r="C13" s="154"/>
      <c r="D13" s="32"/>
      <c r="E13" s="92"/>
      <c r="F13" s="154"/>
      <c r="G13" s="154"/>
      <c r="H13" s="32"/>
      <c r="I13" s="2"/>
      <c r="J13" s="52">
        <f>J14</f>
        <v>1148.56</v>
      </c>
      <c r="K13" s="10">
        <f>1147+2</f>
        <v>1149</v>
      </c>
      <c r="L13" s="10">
        <f t="shared" ref="L13" si="6">K13-J13</f>
        <v>0.44000000000005457</v>
      </c>
    </row>
    <row r="14" spans="1:13" x14ac:dyDescent="0.25">
      <c r="A14" s="4" t="s">
        <v>554</v>
      </c>
      <c r="B14" s="4">
        <v>1</v>
      </c>
      <c r="C14" s="4">
        <v>17000</v>
      </c>
      <c r="D14" s="37">
        <f t="shared" ref="D14" si="7"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42020</v>
      </c>
      <c r="D1" s="30"/>
    </row>
    <row r="2" spans="1:13" ht="21" x14ac:dyDescent="0.35">
      <c r="A2" s="55" t="s">
        <v>240</v>
      </c>
      <c r="B2" s="4"/>
      <c r="C2" s="16">
        <v>8220</v>
      </c>
      <c r="D2" s="30"/>
    </row>
    <row r="3" spans="1:13" ht="21" x14ac:dyDescent="0.35">
      <c r="A3" s="55" t="s">
        <v>241</v>
      </c>
      <c r="B3" s="4"/>
      <c r="C3" s="177">
        <v>6.1800000000000001E-2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556</v>
      </c>
      <c r="B6" s="154"/>
      <c r="C6" s="154"/>
      <c r="D6" s="2"/>
      <c r="E6" s="2"/>
      <c r="F6" s="154"/>
      <c r="G6" s="154"/>
      <c r="H6" s="2"/>
      <c r="I6" s="2"/>
      <c r="J6" s="52">
        <f>J7</f>
        <v>943.08860000000004</v>
      </c>
      <c r="K6" s="10">
        <f>70</f>
        <v>70</v>
      </c>
      <c r="L6" s="178">
        <f t="shared" ref="L6" si="0">K6-J6</f>
        <v>-873.08860000000004</v>
      </c>
      <c r="M6" s="136"/>
    </row>
    <row r="7" spans="1:13" x14ac:dyDescent="0.25">
      <c r="A7" s="4" t="s">
        <v>557</v>
      </c>
      <c r="B7" s="4">
        <v>1</v>
      </c>
      <c r="C7" s="4">
        <v>10500</v>
      </c>
      <c r="D7" s="4">
        <f t="shared" ref="D7" si="1">B7*C7</f>
        <v>10500</v>
      </c>
      <c r="E7" s="4">
        <f>D7*0.1</f>
        <v>1050</v>
      </c>
      <c r="F7" s="174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.5" x14ac:dyDescent="0.5">
      <c r="A8" s="155" t="s">
        <v>333</v>
      </c>
      <c r="B8" s="154"/>
      <c r="C8" s="154"/>
      <c r="D8" s="2"/>
      <c r="E8" s="2"/>
      <c r="F8" s="173"/>
      <c r="G8" s="154"/>
      <c r="H8" s="2"/>
      <c r="I8" s="2"/>
      <c r="J8" s="52">
        <f>J9+J10</f>
        <v>1624.4377199999999</v>
      </c>
      <c r="K8" s="10">
        <f>1372+100+60-23</f>
        <v>1509</v>
      </c>
      <c r="L8" s="10">
        <f t="shared" ref="L8" si="2">K8-J8</f>
        <v>-115.4377199999999</v>
      </c>
      <c r="M8" t="s">
        <v>575</v>
      </c>
    </row>
    <row r="9" spans="1:13" x14ac:dyDescent="0.25">
      <c r="A9" s="4" t="s">
        <v>558</v>
      </c>
      <c r="B9" s="4">
        <v>1</v>
      </c>
      <c r="C9" s="4">
        <v>10000</v>
      </c>
      <c r="D9" s="4">
        <f t="shared" ref="D9:D10" si="3">B9*C9</f>
        <v>10000</v>
      </c>
      <c r="E9" s="4">
        <f>D9*0.1</f>
        <v>1000</v>
      </c>
      <c r="F9" s="175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25">
      <c r="A10" s="4" t="s">
        <v>572</v>
      </c>
      <c r="B10" s="4">
        <v>1</v>
      </c>
      <c r="C10" s="4">
        <v>8500</v>
      </c>
      <c r="D10" s="4">
        <f t="shared" si="3"/>
        <v>8500</v>
      </c>
      <c r="E10" s="4">
        <f>D10*0.1</f>
        <v>850</v>
      </c>
      <c r="F10" s="175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.5" x14ac:dyDescent="0.5">
      <c r="A11" s="155" t="s">
        <v>559</v>
      </c>
      <c r="B11" s="154"/>
      <c r="C11" s="154"/>
      <c r="D11" s="2"/>
      <c r="E11" s="2"/>
      <c r="F11" s="173"/>
      <c r="G11" s="154"/>
      <c r="H11" s="2"/>
      <c r="I11" s="2"/>
      <c r="J11" s="52">
        <f>SUM(J12:J14)</f>
        <v>4068.8296</v>
      </c>
      <c r="K11" s="10">
        <f>1000+2736+280+53</f>
        <v>4069</v>
      </c>
      <c r="L11" s="10">
        <f t="shared" ref="L11" si="4">K11-J11</f>
        <v>0.17039999999997235</v>
      </c>
    </row>
    <row r="12" spans="1:13" x14ac:dyDescent="0.25">
      <c r="A12" s="176" t="s">
        <v>573</v>
      </c>
      <c r="B12" s="5">
        <v>2</v>
      </c>
      <c r="C12" s="5">
        <v>10900</v>
      </c>
      <c r="D12" s="4">
        <f t="shared" ref="D12" si="5">B12*C12</f>
        <v>21800</v>
      </c>
      <c r="E12" s="4">
        <f>D12*0.1</f>
        <v>2180</v>
      </c>
      <c r="F12" s="174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25">
      <c r="A13" s="17" t="s">
        <v>560</v>
      </c>
      <c r="B13" s="4">
        <v>1</v>
      </c>
      <c r="C13" s="4">
        <v>7920</v>
      </c>
      <c r="D13" s="4">
        <f t="shared" ref="D13" si="6">B13*C13</f>
        <v>7920</v>
      </c>
      <c r="E13" s="4">
        <f>D13*0.1</f>
        <v>792</v>
      </c>
      <c r="F13" s="175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25">
      <c r="A14" s="4" t="s">
        <v>561</v>
      </c>
      <c r="B14" s="4">
        <v>1</v>
      </c>
      <c r="C14" s="4">
        <v>19620</v>
      </c>
      <c r="D14" s="4">
        <f t="shared" ref="D14" si="7">B14*C14</f>
        <v>19620</v>
      </c>
      <c r="E14" s="4">
        <f>D14*0.1</f>
        <v>1962</v>
      </c>
      <c r="F14" s="175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.5" x14ac:dyDescent="0.5">
      <c r="A15" s="155" t="s">
        <v>366</v>
      </c>
      <c r="B15" s="154"/>
      <c r="C15" s="154"/>
      <c r="D15" s="2"/>
      <c r="E15" s="2"/>
      <c r="F15" s="173"/>
      <c r="G15" s="154"/>
      <c r="H15" s="2"/>
      <c r="I15" s="2"/>
      <c r="J15" s="52">
        <f>SUM(J16:J19)</f>
        <v>3260.8399200000003</v>
      </c>
      <c r="K15" s="10">
        <f>2981+280</f>
        <v>3261</v>
      </c>
      <c r="L15" s="10">
        <f t="shared" ref="L15" si="8">K15-J15</f>
        <v>0.1600799999996525</v>
      </c>
    </row>
    <row r="16" spans="1:13" x14ac:dyDescent="0.25">
      <c r="A16" s="4" t="s">
        <v>562</v>
      </c>
      <c r="B16" s="4">
        <v>1</v>
      </c>
      <c r="C16" s="4">
        <v>12800</v>
      </c>
      <c r="D16" s="4">
        <f t="shared" ref="D16:D19" si="9">B16*C16</f>
        <v>12800</v>
      </c>
      <c r="E16" s="4">
        <f>D16*0.1</f>
        <v>1280</v>
      </c>
      <c r="F16" s="175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25">
      <c r="A17" s="4" t="s">
        <v>572</v>
      </c>
      <c r="B17" s="4">
        <v>1</v>
      </c>
      <c r="C17" s="4">
        <v>8500</v>
      </c>
      <c r="D17" s="4">
        <f t="shared" ref="D17" si="10">B17*C17</f>
        <v>8500</v>
      </c>
      <c r="E17" s="4">
        <f>D17*0.1</f>
        <v>850</v>
      </c>
      <c r="F17" s="175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25">
      <c r="A18" s="4" t="s">
        <v>563</v>
      </c>
      <c r="B18" s="4">
        <v>1</v>
      </c>
      <c r="C18" s="4">
        <v>9900</v>
      </c>
      <c r="D18" s="4">
        <f t="shared" si="9"/>
        <v>9900</v>
      </c>
      <c r="E18" s="4">
        <f>D18*0.1</f>
        <v>990</v>
      </c>
      <c r="F18" s="175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25">
      <c r="A19" s="4" t="s">
        <v>564</v>
      </c>
      <c r="B19" s="4">
        <v>1</v>
      </c>
      <c r="C19" s="4">
        <v>3510</v>
      </c>
      <c r="D19" s="4">
        <f t="shared" si="9"/>
        <v>3510</v>
      </c>
      <c r="E19" s="4">
        <f>D19*0.1</f>
        <v>351</v>
      </c>
      <c r="F19" s="175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.5" x14ac:dyDescent="0.5">
      <c r="A20" s="155" t="s">
        <v>565</v>
      </c>
      <c r="B20" s="154"/>
      <c r="C20" s="154"/>
      <c r="D20" s="2"/>
      <c r="E20" s="2"/>
      <c r="F20" s="173"/>
      <c r="G20" s="154"/>
      <c r="H20" s="2"/>
      <c r="I20" s="2"/>
      <c r="J20" s="52">
        <f>J21</f>
        <v>2690.5248000000001</v>
      </c>
      <c r="K20" s="10">
        <f>2746-55</f>
        <v>2691</v>
      </c>
      <c r="L20" s="10">
        <f t="shared" ref="L20" si="11">K20-J20</f>
        <v>0.47519999999985885</v>
      </c>
      <c r="M20" t="s">
        <v>574</v>
      </c>
    </row>
    <row r="21" spans="1:13" x14ac:dyDescent="0.25">
      <c r="A21" s="4" t="s">
        <v>566</v>
      </c>
      <c r="B21" s="4">
        <v>2</v>
      </c>
      <c r="C21" s="4">
        <v>16800</v>
      </c>
      <c r="D21" s="4">
        <f t="shared" ref="D21" si="12">B21*C21</f>
        <v>33600</v>
      </c>
      <c r="E21" s="4">
        <f>D21*0.1</f>
        <v>3360</v>
      </c>
      <c r="F21" s="175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.5" x14ac:dyDescent="0.5">
      <c r="A22" s="155" t="s">
        <v>567</v>
      </c>
      <c r="B22" s="154"/>
      <c r="C22" s="154"/>
      <c r="D22" s="2"/>
      <c r="E22" s="2"/>
      <c r="F22" s="173"/>
      <c r="G22" s="154"/>
      <c r="H22" s="2"/>
      <c r="I22" s="2"/>
      <c r="J22" s="52">
        <f>J23</f>
        <v>537.37159999999994</v>
      </c>
      <c r="K22" s="10">
        <f>484+53</f>
        <v>537</v>
      </c>
      <c r="L22" s="10">
        <f t="shared" ref="L22" si="13">K22-J22</f>
        <v>-0.37159999999994398</v>
      </c>
    </row>
    <row r="23" spans="1:13" x14ac:dyDescent="0.25">
      <c r="A23" s="4" t="s">
        <v>568</v>
      </c>
      <c r="B23" s="4">
        <v>1</v>
      </c>
      <c r="C23" s="4">
        <v>6400</v>
      </c>
      <c r="D23" s="4">
        <f t="shared" ref="D23" si="14">B23*C23</f>
        <v>6400</v>
      </c>
      <c r="E23" s="4">
        <f>D23*0.1</f>
        <v>640</v>
      </c>
      <c r="F23" s="175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.5" x14ac:dyDescent="0.5">
      <c r="A24" s="155" t="s">
        <v>569</v>
      </c>
      <c r="B24" s="154"/>
      <c r="C24" s="154"/>
      <c r="D24" s="2"/>
      <c r="E24" s="2"/>
      <c r="F24" s="173"/>
      <c r="G24" s="154"/>
      <c r="H24" s="2"/>
      <c r="I24" s="2"/>
      <c r="J24" s="52">
        <f>J25+J26</f>
        <v>2194.12248</v>
      </c>
      <c r="K24" s="10">
        <f>1972+222</f>
        <v>2194</v>
      </c>
      <c r="L24" s="10">
        <f t="shared" ref="L24" si="15">K24-J24</f>
        <v>-0.12247999999999593</v>
      </c>
    </row>
    <row r="25" spans="1:13" x14ac:dyDescent="0.25">
      <c r="A25" s="4" t="s">
        <v>570</v>
      </c>
      <c r="B25" s="4">
        <v>2</v>
      </c>
      <c r="C25" s="4">
        <v>7900</v>
      </c>
      <c r="D25" s="4">
        <f t="shared" ref="D25" si="16">B25*C25</f>
        <v>15800</v>
      </c>
      <c r="E25" s="4">
        <f>D25*0.1</f>
        <v>1580</v>
      </c>
      <c r="F25" s="175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25">
      <c r="A26" s="4" t="s">
        <v>571</v>
      </c>
      <c r="B26" s="4">
        <v>1</v>
      </c>
      <c r="C26" s="4">
        <v>9900</v>
      </c>
      <c r="D26" s="4">
        <f t="shared" ref="D26" si="17">B26*C26</f>
        <v>9900</v>
      </c>
      <c r="E26" s="4">
        <f>D26*0.1</f>
        <v>990</v>
      </c>
      <c r="F26" s="175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42048</v>
      </c>
      <c r="D1" s="30"/>
    </row>
    <row r="2" spans="1:13" ht="21" x14ac:dyDescent="0.35">
      <c r="A2" s="55" t="s">
        <v>240</v>
      </c>
      <c r="B2" s="4"/>
      <c r="C2" s="16">
        <v>7900</v>
      </c>
      <c r="D2" s="30"/>
    </row>
    <row r="3" spans="1:13" ht="21" x14ac:dyDescent="0.35">
      <c r="A3" s="55" t="s">
        <v>241</v>
      </c>
      <c r="B3" s="4"/>
      <c r="C3" s="177">
        <v>6.0999999999999999E-2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505</v>
      </c>
      <c r="B6" s="154"/>
      <c r="C6" s="154"/>
      <c r="D6" s="2"/>
      <c r="E6" s="2"/>
      <c r="F6" s="154"/>
      <c r="G6" s="154"/>
      <c r="H6" s="2"/>
      <c r="I6" s="2"/>
      <c r="J6" s="52">
        <f>J7</f>
        <v>4531.9949999999999</v>
      </c>
      <c r="K6" s="10">
        <v>4626</v>
      </c>
      <c r="L6" s="10">
        <f t="shared" ref="L6" si="0">K6-J6</f>
        <v>94.005000000000109</v>
      </c>
      <c r="M6" s="136"/>
    </row>
    <row r="7" spans="1:13" x14ac:dyDescent="0.25">
      <c r="A7" s="5" t="s">
        <v>538</v>
      </c>
      <c r="B7" s="5">
        <v>5</v>
      </c>
      <c r="C7" s="164">
        <v>12000</v>
      </c>
      <c r="D7" s="4">
        <f t="shared" ref="D7" si="1">B7*C7</f>
        <v>60000</v>
      </c>
      <c r="E7" s="4">
        <f>D7*0.1</f>
        <v>6000</v>
      </c>
      <c r="F7" s="5">
        <v>0</v>
      </c>
      <c r="G7" s="164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.5" x14ac:dyDescent="0.5">
      <c r="A8" s="155" t="s">
        <v>346</v>
      </c>
      <c r="B8" s="154"/>
      <c r="C8" s="154"/>
      <c r="D8" s="2"/>
      <c r="E8" s="2"/>
      <c r="F8" s="154"/>
      <c r="G8" s="154"/>
      <c r="H8" s="2"/>
      <c r="I8" s="2"/>
      <c r="J8" s="52">
        <f>J9</f>
        <v>569.25199999999995</v>
      </c>
      <c r="K8" s="10">
        <f>580-14</f>
        <v>566</v>
      </c>
      <c r="L8" s="10">
        <f t="shared" ref="L8" si="2">K8-J8</f>
        <v>-3.2519999999999527</v>
      </c>
      <c r="M8" s="136" t="s">
        <v>597</v>
      </c>
    </row>
    <row r="9" spans="1:13" x14ac:dyDescent="0.25">
      <c r="A9" s="5" t="s">
        <v>576</v>
      </c>
      <c r="B9" s="4">
        <v>1</v>
      </c>
      <c r="C9" s="4">
        <v>4200</v>
      </c>
      <c r="D9" s="4">
        <f t="shared" ref="D9" si="3"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.5" x14ac:dyDescent="0.5">
      <c r="A10" s="155" t="s">
        <v>304</v>
      </c>
      <c r="B10" s="154"/>
      <c r="C10" s="154"/>
      <c r="D10" s="2"/>
      <c r="E10" s="2"/>
      <c r="F10" s="154"/>
      <c r="G10" s="154"/>
      <c r="H10" s="2"/>
      <c r="I10" s="2"/>
      <c r="J10" s="52">
        <f>J11+J12</f>
        <v>1639.68</v>
      </c>
      <c r="K10" s="10">
        <f>2077-437</f>
        <v>1640</v>
      </c>
      <c r="L10" s="10">
        <f t="shared" ref="L10" si="4">K10-J10</f>
        <v>0.31999999999993634</v>
      </c>
      <c r="M10" t="s">
        <v>588</v>
      </c>
    </row>
    <row r="11" spans="1:13" x14ac:dyDescent="0.25">
      <c r="A11" s="4" t="s">
        <v>577</v>
      </c>
      <c r="B11" s="4">
        <v>1</v>
      </c>
      <c r="C11" s="4">
        <v>8000</v>
      </c>
      <c r="D11" s="4">
        <f t="shared" ref="D11:D12" si="5"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25">
      <c r="A12" s="4" t="s">
        <v>578</v>
      </c>
      <c r="B12" s="4">
        <v>1</v>
      </c>
      <c r="C12" s="4">
        <v>15000</v>
      </c>
      <c r="D12" s="4">
        <f t="shared" si="5"/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.5" x14ac:dyDescent="0.5">
      <c r="A13" s="155" t="s">
        <v>2</v>
      </c>
      <c r="B13" s="154"/>
      <c r="C13" s="154"/>
      <c r="D13" s="2"/>
      <c r="E13" s="2"/>
      <c r="F13" s="154"/>
      <c r="G13" s="154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589</v>
      </c>
    </row>
    <row r="14" spans="1:13" x14ac:dyDescent="0.25">
      <c r="A14" s="4" t="s">
        <v>579</v>
      </c>
      <c r="B14" s="4">
        <v>1</v>
      </c>
      <c r="C14" s="4">
        <v>8900</v>
      </c>
      <c r="D14" s="4">
        <f t="shared" ref="D14:D16" si="6"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25">
      <c r="A15" s="4" t="s">
        <v>580</v>
      </c>
      <c r="B15" s="4">
        <v>1</v>
      </c>
      <c r="C15" s="4">
        <v>5900</v>
      </c>
      <c r="D15" s="4">
        <f t="shared" si="6"/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25">
      <c r="A16" s="4" t="s">
        <v>581</v>
      </c>
      <c r="B16" s="4">
        <v>1</v>
      </c>
      <c r="C16" s="4">
        <v>5280</v>
      </c>
      <c r="D16" s="4">
        <f t="shared" si="6"/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.5" x14ac:dyDescent="0.5">
      <c r="A17" s="155" t="s">
        <v>384</v>
      </c>
      <c r="B17" s="154"/>
      <c r="C17" s="154"/>
      <c r="D17" s="2"/>
      <c r="E17" s="2"/>
      <c r="F17" s="154"/>
      <c r="G17" s="154"/>
      <c r="H17" s="2"/>
      <c r="I17" s="2"/>
      <c r="J17" s="52">
        <f>SUM(J18:J20)</f>
        <v>2498.8650000000002</v>
      </c>
      <c r="K17" s="10">
        <f>2590-91</f>
        <v>2499</v>
      </c>
      <c r="L17" s="10">
        <f t="shared" ref="L17" si="7">K17-J17</f>
        <v>0.13499999999976353</v>
      </c>
      <c r="M17" t="s">
        <v>587</v>
      </c>
    </row>
    <row r="18" spans="1:13" x14ac:dyDescent="0.25">
      <c r="A18" s="17" t="s">
        <v>582</v>
      </c>
      <c r="B18" s="4">
        <v>1</v>
      </c>
      <c r="C18" s="4">
        <v>9900</v>
      </c>
      <c r="D18" s="4">
        <f t="shared" ref="D18:D20" si="8"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25">
      <c r="A19" s="17" t="s">
        <v>584</v>
      </c>
      <c r="B19" s="4">
        <v>1</v>
      </c>
      <c r="C19" s="4">
        <v>9900</v>
      </c>
      <c r="D19" s="4">
        <f t="shared" si="8"/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25">
      <c r="A20" s="17" t="s">
        <v>583</v>
      </c>
      <c r="B20" s="4">
        <v>1</v>
      </c>
      <c r="C20" s="4">
        <v>9900</v>
      </c>
      <c r="D20" s="4">
        <f t="shared" si="8"/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283</v>
      </c>
      <c r="B1" s="4"/>
      <c r="C1" s="15">
        <v>42076</v>
      </c>
      <c r="D1" s="30"/>
    </row>
    <row r="2" spans="1:13" ht="21" x14ac:dyDescent="0.35">
      <c r="A2" s="55" t="s">
        <v>240</v>
      </c>
      <c r="B2" s="4"/>
      <c r="C2" s="16">
        <v>8530</v>
      </c>
      <c r="D2" s="30"/>
    </row>
    <row r="3" spans="1:13" ht="21" x14ac:dyDescent="0.35">
      <c r="A3" s="55" t="s">
        <v>241</v>
      </c>
      <c r="B3" s="4"/>
      <c r="C3" s="177">
        <v>5.5100000000000003E-2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497</v>
      </c>
      <c r="B6" s="154"/>
      <c r="C6" s="154"/>
      <c r="D6" s="154"/>
      <c r="E6" s="2"/>
      <c r="F6" s="154"/>
      <c r="G6" s="154"/>
      <c r="H6" s="2"/>
      <c r="I6" s="2"/>
      <c r="J6" s="52">
        <f>J7</f>
        <v>1771.0793000000001</v>
      </c>
      <c r="K6" s="10">
        <v>1771</v>
      </c>
      <c r="L6" s="10">
        <f t="shared" ref="L6" si="0">K6-J6</f>
        <v>-7.9300000000102955E-2</v>
      </c>
      <c r="M6" s="136"/>
    </row>
    <row r="7" spans="1:13" x14ac:dyDescent="0.25">
      <c r="A7" s="4" t="s">
        <v>590</v>
      </c>
      <c r="B7" s="4">
        <v>2</v>
      </c>
      <c r="C7" s="164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.5" x14ac:dyDescent="0.5">
      <c r="A8" s="155" t="s">
        <v>505</v>
      </c>
      <c r="B8" s="154"/>
      <c r="C8" s="154"/>
      <c r="D8" s="154"/>
      <c r="E8" s="2"/>
      <c r="F8" s="154"/>
      <c r="G8" s="154"/>
      <c r="H8" s="2"/>
      <c r="I8" s="2"/>
      <c r="J8" s="52">
        <f>J9</f>
        <v>4466.9074100000007</v>
      </c>
      <c r="K8" s="10">
        <v>4373</v>
      </c>
      <c r="L8" s="10">
        <f t="shared" ref="L8" si="1">K8-J8</f>
        <v>-93.907410000000709</v>
      </c>
      <c r="M8" s="136"/>
    </row>
    <row r="9" spans="1:13" x14ac:dyDescent="0.25">
      <c r="A9" s="5" t="s">
        <v>538</v>
      </c>
      <c r="B9" s="5">
        <v>7</v>
      </c>
      <c r="C9" s="164">
        <v>8900</v>
      </c>
      <c r="D9" s="5">
        <f>B9*C9</f>
        <v>62300</v>
      </c>
      <c r="E9" s="4">
        <f>D9*0.1</f>
        <v>6230</v>
      </c>
      <c r="F9" s="5">
        <v>0</v>
      </c>
      <c r="G9" s="164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.5" x14ac:dyDescent="0.5">
      <c r="A10" s="155" t="s">
        <v>591</v>
      </c>
      <c r="B10" s="154"/>
      <c r="C10" s="154"/>
      <c r="D10" s="154"/>
      <c r="E10" s="2"/>
      <c r="F10" s="154"/>
      <c r="G10" s="154"/>
      <c r="H10" s="2"/>
      <c r="I10" s="2"/>
      <c r="J10" s="52">
        <f>J11</f>
        <v>694.03960000000006</v>
      </c>
      <c r="K10" s="10">
        <v>694</v>
      </c>
      <c r="L10" s="10">
        <f t="shared" ref="L10" si="2">K10-J10</f>
        <v>-3.9600000000064028E-2</v>
      </c>
      <c r="M10" s="136"/>
    </row>
    <row r="11" spans="1:13" x14ac:dyDescent="0.25">
      <c r="A11" s="4" t="s">
        <v>592</v>
      </c>
      <c r="B11" s="5">
        <v>1</v>
      </c>
      <c r="C11" s="5">
        <v>9900</v>
      </c>
      <c r="D11" s="5">
        <f t="shared" ref="D11" si="3"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.5" x14ac:dyDescent="0.5">
      <c r="A12" s="155" t="s">
        <v>593</v>
      </c>
      <c r="B12" s="154"/>
      <c r="C12" s="154"/>
      <c r="D12" s="154"/>
      <c r="E12" s="2"/>
      <c r="F12" s="154"/>
      <c r="G12" s="154"/>
      <c r="H12" s="2"/>
      <c r="I12" s="2"/>
      <c r="J12" s="52">
        <f>J13</f>
        <v>641.14359999999999</v>
      </c>
      <c r="K12" s="10">
        <v>641</v>
      </c>
      <c r="L12" s="10">
        <f t="shared" ref="L12:L14" si="4">K12-J12</f>
        <v>-0.14359999999999218</v>
      </c>
      <c r="M12" s="136"/>
    </row>
    <row r="13" spans="1:13" x14ac:dyDescent="0.25">
      <c r="A13" s="4" t="s">
        <v>594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.5" x14ac:dyDescent="0.5">
      <c r="A14" s="155" t="s">
        <v>596</v>
      </c>
      <c r="B14" s="154"/>
      <c r="C14" s="154"/>
      <c r="D14" s="154"/>
      <c r="E14" s="2"/>
      <c r="F14" s="154"/>
      <c r="G14" s="154"/>
      <c r="H14" s="2"/>
      <c r="I14" s="2"/>
      <c r="J14" s="52">
        <f>J15</f>
        <v>1276.25926</v>
      </c>
      <c r="K14" s="10">
        <v>1276</v>
      </c>
      <c r="L14" s="10">
        <f t="shared" si="4"/>
        <v>-0.25926000000004024</v>
      </c>
      <c r="M14" s="136"/>
    </row>
    <row r="15" spans="1:13" x14ac:dyDescent="0.25">
      <c r="A15" s="5" t="s">
        <v>312</v>
      </c>
      <c r="B15" s="5">
        <v>2</v>
      </c>
      <c r="C15" s="164">
        <v>8900</v>
      </c>
      <c r="D15" s="5">
        <f>B15*C15</f>
        <v>17800</v>
      </c>
      <c r="E15" s="4">
        <f>D15*0.1</f>
        <v>1780</v>
      </c>
      <c r="F15" s="5">
        <v>0</v>
      </c>
      <c r="G15" s="164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6.26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v>30.12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.25" x14ac:dyDescent="0.4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6.65</v>
      </c>
      <c r="D12" s="4">
        <f t="shared" ref="D12:D14" si="0">B12*C12</f>
        <v>13.3</v>
      </c>
      <c r="E12" s="4">
        <f t="shared" ref="E12:E14" si="1"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2.504</v>
      </c>
      <c r="I12" s="4">
        <f t="shared" ref="I12:I22" si="3">D12+F12+H12+E12</f>
        <v>17.149000000000001</v>
      </c>
      <c r="J12" s="9">
        <f t="shared" ref="J12:J64" si="4">I12*$C$4</f>
        <v>516.5278800000001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1.252</v>
      </c>
      <c r="I13" s="4">
        <f t="shared" si="3"/>
        <v>6.4576666666666664</v>
      </c>
      <c r="J13" s="9">
        <f t="shared" si="4"/>
        <v>194.50492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1.8779999999999999</v>
      </c>
      <c r="I14" s="4">
        <f t="shared" si="3"/>
        <v>9.7424999999999997</v>
      </c>
      <c r="J14" s="9">
        <f t="shared" si="4"/>
        <v>293.44409999999999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 t="shared" ref="L15:L74" si="6">K15-J15</f>
        <v>0.2744499999994332</v>
      </c>
    </row>
    <row r="16" spans="1:12" ht="26.25" x14ac:dyDescent="0.4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2"/>
        <v>5.6339999999999995</v>
      </c>
      <c r="I16" s="4">
        <f t="shared" si="3"/>
        <v>44.473500000000001</v>
      </c>
      <c r="J16" s="9">
        <f t="shared" si="4"/>
        <v>1339.5418200000001</v>
      </c>
      <c r="K16" s="9"/>
      <c r="L16" s="10"/>
    </row>
    <row r="17" spans="1:13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</f>
        <v>2.38</v>
      </c>
      <c r="G17" s="4">
        <f>0.3*B17</f>
        <v>0.89999999999999991</v>
      </c>
      <c r="H17" s="4">
        <f t="shared" si="2"/>
        <v>5.6339999999999995</v>
      </c>
      <c r="I17" s="4">
        <f t="shared" si="3"/>
        <v>33.213999999999999</v>
      </c>
      <c r="J17" s="9">
        <f t="shared" si="4"/>
        <v>1000.40568</v>
      </c>
      <c r="K17" s="9"/>
      <c r="L17" s="10"/>
    </row>
    <row r="18" spans="1:13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1.252</v>
      </c>
      <c r="I18" s="4">
        <f t="shared" si="3"/>
        <v>8.115499999999999</v>
      </c>
      <c r="J18" s="9">
        <f t="shared" si="4"/>
        <v>244.43885999999998</v>
      </c>
      <c r="K18" s="9"/>
      <c r="L18" s="10"/>
    </row>
    <row r="19" spans="1:13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0.626</v>
      </c>
      <c r="I19" s="4">
        <f t="shared" si="3"/>
        <v>5.5557500000000006</v>
      </c>
      <c r="J19" s="9">
        <f t="shared" si="4"/>
        <v>167.33919000000003</v>
      </c>
      <c r="K19" s="9"/>
      <c r="L19" s="10"/>
    </row>
    <row r="20" spans="1:13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 t="shared" si="6"/>
        <v>-11.045720000000074</v>
      </c>
    </row>
    <row r="21" spans="1:13" ht="26.25" x14ac:dyDescent="0.4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2"/>
        <v>3.7560000000000002</v>
      </c>
      <c r="I21" s="4">
        <f t="shared" si="3"/>
        <v>25.723500000000001</v>
      </c>
      <c r="J21" s="9">
        <f t="shared" si="4"/>
        <v>774.79182000000003</v>
      </c>
      <c r="K21" s="9"/>
      <c r="L21" s="10"/>
    </row>
    <row r="22" spans="1:13" ht="26.25" x14ac:dyDescent="0.4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2"/>
        <v>5.6339999999999995</v>
      </c>
      <c r="I22" s="4">
        <f t="shared" si="3"/>
        <v>16.907500000000002</v>
      </c>
      <c r="J22" s="9">
        <f t="shared" si="4"/>
        <v>509.2539000000001</v>
      </c>
      <c r="K22" s="9"/>
      <c r="L22" s="10"/>
    </row>
    <row r="23" spans="1:13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 t="shared" si="6"/>
        <v>-1.5881719999999859</v>
      </c>
    </row>
    <row r="24" spans="1:13" ht="26.25" x14ac:dyDescent="0.4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 t="shared" ref="E24:E25" si="8"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4"/>
        <v>492.37465200000003</v>
      </c>
      <c r="K24" s="9"/>
      <c r="L24" s="10"/>
    </row>
    <row r="25" spans="1:13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4"/>
        <v>209.21351999999999</v>
      </c>
      <c r="K25" s="9"/>
      <c r="L25" s="10"/>
    </row>
    <row r="26" spans="1:13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.25" x14ac:dyDescent="0.4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4"/>
        <v>0</v>
      </c>
      <c r="K27" s="25"/>
      <c r="L27" s="26"/>
    </row>
    <row r="28" spans="1:13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4"/>
        <v>481.19711999999998</v>
      </c>
      <c r="K28" s="9"/>
      <c r="L28" s="10"/>
    </row>
    <row r="29" spans="1:13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4"/>
        <v>444.30011999999999</v>
      </c>
      <c r="K29" s="9"/>
      <c r="L29" s="10"/>
    </row>
    <row r="30" spans="1:13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4"/>
        <v>562.67172000000005</v>
      </c>
      <c r="K31" s="9"/>
      <c r="L31" s="10"/>
    </row>
    <row r="32" spans="1:13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0.626</v>
      </c>
      <c r="I32" s="4">
        <f t="shared" ref="I32" si="11">D32+F32+H32+E32</f>
        <v>5.5557500000000006</v>
      </c>
      <c r="J32" s="9">
        <f t="shared" si="4"/>
        <v>167.33919000000003</v>
      </c>
      <c r="K32" s="9"/>
      <c r="L32" s="10"/>
    </row>
    <row r="33" spans="1:13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 t="shared" si="6"/>
        <v>511.32540000000017</v>
      </c>
    </row>
    <row r="34" spans="1:13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0</v>
      </c>
      <c r="G34" s="4">
        <v>0.4</v>
      </c>
      <c r="H34" s="4">
        <f>G34*$C$2</f>
        <v>2.504</v>
      </c>
      <c r="I34" s="4">
        <f>D34+F34+H34+E34</f>
        <v>10.6625</v>
      </c>
      <c r="J34" s="9">
        <f t="shared" si="4"/>
        <v>321.15449999999998</v>
      </c>
      <c r="K34" s="9"/>
      <c r="L34" s="10"/>
    </row>
    <row r="35" spans="1:13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0</v>
      </c>
      <c r="G35" s="4">
        <v>0.2</v>
      </c>
      <c r="H35" s="4">
        <f t="shared" ref="H35:H39" si="13">G35*$C$2</f>
        <v>1.252</v>
      </c>
      <c r="I35" s="4">
        <f t="shared" ref="I35:I39" si="14">D35+F35+H35+E35</f>
        <v>9.8725000000000023</v>
      </c>
      <c r="J35" s="9">
        <f t="shared" si="4"/>
        <v>297.35970000000009</v>
      </c>
      <c r="K35" s="9"/>
      <c r="L35" s="10"/>
    </row>
    <row r="36" spans="1:13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0</v>
      </c>
      <c r="G36" s="4">
        <v>0.2</v>
      </c>
      <c r="H36" s="4">
        <f t="shared" si="13"/>
        <v>1.252</v>
      </c>
      <c r="I36" s="4">
        <f t="shared" si="14"/>
        <v>8.98</v>
      </c>
      <c r="J36" s="9">
        <f t="shared" si="4"/>
        <v>270.4776</v>
      </c>
      <c r="K36" s="9"/>
      <c r="L36" s="10"/>
    </row>
    <row r="37" spans="1:13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0</v>
      </c>
      <c r="G37" s="4">
        <v>0.2</v>
      </c>
      <c r="H37" s="4">
        <f t="shared" si="13"/>
        <v>1.252</v>
      </c>
      <c r="I37" s="4">
        <f t="shared" si="14"/>
        <v>9.4105000000000008</v>
      </c>
      <c r="J37" s="9">
        <f t="shared" si="4"/>
        <v>283.44426000000004</v>
      </c>
      <c r="K37" s="9"/>
      <c r="L37" s="10"/>
    </row>
    <row r="38" spans="1:13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0</v>
      </c>
      <c r="G38" s="4">
        <v>0.3</v>
      </c>
      <c r="H38" s="4">
        <f t="shared" si="13"/>
        <v>1.8779999999999999</v>
      </c>
      <c r="I38" s="4">
        <f t="shared" si="14"/>
        <v>10.0365</v>
      </c>
      <c r="J38" s="9">
        <f t="shared" si="4"/>
        <v>302.29938000000004</v>
      </c>
      <c r="K38" s="9"/>
      <c r="L38" s="10"/>
    </row>
    <row r="39" spans="1:13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0</v>
      </c>
      <c r="G39" s="4">
        <v>0.3</v>
      </c>
      <c r="H39" s="4">
        <f t="shared" si="13"/>
        <v>1.8779999999999999</v>
      </c>
      <c r="I39" s="4">
        <f t="shared" si="14"/>
        <v>13.743</v>
      </c>
      <c r="J39" s="9">
        <f t="shared" si="4"/>
        <v>413.93916000000002</v>
      </c>
      <c r="K39" s="9"/>
      <c r="L39" s="10"/>
    </row>
    <row r="40" spans="1:13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 t="shared" si="6"/>
        <v>5.4950800000000015</v>
      </c>
    </row>
    <row r="41" spans="1:13" ht="26.25" x14ac:dyDescent="0.4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1.252</v>
      </c>
      <c r="I41" s="4">
        <f>D41+F41+H41+E41</f>
        <v>6.4576666666666664</v>
      </c>
      <c r="J41" s="9">
        <f t="shared" si="4"/>
        <v>194.50492</v>
      </c>
      <c r="K41" s="9"/>
      <c r="L41" s="10"/>
    </row>
    <row r="42" spans="1:13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 t="shared" si="6"/>
        <v>57.49036000000001</v>
      </c>
    </row>
    <row r="43" spans="1:13" ht="26.25" x14ac:dyDescent="0.4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4"/>
        <v>241.24111999999997</v>
      </c>
      <c r="K43" s="9"/>
      <c r="L43" s="10"/>
    </row>
    <row r="44" spans="1:13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4"/>
        <v>160.26852000000002</v>
      </c>
      <c r="K44" s="9"/>
      <c r="L44" s="10"/>
    </row>
    <row r="45" spans="1:13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.25" x14ac:dyDescent="0.4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4"/>
        <v>149.98254</v>
      </c>
      <c r="K46" s="9"/>
      <c r="L46" s="10"/>
    </row>
    <row r="47" spans="1:13" ht="26.25" x14ac:dyDescent="0.4">
      <c r="A47" s="7" t="s">
        <v>56</v>
      </c>
      <c r="B47" s="4">
        <v>1</v>
      </c>
      <c r="C47" s="4">
        <v>3.36</v>
      </c>
      <c r="D47" s="4">
        <v>3.36</v>
      </c>
      <c r="E47" s="4">
        <f t="shared" ref="E47:E50" si="18"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4"/>
        <v>234.51432000000003</v>
      </c>
      <c r="K47" s="9"/>
      <c r="L47" s="10"/>
    </row>
    <row r="48" spans="1:13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4"/>
        <v>334.66332000000006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4"/>
        <v>486.45306000000005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4"/>
        <v>489.79638000000006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 t="shared" si="6"/>
        <v>0.21549999999990632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4"/>
        <v>342.34392000000003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11</v>
      </c>
      <c r="D53" s="4">
        <f t="shared" si="19"/>
        <v>11</v>
      </c>
      <c r="E53" s="4">
        <f t="shared" ref="E53:E54" si="20"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4"/>
        <v>385.59624000000008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2.85</v>
      </c>
      <c r="D54" s="4">
        <f>C54</f>
        <v>2.85</v>
      </c>
      <c r="E54" s="4">
        <f t="shared" si="20"/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4"/>
        <v>127.84434000000002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 t="shared" ref="D56:D60" si="21"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4"/>
        <v>342.34392000000003</v>
      </c>
      <c r="K56" s="9"/>
      <c r="L56" s="10"/>
    </row>
    <row r="57" spans="1:12" ht="26.25" x14ac:dyDescent="0.4">
      <c r="A57" s="7" t="s">
        <v>83</v>
      </c>
      <c r="B57" s="4">
        <v>1</v>
      </c>
      <c r="C57" s="4">
        <v>11</v>
      </c>
      <c r="D57" s="4">
        <f t="shared" si="21"/>
        <v>11</v>
      </c>
      <c r="E57" s="4">
        <f t="shared" ref="E57:E60" si="22"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4"/>
        <v>385.59624000000008</v>
      </c>
      <c r="K57" s="9"/>
      <c r="L57" s="10"/>
    </row>
    <row r="58" spans="1:12" ht="26.25" x14ac:dyDescent="0.4">
      <c r="A58" s="7" t="s">
        <v>84</v>
      </c>
      <c r="B58" s="4">
        <v>1</v>
      </c>
      <c r="C58" s="4">
        <v>10.23</v>
      </c>
      <c r="D58" s="4">
        <f t="shared" si="21"/>
        <v>10.23</v>
      </c>
      <c r="E58" s="4">
        <f t="shared" si="22"/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4"/>
        <v>361.24422000000004</v>
      </c>
      <c r="K58" s="9"/>
      <c r="L58" s="10"/>
    </row>
    <row r="59" spans="1:12" ht="26.25" x14ac:dyDescent="0.4">
      <c r="A59" s="7" t="s">
        <v>65</v>
      </c>
      <c r="B59" s="4">
        <v>2</v>
      </c>
      <c r="C59" s="4">
        <v>4.58</v>
      </c>
      <c r="D59" s="4">
        <f t="shared" si="21"/>
        <v>9.16</v>
      </c>
      <c r="E59" s="4">
        <f t="shared" si="22"/>
        <v>0.45800000000000002</v>
      </c>
      <c r="F59" s="18">
        <f>2.38/6</f>
        <v>0.39666666666666667</v>
      </c>
      <c r="G59" s="4">
        <f t="shared" ref="G59" si="23">0.2*B59</f>
        <v>0.4</v>
      </c>
      <c r="H59" s="4">
        <f>G59*$C$2</f>
        <v>2.504</v>
      </c>
      <c r="I59" s="4">
        <f>D59+F59+H59+E59</f>
        <v>12.518666666666666</v>
      </c>
      <c r="J59" s="9">
        <f t="shared" si="4"/>
        <v>377.06224000000003</v>
      </c>
      <c r="K59" s="9"/>
      <c r="L59" s="10"/>
    </row>
    <row r="60" spans="1:12" ht="26.25" x14ac:dyDescent="0.4">
      <c r="A60" s="7" t="s">
        <v>66</v>
      </c>
      <c r="B60" s="4">
        <v>1</v>
      </c>
      <c r="C60" s="4">
        <v>7.86</v>
      </c>
      <c r="D60" s="4">
        <f t="shared" si="21"/>
        <v>7.86</v>
      </c>
      <c r="E60" s="4">
        <f t="shared" si="22"/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4"/>
        <v>376.83132000000006</v>
      </c>
      <c r="K60" s="9"/>
      <c r="L60" s="10"/>
    </row>
    <row r="61" spans="1:12" ht="26.25" x14ac:dyDescent="0.4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 t="shared" si="6"/>
        <v>-0.449771999999939</v>
      </c>
    </row>
    <row r="62" spans="1:12" ht="26.25" x14ac:dyDescent="0.4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4"/>
        <v>249.18276</v>
      </c>
      <c r="K62" s="9"/>
      <c r="L62" s="10"/>
    </row>
    <row r="63" spans="1:12" ht="26.25" x14ac:dyDescent="0.4">
      <c r="A63" s="7" t="s">
        <v>67</v>
      </c>
      <c r="B63" s="4">
        <v>1</v>
      </c>
      <c r="C63" s="5">
        <v>13.23</v>
      </c>
      <c r="D63" s="4">
        <f t="shared" ref="D63:D64" si="24"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4"/>
        <v>486.290412</v>
      </c>
      <c r="K63" s="9"/>
      <c r="L63" s="10"/>
    </row>
    <row r="64" spans="1:12" ht="26.25" x14ac:dyDescent="0.4">
      <c r="A64" s="7" t="s">
        <v>68</v>
      </c>
      <c r="B64" s="4">
        <v>1</v>
      </c>
      <c r="C64" s="4">
        <v>8.74</v>
      </c>
      <c r="D64" s="4">
        <f t="shared" si="24"/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4"/>
        <v>332.97660000000002</v>
      </c>
      <c r="K64" s="9"/>
      <c r="L64" s="10"/>
    </row>
    <row r="65" spans="1:12" ht="26.25" x14ac:dyDescent="0.4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 t="shared" si="6"/>
        <v>26.37370199999998</v>
      </c>
    </row>
    <row r="66" spans="1:12" ht="26.25" x14ac:dyDescent="0.4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 t="shared" ref="J66:J67" si="25">I66*$C$4</f>
        <v>150.64969799999997</v>
      </c>
      <c r="K66" s="9"/>
      <c r="L66" s="10"/>
    </row>
    <row r="67" spans="1:12" ht="26.25" x14ac:dyDescent="0.4">
      <c r="A67" s="7" t="s">
        <v>70</v>
      </c>
      <c r="B67" s="4">
        <v>1</v>
      </c>
      <c r="C67" s="4">
        <v>8.74</v>
      </c>
      <c r="D67" s="4">
        <f t="shared" ref="D67" si="26"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 t="shared" si="25"/>
        <v>332.97660000000002</v>
      </c>
      <c r="K67" s="9"/>
      <c r="L67" s="10"/>
    </row>
    <row r="68" spans="1:12" ht="26.25" x14ac:dyDescent="0.4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 t="shared" si="6"/>
        <v>10.011299999999892</v>
      </c>
    </row>
    <row r="69" spans="1:12" ht="26.25" x14ac:dyDescent="0.4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 t="shared" ref="J69" si="27">I69*$C$4</f>
        <v>517.98870000000011</v>
      </c>
      <c r="K69" s="9"/>
      <c r="L69" s="10"/>
    </row>
    <row r="70" spans="1:12" ht="26.25" x14ac:dyDescent="0.4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 t="shared" si="6"/>
        <v>-16.527880000000096</v>
      </c>
    </row>
    <row r="71" spans="1:12" ht="26.25" x14ac:dyDescent="0.4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 t="shared" ref="J71" si="28">I71*$C$4</f>
        <v>516.5278800000001</v>
      </c>
      <c r="K71" s="9"/>
      <c r="L71" s="10"/>
    </row>
    <row r="72" spans="1:12" ht="26.25" x14ac:dyDescent="0.4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 t="shared" si="6"/>
        <v>6.321619999999939</v>
      </c>
    </row>
    <row r="73" spans="1:12" ht="26.25" x14ac:dyDescent="0.4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 t="shared" ref="E73" si="29"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30">I73*$C$4</f>
        <v>334.67838000000006</v>
      </c>
      <c r="K73" s="9"/>
      <c r="L73" s="10"/>
    </row>
    <row r="74" spans="1:12" ht="26.25" x14ac:dyDescent="0.4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 t="shared" si="6"/>
        <v>3.6608099999999695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30"/>
        <v>167.33919000000003</v>
      </c>
      <c r="K75" s="9"/>
      <c r="L75" s="10"/>
    </row>
    <row r="76" spans="1:12" ht="26.25" x14ac:dyDescent="0.4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31">K76-J76</f>
        <v>3.6608099999999695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30"/>
        <v>167.33919000000003</v>
      </c>
      <c r="K77" s="9"/>
      <c r="L77" s="10"/>
    </row>
    <row r="78" spans="1:12" ht="26.25" x14ac:dyDescent="0.4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31"/>
        <v>3.6608099999999695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30"/>
        <v>167.33919000000003</v>
      </c>
      <c r="K79" s="9"/>
      <c r="L79" s="10"/>
    </row>
    <row r="80" spans="1:12" ht="26.25" x14ac:dyDescent="0.4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31"/>
        <v>3.6608099999999695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30"/>
        <v>167.33919000000003</v>
      </c>
      <c r="K81" s="9"/>
      <c r="L81" s="10"/>
    </row>
    <row r="82" spans="1:12" ht="26.25" x14ac:dyDescent="0.4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31"/>
        <v>3.6608099999999695</v>
      </c>
    </row>
    <row r="83" spans="1:12" ht="26.25" x14ac:dyDescent="0.4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30"/>
        <v>167.33919000000003</v>
      </c>
      <c r="K83" s="9"/>
      <c r="L83" s="10"/>
    </row>
    <row r="84" spans="1:12" ht="26.25" x14ac:dyDescent="0.4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31"/>
        <v>3.6608099999999695</v>
      </c>
    </row>
    <row r="85" spans="1:12" ht="26.25" x14ac:dyDescent="0.4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30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220</v>
      </c>
      <c r="B1" s="4"/>
      <c r="C1" s="15">
        <v>42093</v>
      </c>
      <c r="D1" s="30"/>
    </row>
    <row r="2" spans="1:13" ht="21" x14ac:dyDescent="0.35">
      <c r="A2" s="55" t="s">
        <v>240</v>
      </c>
      <c r="B2" s="4"/>
      <c r="C2" s="16">
        <v>7650</v>
      </c>
      <c r="D2" s="30"/>
      <c r="E2" s="191" t="s">
        <v>656</v>
      </c>
    </row>
    <row r="3" spans="1:13" ht="21" x14ac:dyDescent="0.35">
      <c r="A3" s="55" t="s">
        <v>241</v>
      </c>
      <c r="B3" s="4"/>
      <c r="C3" s="192">
        <v>5.2999999999999999E-2</v>
      </c>
      <c r="D3" s="30"/>
      <c r="E3" s="191" t="s">
        <v>657</v>
      </c>
    </row>
    <row r="4" spans="1:13" ht="21.75" thickBot="1" x14ac:dyDescent="0.4">
      <c r="F4" s="191"/>
    </row>
    <row r="5" spans="1:13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5" t="s">
        <v>596</v>
      </c>
      <c r="B6" s="126"/>
      <c r="C6" s="127"/>
      <c r="D6" s="32"/>
      <c r="E6" s="92"/>
      <c r="F6" s="184"/>
      <c r="G6" s="127"/>
      <c r="H6" s="32"/>
      <c r="I6" s="2"/>
      <c r="J6" s="52">
        <f>SUM(J7:J12)</f>
        <v>3182.4247500000001</v>
      </c>
      <c r="K6" s="10">
        <f>3889-706</f>
        <v>3183</v>
      </c>
      <c r="L6" s="10">
        <f t="shared" ref="L6" si="0">K6-J6</f>
        <v>0.57524999999986903</v>
      </c>
      <c r="M6" t="s">
        <v>663</v>
      </c>
    </row>
    <row r="7" spans="1:13" x14ac:dyDescent="0.25">
      <c r="A7" s="133" t="s">
        <v>598</v>
      </c>
      <c r="B7" s="98">
        <v>1</v>
      </c>
      <c r="C7" s="99">
        <v>5800</v>
      </c>
      <c r="D7" s="37">
        <f t="shared" ref="D7:D12" si="1">B7*C7</f>
        <v>5800</v>
      </c>
      <c r="E7" s="39">
        <f t="shared" ref="E7:E12" si="2">D7*0.1</f>
        <v>580</v>
      </c>
      <c r="F7" s="98">
        <f>2500/2</f>
        <v>1250</v>
      </c>
      <c r="G7" s="4">
        <v>6.5000000000000002E-2</v>
      </c>
      <c r="H7" s="37">
        <f t="shared" ref="H7:H12" si="3">G7*B7</f>
        <v>6.5000000000000002E-2</v>
      </c>
      <c r="I7" s="4">
        <f t="shared" ref="I7:I12" si="4">H7*$C$2</f>
        <v>497.25</v>
      </c>
      <c r="J7" s="51">
        <f t="shared" ref="J7:J12" si="5">(D7+E7+F7+I7)*$C$3</f>
        <v>430.74424999999997</v>
      </c>
      <c r="K7" s="6"/>
      <c r="L7" s="17"/>
    </row>
    <row r="8" spans="1:13" x14ac:dyDescent="0.25">
      <c r="A8" s="133" t="s">
        <v>599</v>
      </c>
      <c r="B8" s="98">
        <v>1</v>
      </c>
      <c r="C8" s="99">
        <v>4060</v>
      </c>
      <c r="D8" s="37">
        <f t="shared" ref="D8:D9" si="6">B8*C8</f>
        <v>4060</v>
      </c>
      <c r="E8" s="39">
        <f t="shared" si="2"/>
        <v>406</v>
      </c>
      <c r="F8" s="98">
        <v>2500</v>
      </c>
      <c r="G8" s="4">
        <v>0.05</v>
      </c>
      <c r="H8" s="37">
        <f t="shared" si="3"/>
        <v>0.05</v>
      </c>
      <c r="I8" s="4">
        <f t="shared" si="4"/>
        <v>382.5</v>
      </c>
      <c r="J8" s="51">
        <f t="shared" si="5"/>
        <v>389.47050000000002</v>
      </c>
      <c r="K8" s="6"/>
      <c r="L8" s="17"/>
    </row>
    <row r="9" spans="1:13" x14ac:dyDescent="0.25">
      <c r="A9" s="133" t="s">
        <v>600</v>
      </c>
      <c r="B9" s="98">
        <v>1</v>
      </c>
      <c r="C9" s="99">
        <v>7530</v>
      </c>
      <c r="D9" s="37">
        <f t="shared" si="6"/>
        <v>7530</v>
      </c>
      <c r="E9" s="39">
        <f t="shared" si="2"/>
        <v>753</v>
      </c>
      <c r="F9" s="98">
        <v>2500</v>
      </c>
      <c r="G9" s="4">
        <v>0.1</v>
      </c>
      <c r="H9" s="37">
        <f t="shared" si="3"/>
        <v>0.1</v>
      </c>
      <c r="I9" s="4">
        <f t="shared" si="4"/>
        <v>765</v>
      </c>
      <c r="J9" s="51">
        <f t="shared" si="5"/>
        <v>612.04399999999998</v>
      </c>
      <c r="K9" s="6"/>
      <c r="L9" s="17"/>
    </row>
    <row r="10" spans="1:13" x14ac:dyDescent="0.25">
      <c r="A10" s="133" t="s">
        <v>601</v>
      </c>
      <c r="B10" s="98">
        <v>1</v>
      </c>
      <c r="C10" s="99">
        <v>10900</v>
      </c>
      <c r="D10" s="37">
        <f t="shared" si="1"/>
        <v>10900</v>
      </c>
      <c r="E10" s="39">
        <f t="shared" si="2"/>
        <v>1090</v>
      </c>
      <c r="F10" s="98">
        <v>2500</v>
      </c>
      <c r="G10" s="4">
        <v>0.14000000000000001</v>
      </c>
      <c r="H10" s="37">
        <f t="shared" si="3"/>
        <v>0.14000000000000001</v>
      </c>
      <c r="I10" s="4">
        <f t="shared" si="4"/>
        <v>1071</v>
      </c>
      <c r="J10" s="51">
        <f t="shared" si="5"/>
        <v>824.73299999999995</v>
      </c>
      <c r="K10" s="6"/>
      <c r="L10" s="17"/>
    </row>
    <row r="11" spans="1:13" x14ac:dyDescent="0.25">
      <c r="A11" s="133" t="s">
        <v>602</v>
      </c>
      <c r="B11" s="193" t="s">
        <v>660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25">
      <c r="A12" s="133" t="s">
        <v>603</v>
      </c>
      <c r="B12" s="98">
        <v>1</v>
      </c>
      <c r="C12" s="99">
        <v>14900</v>
      </c>
      <c r="D12" s="37">
        <f t="shared" si="1"/>
        <v>14900</v>
      </c>
      <c r="E12" s="39">
        <f t="shared" si="2"/>
        <v>1490</v>
      </c>
      <c r="F12" s="98">
        <v>0</v>
      </c>
      <c r="G12" s="118">
        <v>0.14000000000000001</v>
      </c>
      <c r="H12" s="37">
        <f t="shared" si="3"/>
        <v>0.14000000000000001</v>
      </c>
      <c r="I12" s="4">
        <f t="shared" si="4"/>
        <v>1071</v>
      </c>
      <c r="J12" s="51">
        <f t="shared" si="5"/>
        <v>925.43299999999999</v>
      </c>
      <c r="K12" s="6"/>
      <c r="L12" s="17"/>
    </row>
    <row r="13" spans="1:13" ht="31.5" x14ac:dyDescent="0.5">
      <c r="A13" s="145" t="s">
        <v>22</v>
      </c>
      <c r="B13" s="126"/>
      <c r="C13" s="127"/>
      <c r="D13" s="32"/>
      <c r="E13" s="92"/>
      <c r="F13" s="184"/>
      <c r="G13" s="127"/>
      <c r="H13" s="32"/>
      <c r="I13" s="2"/>
      <c r="J13" s="52">
        <f>J14+J15</f>
        <v>2094.3744999999999</v>
      </c>
      <c r="K13" s="10">
        <v>2155</v>
      </c>
      <c r="L13" s="10">
        <f t="shared" ref="L13" si="7">K13-J13</f>
        <v>60.625500000000102</v>
      </c>
    </row>
    <row r="14" spans="1:13" x14ac:dyDescent="0.25">
      <c r="A14" s="39" t="s">
        <v>604</v>
      </c>
      <c r="B14" s="98">
        <v>1</v>
      </c>
      <c r="C14" s="99">
        <v>16490</v>
      </c>
      <c r="D14" s="37">
        <f t="shared" ref="D14:D15" si="8"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25">
      <c r="A15" s="39" t="s">
        <v>605</v>
      </c>
      <c r="B15" s="98">
        <v>1</v>
      </c>
      <c r="C15" s="99">
        <v>12000</v>
      </c>
      <c r="D15" s="37">
        <f t="shared" si="8"/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.5" x14ac:dyDescent="0.5">
      <c r="A16" s="145" t="s">
        <v>384</v>
      </c>
      <c r="B16" s="126"/>
      <c r="C16" s="127"/>
      <c r="D16" s="32"/>
      <c r="E16" s="92"/>
      <c r="F16" s="184"/>
      <c r="G16" s="127"/>
      <c r="H16" s="32"/>
      <c r="I16" s="2"/>
      <c r="J16" s="52">
        <f>J17+J18</f>
        <v>1538.5369999999998</v>
      </c>
      <c r="K16" s="10">
        <v>1525</v>
      </c>
      <c r="L16" s="10">
        <f t="shared" ref="L16" si="9">K16-J16</f>
        <v>-13.536999999999807</v>
      </c>
    </row>
    <row r="17" spans="1:12" x14ac:dyDescent="0.25">
      <c r="A17" s="39" t="s">
        <v>606</v>
      </c>
      <c r="B17" s="98">
        <v>1</v>
      </c>
      <c r="C17" s="99">
        <v>9900</v>
      </c>
      <c r="D17" s="37">
        <f t="shared" ref="D17:D18" si="10"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25">
      <c r="A18" s="133" t="s">
        <v>607</v>
      </c>
      <c r="B18" s="98">
        <v>1</v>
      </c>
      <c r="C18" s="99">
        <v>11900</v>
      </c>
      <c r="D18" s="37">
        <f t="shared" si="10"/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.5" x14ac:dyDescent="0.5">
      <c r="A19" s="145" t="s">
        <v>290</v>
      </c>
      <c r="B19" s="126"/>
      <c r="C19" s="127"/>
      <c r="D19" s="32"/>
      <c r="E19" s="92"/>
      <c r="F19" s="184"/>
      <c r="G19" s="127"/>
      <c r="H19" s="32"/>
      <c r="I19" s="2"/>
      <c r="J19" s="52">
        <f>SUM(J20:J22)</f>
        <v>2107.598</v>
      </c>
      <c r="K19" s="10">
        <v>2119</v>
      </c>
      <c r="L19" s="10">
        <f t="shared" ref="L19" si="11">K19-J19</f>
        <v>11.402000000000044</v>
      </c>
    </row>
    <row r="20" spans="1:12" x14ac:dyDescent="0.25">
      <c r="A20" s="39" t="s">
        <v>608</v>
      </c>
      <c r="B20" s="98">
        <v>1</v>
      </c>
      <c r="C20" s="99">
        <v>9900</v>
      </c>
      <c r="D20" s="37">
        <f t="shared" ref="D20:D22" si="12">B20*C20</f>
        <v>9900</v>
      </c>
      <c r="E20" s="39">
        <f>D20*0.1</f>
        <v>990</v>
      </c>
      <c r="F20" s="189">
        <v>0</v>
      </c>
      <c r="G20" s="190">
        <v>0.2</v>
      </c>
      <c r="H20" s="37">
        <f t="shared" ref="H20:H22" si="13"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25">
      <c r="A21" s="39" t="s">
        <v>362</v>
      </c>
      <c r="B21" s="98">
        <v>1</v>
      </c>
      <c r="C21" s="140">
        <v>11900</v>
      </c>
      <c r="D21" s="37">
        <f t="shared" si="12"/>
        <v>11900</v>
      </c>
      <c r="E21" s="39">
        <f>D21*0.1</f>
        <v>1190</v>
      </c>
      <c r="F21" s="189">
        <v>0</v>
      </c>
      <c r="G21" s="190">
        <v>0.25</v>
      </c>
      <c r="H21" s="37">
        <f t="shared" si="13"/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25">
      <c r="A22" s="41" t="s">
        <v>609</v>
      </c>
      <c r="B22" s="98">
        <v>1</v>
      </c>
      <c r="C22" s="99">
        <v>9900</v>
      </c>
      <c r="D22" s="37">
        <f t="shared" si="12"/>
        <v>9900</v>
      </c>
      <c r="E22" s="39">
        <f>D22*0.1</f>
        <v>990</v>
      </c>
      <c r="F22" s="189">
        <v>0</v>
      </c>
      <c r="G22" s="190">
        <v>0.19</v>
      </c>
      <c r="H22" s="37">
        <f t="shared" si="13"/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.5" x14ac:dyDescent="0.5">
      <c r="A23" s="145" t="s">
        <v>612</v>
      </c>
      <c r="B23" s="126"/>
      <c r="C23" s="127"/>
      <c r="D23" s="32"/>
      <c r="E23" s="92"/>
      <c r="F23" s="184"/>
      <c r="G23" s="127"/>
      <c r="H23" s="32"/>
      <c r="I23" s="2"/>
      <c r="J23" s="52">
        <f>SUM(J24:J26)</f>
        <v>1018.024</v>
      </c>
      <c r="K23" s="10">
        <f>1012+6</f>
        <v>1018</v>
      </c>
      <c r="L23" s="10">
        <f t="shared" ref="L23" si="14">K23-J23</f>
        <v>-2.4000000000000909E-2</v>
      </c>
    </row>
    <row r="24" spans="1:12" x14ac:dyDescent="0.25">
      <c r="A24" s="185" t="s">
        <v>613</v>
      </c>
      <c r="B24" s="98">
        <v>1</v>
      </c>
      <c r="C24" s="99">
        <f>9900/3*2</f>
        <v>6600</v>
      </c>
      <c r="D24" s="37">
        <f t="shared" ref="D24:D25" si="15"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 t="shared" ref="H24:H25" si="16"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25">
      <c r="A25" s="185" t="s">
        <v>57</v>
      </c>
      <c r="B25" s="98">
        <v>1</v>
      </c>
      <c r="C25" s="99">
        <v>5900</v>
      </c>
      <c r="D25" s="37">
        <f t="shared" si="15"/>
        <v>5900</v>
      </c>
      <c r="E25" s="39">
        <f>D25*0.1</f>
        <v>590</v>
      </c>
      <c r="F25" s="98">
        <v>2500</v>
      </c>
      <c r="G25" s="5">
        <v>0.24</v>
      </c>
      <c r="H25" s="37">
        <f t="shared" si="16"/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25">
      <c r="A26" s="185" t="s">
        <v>614</v>
      </c>
      <c r="B26" s="193" t="s">
        <v>660</v>
      </c>
      <c r="C26" s="99"/>
      <c r="D26" s="37"/>
      <c r="E26" s="39"/>
      <c r="F26" s="98"/>
      <c r="G26" s="118"/>
      <c r="H26" s="37"/>
      <c r="I26" s="4"/>
      <c r="J26" s="51"/>
      <c r="K26" s="6"/>
      <c r="L26" s="17"/>
    </row>
    <row r="27" spans="1:12" ht="31.5" x14ac:dyDescent="0.5">
      <c r="A27" s="145" t="s">
        <v>333</v>
      </c>
      <c r="B27" s="126"/>
      <c r="C27" s="127"/>
      <c r="D27" s="32"/>
      <c r="E27" s="92"/>
      <c r="F27" s="126"/>
      <c r="G27" s="97"/>
      <c r="H27" s="32"/>
      <c r="I27" s="2"/>
      <c r="J27" s="52">
        <f>J28+J29</f>
        <v>1543.1479999999999</v>
      </c>
      <c r="K27" s="10">
        <v>1615</v>
      </c>
      <c r="L27" s="10">
        <f t="shared" ref="L27" si="17">K27-J27</f>
        <v>71.852000000000089</v>
      </c>
    </row>
    <row r="28" spans="1:12" x14ac:dyDescent="0.25">
      <c r="A28" s="133" t="s">
        <v>615</v>
      </c>
      <c r="B28" s="98">
        <v>1</v>
      </c>
      <c r="C28" s="99">
        <v>14900</v>
      </c>
      <c r="D28" s="37">
        <f t="shared" ref="D28:D29" si="18">B28*C28</f>
        <v>14900</v>
      </c>
      <c r="E28" s="39">
        <f>D28*0.1</f>
        <v>1490</v>
      </c>
      <c r="F28" s="98">
        <v>0</v>
      </c>
      <c r="G28" s="118">
        <v>0.12</v>
      </c>
      <c r="H28" s="37">
        <f t="shared" ref="H28:H29" si="19"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25">
      <c r="A29" s="133" t="s">
        <v>616</v>
      </c>
      <c r="B29" s="98">
        <v>1</v>
      </c>
      <c r="C29" s="118">
        <v>9900</v>
      </c>
      <c r="D29" s="37">
        <f t="shared" si="18"/>
        <v>9900</v>
      </c>
      <c r="E29" s="39">
        <f>D29*0.1</f>
        <v>990</v>
      </c>
      <c r="F29" s="98">
        <v>0</v>
      </c>
      <c r="G29" s="99">
        <v>0.12</v>
      </c>
      <c r="H29" s="37">
        <f t="shared" si="19"/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.5" x14ac:dyDescent="0.5">
      <c r="A30" s="145" t="s">
        <v>617</v>
      </c>
      <c r="B30" s="126"/>
      <c r="C30" s="127"/>
      <c r="D30" s="32"/>
      <c r="E30" s="92"/>
      <c r="F30" s="126"/>
      <c r="G30" s="127"/>
      <c r="H30" s="159"/>
      <c r="I30" s="2"/>
      <c r="J30" s="52">
        <f>J31</f>
        <v>222.12299999999999</v>
      </c>
      <c r="K30" s="10">
        <f>219+3</f>
        <v>222</v>
      </c>
      <c r="L30" s="10">
        <f t="shared" ref="L30" si="20">K30-J30</f>
        <v>-0.12299999999999045</v>
      </c>
    </row>
    <row r="31" spans="1:12" x14ac:dyDescent="0.25">
      <c r="A31" s="185" t="s">
        <v>618</v>
      </c>
      <c r="B31" s="98">
        <v>1</v>
      </c>
      <c r="C31" s="99">
        <f>9900/3</f>
        <v>3300</v>
      </c>
      <c r="D31" s="37">
        <f t="shared" ref="D31" si="21"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.5" x14ac:dyDescent="0.5">
      <c r="A32" s="145" t="s">
        <v>619</v>
      </c>
      <c r="B32" s="126"/>
      <c r="C32" s="127"/>
      <c r="D32" s="32"/>
      <c r="E32" s="92"/>
      <c r="F32" s="126"/>
      <c r="G32" s="127"/>
      <c r="H32" s="159"/>
      <c r="I32" s="2"/>
      <c r="J32" s="52">
        <f>J33</f>
        <v>759.62249999999995</v>
      </c>
      <c r="K32" s="10">
        <v>750</v>
      </c>
      <c r="L32" s="10">
        <f t="shared" ref="L32" si="22">K32-J32</f>
        <v>-9.6224999999999454</v>
      </c>
    </row>
    <row r="33" spans="1:13" x14ac:dyDescent="0.25">
      <c r="A33" s="185" t="s">
        <v>620</v>
      </c>
      <c r="B33" s="98">
        <v>1</v>
      </c>
      <c r="C33" s="99">
        <v>9900</v>
      </c>
      <c r="D33" s="37">
        <f t="shared" ref="D33" si="23"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.5" x14ac:dyDescent="0.5">
      <c r="A34" s="145" t="s">
        <v>621</v>
      </c>
      <c r="B34" s="126"/>
      <c r="C34" s="127"/>
      <c r="D34" s="32"/>
      <c r="E34" s="92"/>
      <c r="F34" s="126"/>
      <c r="G34" s="127"/>
      <c r="H34" s="159"/>
      <c r="I34" s="2"/>
      <c r="J34" s="52">
        <f>J35</f>
        <v>739.35</v>
      </c>
      <c r="K34" s="10">
        <v>747</v>
      </c>
      <c r="L34" s="10">
        <f t="shared" ref="L34" si="24">K34-J34</f>
        <v>7.6499999999999773</v>
      </c>
    </row>
    <row r="35" spans="1:13" x14ac:dyDescent="0.25">
      <c r="A35" s="39" t="s">
        <v>383</v>
      </c>
      <c r="B35" s="98">
        <v>1</v>
      </c>
      <c r="C35" s="99">
        <v>9900</v>
      </c>
      <c r="D35" s="37">
        <f t="shared" ref="D35" si="25"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.5" x14ac:dyDescent="0.5">
      <c r="A36" s="145" t="s">
        <v>622</v>
      </c>
      <c r="B36" s="126"/>
      <c r="C36" s="127"/>
      <c r="D36" s="32"/>
      <c r="E36" s="92"/>
      <c r="F36" s="126"/>
      <c r="G36" s="127"/>
      <c r="H36" s="159"/>
      <c r="I36" s="2"/>
      <c r="J36" s="52">
        <f>J37</f>
        <v>913.85249999999996</v>
      </c>
      <c r="K36" s="10">
        <f>900+14</f>
        <v>914</v>
      </c>
      <c r="L36" s="10">
        <f t="shared" ref="L36" si="26">K36-J36</f>
        <v>0.14750000000003638</v>
      </c>
    </row>
    <row r="37" spans="1:13" x14ac:dyDescent="0.25">
      <c r="A37" s="133" t="s">
        <v>623</v>
      </c>
      <c r="B37" s="98">
        <v>1</v>
      </c>
      <c r="C37" s="99">
        <v>12800</v>
      </c>
      <c r="D37" s="37">
        <f t="shared" ref="D37" si="27"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.5" x14ac:dyDescent="0.5">
      <c r="A38" s="145" t="s">
        <v>624</v>
      </c>
      <c r="B38" s="126"/>
      <c r="C38" s="127"/>
      <c r="D38" s="32"/>
      <c r="E38" s="92"/>
      <c r="F38" s="126"/>
      <c r="G38" s="127"/>
      <c r="H38" s="159"/>
      <c r="I38" s="2"/>
      <c r="J38" s="52">
        <f>J39</f>
        <v>595.90549999999996</v>
      </c>
      <c r="K38" s="10">
        <f>570+26</f>
        <v>596</v>
      </c>
      <c r="L38" s="10">
        <f t="shared" ref="L38" si="28">K38-J38</f>
        <v>9.4500000000039108E-2</v>
      </c>
    </row>
    <row r="39" spans="1:13" x14ac:dyDescent="0.25">
      <c r="A39" t="s">
        <v>470</v>
      </c>
      <c r="B39" s="186">
        <v>1</v>
      </c>
      <c r="C39" s="187">
        <v>8900</v>
      </c>
      <c r="D39" s="37">
        <f t="shared" ref="D39" si="29"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.5" x14ac:dyDescent="0.5">
      <c r="A40" s="145" t="s">
        <v>625</v>
      </c>
      <c r="B40" s="126"/>
      <c r="C40" s="127"/>
      <c r="D40" s="32"/>
      <c r="E40" s="92"/>
      <c r="F40" s="126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 t="shared" ref="L40" si="30">K40-J40</f>
        <v>0.34900000000004638</v>
      </c>
    </row>
    <row r="41" spans="1:13" x14ac:dyDescent="0.25">
      <c r="A41" t="s">
        <v>626</v>
      </c>
      <c r="B41" s="188">
        <v>1</v>
      </c>
      <c r="C41" s="187">
        <v>9900</v>
      </c>
      <c r="D41" s="37">
        <f t="shared" ref="D41" si="31">B41*C41</f>
        <v>9900</v>
      </c>
      <c r="E41" s="39">
        <f>D41*0.1</f>
        <v>990</v>
      </c>
      <c r="F41" s="98">
        <v>2500</v>
      </c>
      <c r="G41" s="118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.5" x14ac:dyDescent="0.5">
      <c r="A42" s="145" t="s">
        <v>410</v>
      </c>
      <c r="B42" s="126"/>
      <c r="C42" s="127"/>
      <c r="D42" s="32"/>
      <c r="E42" s="92"/>
      <c r="F42" s="126"/>
      <c r="G42" s="127"/>
      <c r="H42" s="159"/>
      <c r="I42" s="2"/>
      <c r="J42" s="52">
        <f>J43</f>
        <v>795.13249999999994</v>
      </c>
      <c r="K42" s="10">
        <v>800</v>
      </c>
      <c r="L42" s="10">
        <f t="shared" ref="L42" si="32">K42-J42</f>
        <v>4.8675000000000637</v>
      </c>
    </row>
    <row r="43" spans="1:13" x14ac:dyDescent="0.25">
      <c r="A43" s="39" t="s">
        <v>362</v>
      </c>
      <c r="B43" s="98">
        <v>1</v>
      </c>
      <c r="C43" s="140">
        <v>11900</v>
      </c>
      <c r="D43" s="37">
        <f t="shared" ref="D43" si="33"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.5" x14ac:dyDescent="0.5">
      <c r="A44" s="145" t="s">
        <v>627</v>
      </c>
      <c r="B44" s="126"/>
      <c r="C44" s="127"/>
      <c r="D44" s="32"/>
      <c r="E44" s="92"/>
      <c r="F44" s="126"/>
      <c r="G44" s="127"/>
      <c r="H44" s="159"/>
      <c r="I44" s="2"/>
      <c r="J44" s="52">
        <f>J45</f>
        <v>166.02250000000001</v>
      </c>
      <c r="K44" s="10">
        <f>188-22</f>
        <v>166</v>
      </c>
      <c r="L44" s="10">
        <f t="shared" ref="L44" si="34">K44-J44</f>
        <v>-2.2500000000007958E-2</v>
      </c>
      <c r="M44" t="s">
        <v>661</v>
      </c>
    </row>
    <row r="45" spans="1:13" ht="15.75" thickBot="1" x14ac:dyDescent="0.3">
      <c r="A45" s="39" t="s">
        <v>628</v>
      </c>
      <c r="B45" s="102">
        <v>1</v>
      </c>
      <c r="C45" s="103">
        <v>2500</v>
      </c>
      <c r="D45" s="37">
        <f t="shared" ref="D45" si="35"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25">
      <c r="A46" s="179"/>
      <c r="B46" s="179"/>
      <c r="C46" s="179"/>
      <c r="D46" s="179"/>
      <c r="E46" s="179"/>
      <c r="F46" s="180"/>
      <c r="G46" s="180"/>
      <c r="H46" s="180"/>
      <c r="I46" s="179"/>
      <c r="J46" s="74"/>
      <c r="K46" s="181"/>
      <c r="L46" s="182"/>
    </row>
    <row r="50" spans="1:6" ht="26.25" x14ac:dyDescent="0.4">
      <c r="A50" s="183" t="s">
        <v>610</v>
      </c>
    </row>
    <row r="51" spans="1:6" ht="31.5" x14ac:dyDescent="0.5">
      <c r="A51" s="155" t="s">
        <v>596</v>
      </c>
    </row>
    <row r="52" spans="1:6" x14ac:dyDescent="0.25">
      <c r="A52" s="36" t="s">
        <v>611</v>
      </c>
    </row>
    <row r="53" spans="1:6" ht="31.5" x14ac:dyDescent="0.5">
      <c r="A53" s="155" t="s">
        <v>290</v>
      </c>
    </row>
    <row r="54" spans="1:6" x14ac:dyDescent="0.25">
      <c r="A54" t="s">
        <v>545</v>
      </c>
    </row>
    <row r="55" spans="1:6" ht="31.5" x14ac:dyDescent="0.5">
      <c r="A55" s="155" t="s">
        <v>624</v>
      </c>
    </row>
    <row r="56" spans="1:6" x14ac:dyDescent="0.25">
      <c r="A56" s="36" t="s">
        <v>629</v>
      </c>
      <c r="F56" s="136" t="s">
        <v>632</v>
      </c>
    </row>
    <row r="57" spans="1:6" ht="31.5" x14ac:dyDescent="0.5">
      <c r="A57" s="155" t="s">
        <v>627</v>
      </c>
      <c r="F57" s="136"/>
    </row>
    <row r="58" spans="1:6" x14ac:dyDescent="0.25">
      <c r="A58" s="36" t="s">
        <v>630</v>
      </c>
      <c r="F58" s="136" t="s">
        <v>631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zoomScale="80" zoomScaleNormal="80" workbookViewId="0">
      <selection activeCell="M24" sqref="M24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2" ht="21" x14ac:dyDescent="0.35">
      <c r="A1" s="55" t="s">
        <v>283</v>
      </c>
      <c r="B1" s="4"/>
      <c r="C1" s="15">
        <v>42093</v>
      </c>
      <c r="D1" s="30"/>
    </row>
    <row r="2" spans="1:12" ht="21" x14ac:dyDescent="0.35">
      <c r="A2" s="55" t="s">
        <v>240</v>
      </c>
      <c r="B2" s="4"/>
      <c r="C2" s="16">
        <v>7800</v>
      </c>
      <c r="D2" s="30"/>
    </row>
    <row r="3" spans="1:12" ht="21" x14ac:dyDescent="0.35">
      <c r="A3" s="55" t="s">
        <v>241</v>
      </c>
      <c r="B3" s="4"/>
      <c r="C3" s="177">
        <v>4.8099999999999997E-2</v>
      </c>
      <c r="D3" s="30"/>
    </row>
    <row r="4" spans="1:12" ht="15.75" thickBot="1" x14ac:dyDescent="0.3"/>
    <row r="5" spans="1:12" ht="3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5" t="s">
        <v>619</v>
      </c>
      <c r="B6" s="126"/>
      <c r="C6" s="127"/>
      <c r="D6" s="32"/>
      <c r="E6" s="92"/>
      <c r="F6" s="184"/>
      <c r="G6" s="127"/>
      <c r="H6" s="32"/>
      <c r="I6" s="2"/>
      <c r="J6" s="52">
        <f>SUM(J7:J11)</f>
        <v>2321.2578999999996</v>
      </c>
      <c r="K6" s="10">
        <v>2650</v>
      </c>
      <c r="L6" s="10">
        <f t="shared" ref="L6" si="0">K6-J6</f>
        <v>328.74210000000039</v>
      </c>
    </row>
    <row r="7" spans="1:12" x14ac:dyDescent="0.25">
      <c r="A7" s="39" t="s">
        <v>640</v>
      </c>
      <c r="B7" s="98">
        <v>1</v>
      </c>
      <c r="C7" s="99">
        <v>10900</v>
      </c>
      <c r="D7" s="37">
        <f t="shared" ref="D7:D11" si="1">B7*C7</f>
        <v>10900</v>
      </c>
      <c r="E7" s="39">
        <f t="shared" ref="E7:E11" si="2">D7*0.1</f>
        <v>1090</v>
      </c>
      <c r="F7" s="98">
        <v>0</v>
      </c>
      <c r="G7" s="99">
        <v>0.28000000000000003</v>
      </c>
      <c r="H7" s="37">
        <f t="shared" ref="H7:H33" si="3">G7*B7</f>
        <v>0.28000000000000003</v>
      </c>
      <c r="I7" s="4">
        <f t="shared" ref="I7:I11" si="4">H7*$C$2</f>
        <v>2184</v>
      </c>
      <c r="J7" s="51">
        <f t="shared" ref="J7:J11" si="5">(D7+E7+F7+I7)*$C$3</f>
        <v>681.76939999999991</v>
      </c>
      <c r="K7" s="6"/>
      <c r="L7" s="17"/>
    </row>
    <row r="8" spans="1:12" x14ac:dyDescent="0.25">
      <c r="A8" s="39" t="s">
        <v>641</v>
      </c>
      <c r="B8" s="98">
        <v>5</v>
      </c>
      <c r="C8" s="99">
        <v>950</v>
      </c>
      <c r="D8" s="37">
        <f t="shared" si="1"/>
        <v>4750</v>
      </c>
      <c r="E8" s="39">
        <f t="shared" si="2"/>
        <v>475</v>
      </c>
      <c r="F8" s="98">
        <v>0</v>
      </c>
      <c r="G8" s="99">
        <v>0.05</v>
      </c>
      <c r="H8" s="37">
        <f t="shared" si="3"/>
        <v>0.25</v>
      </c>
      <c r="I8" s="4">
        <f t="shared" si="4"/>
        <v>1950</v>
      </c>
      <c r="J8" s="51">
        <f t="shared" si="5"/>
        <v>345.11749999999995</v>
      </c>
      <c r="K8" s="6"/>
      <c r="L8" s="17"/>
    </row>
    <row r="9" spans="1:12" x14ac:dyDescent="0.25">
      <c r="A9" s="39" t="s">
        <v>641</v>
      </c>
      <c r="B9" s="98">
        <v>5</v>
      </c>
      <c r="C9" s="99">
        <v>950</v>
      </c>
      <c r="D9" s="37">
        <f t="shared" si="1"/>
        <v>4750</v>
      </c>
      <c r="E9" s="39">
        <f t="shared" si="2"/>
        <v>475</v>
      </c>
      <c r="F9" s="98">
        <v>0</v>
      </c>
      <c r="G9" s="99">
        <v>0.05</v>
      </c>
      <c r="H9" s="37">
        <f t="shared" si="3"/>
        <v>0.25</v>
      </c>
      <c r="I9" s="4">
        <f t="shared" si="4"/>
        <v>1950</v>
      </c>
      <c r="J9" s="51">
        <f t="shared" si="5"/>
        <v>345.11749999999995</v>
      </c>
      <c r="K9" s="6"/>
      <c r="L9" s="17"/>
    </row>
    <row r="10" spans="1:12" x14ac:dyDescent="0.25">
      <c r="A10" s="39" t="s">
        <v>641</v>
      </c>
      <c r="B10" s="98">
        <v>5</v>
      </c>
      <c r="C10" s="99">
        <v>950</v>
      </c>
      <c r="D10" s="37">
        <f t="shared" si="1"/>
        <v>4750</v>
      </c>
      <c r="E10" s="39">
        <f t="shared" si="2"/>
        <v>475</v>
      </c>
      <c r="F10" s="98">
        <v>0</v>
      </c>
      <c r="G10" s="99">
        <v>0.05</v>
      </c>
      <c r="H10" s="37">
        <f t="shared" si="3"/>
        <v>0.25</v>
      </c>
      <c r="I10" s="4">
        <f t="shared" si="4"/>
        <v>1950</v>
      </c>
      <c r="J10" s="51">
        <f t="shared" si="5"/>
        <v>345.11749999999995</v>
      </c>
      <c r="K10" s="6"/>
      <c r="L10" s="17"/>
    </row>
    <row r="11" spans="1:12" x14ac:dyDescent="0.25">
      <c r="A11" s="39" t="s">
        <v>57</v>
      </c>
      <c r="B11" s="98">
        <v>1</v>
      </c>
      <c r="C11" s="99">
        <v>10000</v>
      </c>
      <c r="D11" s="37">
        <f t="shared" si="1"/>
        <v>10000</v>
      </c>
      <c r="E11" s="39">
        <f t="shared" si="2"/>
        <v>1000</v>
      </c>
      <c r="F11" s="98">
        <v>0</v>
      </c>
      <c r="G11" s="99">
        <v>0.2</v>
      </c>
      <c r="H11" s="37">
        <f t="shared" si="3"/>
        <v>0.2</v>
      </c>
      <c r="I11" s="4">
        <f t="shared" si="4"/>
        <v>1560</v>
      </c>
      <c r="J11" s="51">
        <f t="shared" si="5"/>
        <v>604.13599999999997</v>
      </c>
      <c r="K11" s="6"/>
      <c r="L11" s="17"/>
    </row>
    <row r="12" spans="1:12" ht="31.5" x14ac:dyDescent="0.5">
      <c r="A12" s="145" t="s">
        <v>482</v>
      </c>
      <c r="B12" s="126"/>
      <c r="C12" s="127"/>
      <c r="D12" s="32"/>
      <c r="E12" s="92"/>
      <c r="F12" s="184"/>
      <c r="G12" s="127"/>
      <c r="H12" s="32"/>
      <c r="I12" s="2"/>
      <c r="J12" s="52">
        <f>SUM(J13:J16)</f>
        <v>718.66210000000001</v>
      </c>
      <c r="K12" s="10">
        <v>785</v>
      </c>
      <c r="L12" s="10">
        <f t="shared" ref="L12" si="6">K12-J12</f>
        <v>66.337899999999991</v>
      </c>
    </row>
    <row r="13" spans="1:12" x14ac:dyDescent="0.25">
      <c r="A13" s="39" t="s">
        <v>642</v>
      </c>
      <c r="B13" s="98">
        <v>1</v>
      </c>
      <c r="C13" s="99">
        <v>6900</v>
      </c>
      <c r="D13" s="37">
        <f t="shared" ref="D13:D16" si="7"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3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25">
      <c r="A14" s="39" t="s">
        <v>641</v>
      </c>
      <c r="B14" s="98">
        <v>1</v>
      </c>
      <c r="C14" s="99">
        <v>950</v>
      </c>
      <c r="D14" s="37">
        <f t="shared" si="7"/>
        <v>950</v>
      </c>
      <c r="E14" s="39">
        <f>D14*0.1</f>
        <v>95</v>
      </c>
      <c r="F14" s="98">
        <v>0</v>
      </c>
      <c r="G14" s="99">
        <v>0.05</v>
      </c>
      <c r="H14" s="37">
        <f t="shared" si="3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25">
      <c r="A15" s="39" t="s">
        <v>641</v>
      </c>
      <c r="B15" s="98">
        <v>1</v>
      </c>
      <c r="C15" s="99">
        <v>950</v>
      </c>
      <c r="D15" s="37">
        <f t="shared" ref="D15" si="8">B15*C15</f>
        <v>950</v>
      </c>
      <c r="E15" s="39">
        <f>D15*0.1</f>
        <v>95</v>
      </c>
      <c r="F15" s="98">
        <v>0</v>
      </c>
      <c r="G15" s="99">
        <v>0.05</v>
      </c>
      <c r="H15" s="37">
        <f t="shared" ref="H15" si="9"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25">
      <c r="A16" s="39" t="s">
        <v>641</v>
      </c>
      <c r="B16" s="98">
        <v>1</v>
      </c>
      <c r="C16" s="99">
        <v>950</v>
      </c>
      <c r="D16" s="37">
        <f t="shared" si="7"/>
        <v>950</v>
      </c>
      <c r="E16" s="39">
        <f>D16*0.1</f>
        <v>95</v>
      </c>
      <c r="F16" s="98">
        <v>0</v>
      </c>
      <c r="G16" s="99">
        <v>0.05</v>
      </c>
      <c r="H16" s="37">
        <f t="shared" si="3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.5" x14ac:dyDescent="0.5">
      <c r="A17" s="145" t="s">
        <v>333</v>
      </c>
      <c r="B17" s="126"/>
      <c r="C17" s="127"/>
      <c r="D17" s="32"/>
      <c r="E17" s="92"/>
      <c r="F17" s="184"/>
      <c r="G17" s="127"/>
      <c r="H17" s="32"/>
      <c r="I17" s="2"/>
      <c r="J17" s="52">
        <f>SUM(J18:J20)</f>
        <v>2002.4029999999998</v>
      </c>
      <c r="K17" s="10">
        <v>1965</v>
      </c>
      <c r="L17" s="10">
        <f t="shared" ref="L17" si="10">K17-J17</f>
        <v>-37.402999999999793</v>
      </c>
    </row>
    <row r="18" spans="1:13" x14ac:dyDescent="0.25">
      <c r="A18" s="133" t="s">
        <v>643</v>
      </c>
      <c r="B18" s="98">
        <v>1</v>
      </c>
      <c r="C18" s="99">
        <v>9900</v>
      </c>
      <c r="D18" s="37">
        <f t="shared" ref="D18:D20" si="11">B18*C18</f>
        <v>9900</v>
      </c>
      <c r="E18" s="39">
        <f>D18*0.1</f>
        <v>990</v>
      </c>
      <c r="F18" s="98">
        <v>0</v>
      </c>
      <c r="G18" s="99">
        <v>0.3</v>
      </c>
      <c r="H18" s="37">
        <f t="shared" ref="H18:H20" si="12"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25">
      <c r="A19" s="133" t="s">
        <v>644</v>
      </c>
      <c r="B19" s="98">
        <v>1</v>
      </c>
      <c r="C19" s="99">
        <v>9900</v>
      </c>
      <c r="D19" s="37">
        <f t="shared" si="11"/>
        <v>9900</v>
      </c>
      <c r="E19" s="39">
        <f>D19*0.1</f>
        <v>990</v>
      </c>
      <c r="F19" s="98">
        <v>0</v>
      </c>
      <c r="G19" s="99">
        <v>0.3</v>
      </c>
      <c r="H19" s="37">
        <f t="shared" si="12"/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25">
      <c r="A20" s="133" t="s">
        <v>645</v>
      </c>
      <c r="B20" s="98">
        <v>1</v>
      </c>
      <c r="C20" s="99">
        <v>4500</v>
      </c>
      <c r="D20" s="37">
        <f t="shared" si="11"/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 t="shared" si="12"/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.5" x14ac:dyDescent="0.5">
      <c r="A21" s="145" t="s">
        <v>646</v>
      </c>
      <c r="B21" s="126"/>
      <c r="C21" s="127"/>
      <c r="D21" s="32"/>
      <c r="E21" s="92"/>
      <c r="F21" s="126"/>
      <c r="G21" s="127"/>
      <c r="H21" s="32"/>
      <c r="I21" s="2"/>
      <c r="J21" s="52">
        <f>SUM(J22:J24)</f>
        <v>3011.2523999999999</v>
      </c>
      <c r="K21" s="10">
        <v>3079</v>
      </c>
      <c r="L21" s="10">
        <f t="shared" ref="L21" si="13">K21-J21</f>
        <v>67.747600000000148</v>
      </c>
    </row>
    <row r="22" spans="1:13" x14ac:dyDescent="0.25">
      <c r="A22" s="39" t="s">
        <v>647</v>
      </c>
      <c r="B22" s="98">
        <v>1</v>
      </c>
      <c r="C22" s="99">
        <v>21000</v>
      </c>
      <c r="D22" s="37">
        <f t="shared" ref="D22:D24" si="14"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3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25">
      <c r="A23" s="106" t="s">
        <v>648</v>
      </c>
      <c r="B23" s="117">
        <v>1</v>
      </c>
      <c r="C23" s="99">
        <v>9900</v>
      </c>
      <c r="D23" s="37">
        <f t="shared" si="14"/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3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25">
      <c r="A24" s="39" t="s">
        <v>649</v>
      </c>
      <c r="B24" s="98">
        <v>1</v>
      </c>
      <c r="C24" s="99">
        <v>18000</v>
      </c>
      <c r="D24" s="37">
        <f t="shared" si="14"/>
        <v>18000</v>
      </c>
      <c r="E24" s="39">
        <f>D24*0.1</f>
        <v>1800</v>
      </c>
      <c r="F24" s="98">
        <v>0</v>
      </c>
      <c r="G24" s="99">
        <v>0.43</v>
      </c>
      <c r="H24" s="37">
        <f t="shared" si="3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.5" x14ac:dyDescent="0.5">
      <c r="A25" s="145" t="s">
        <v>650</v>
      </c>
      <c r="B25" s="126"/>
      <c r="C25" s="127"/>
      <c r="D25" s="32"/>
      <c r="E25" s="92"/>
      <c r="F25" s="126"/>
      <c r="G25" s="127"/>
      <c r="H25" s="32"/>
      <c r="I25" s="2"/>
      <c r="J25" s="52">
        <f>J26+J27</f>
        <v>997.40159999999992</v>
      </c>
      <c r="K25" s="10">
        <f>1022-25</f>
        <v>997</v>
      </c>
      <c r="L25" s="10">
        <f t="shared" ref="L25" si="15">K25-J25</f>
        <v>-0.40159999999991669</v>
      </c>
      <c r="M25" s="135" t="s">
        <v>662</v>
      </c>
    </row>
    <row r="26" spans="1:13" x14ac:dyDescent="0.25">
      <c r="A26" s="39" t="s">
        <v>651</v>
      </c>
      <c r="B26" s="98">
        <v>1</v>
      </c>
      <c r="C26" s="99">
        <v>6980</v>
      </c>
      <c r="D26" s="37">
        <f t="shared" ref="D26:D27" si="16"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25">
      <c r="A27" s="39" t="s">
        <v>652</v>
      </c>
      <c r="B27" s="98">
        <v>1</v>
      </c>
      <c r="C27" s="99">
        <v>7900</v>
      </c>
      <c r="D27" s="37">
        <f t="shared" si="16"/>
        <v>7900</v>
      </c>
      <c r="E27" s="39">
        <f>D27*0.1</f>
        <v>790</v>
      </c>
      <c r="F27" s="117">
        <v>0</v>
      </c>
      <c r="G27" s="118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.5" x14ac:dyDescent="0.5">
      <c r="A28" s="145" t="s">
        <v>653</v>
      </c>
      <c r="B28" s="126"/>
      <c r="C28" s="127"/>
      <c r="D28" s="32"/>
      <c r="E28" s="92"/>
      <c r="F28" s="126"/>
      <c r="G28" s="127"/>
      <c r="H28" s="32"/>
      <c r="I28" s="2"/>
      <c r="J28" s="52">
        <f>J29+J30</f>
        <v>1511.3019999999999</v>
      </c>
      <c r="K28" s="10">
        <f>210+1300</f>
        <v>1510</v>
      </c>
      <c r="L28" s="10">
        <f t="shared" ref="L28" si="17">K28-J28</f>
        <v>-1.3019999999999072</v>
      </c>
    </row>
    <row r="29" spans="1:13" x14ac:dyDescent="0.25">
      <c r="A29" s="39" t="s">
        <v>654</v>
      </c>
      <c r="B29" s="98">
        <v>1</v>
      </c>
      <c r="C29" s="99">
        <v>6600</v>
      </c>
      <c r="D29" s="37">
        <f t="shared" ref="D29:D30" si="18"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25">
      <c r="A30" s="39" t="s">
        <v>655</v>
      </c>
      <c r="B30" s="98">
        <v>1</v>
      </c>
      <c r="C30" s="99">
        <v>10900</v>
      </c>
      <c r="D30" s="37">
        <f t="shared" si="18"/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.5" x14ac:dyDescent="0.5">
      <c r="A31" s="145" t="s">
        <v>2</v>
      </c>
      <c r="B31" s="126"/>
      <c r="C31" s="127"/>
      <c r="D31" s="32"/>
      <c r="E31" s="92"/>
      <c r="F31" s="184"/>
      <c r="G31" s="127"/>
      <c r="H31" s="32"/>
      <c r="I31" s="2"/>
      <c r="J31" s="52">
        <f>J32+J33</f>
        <v>1052.0913</v>
      </c>
      <c r="K31" s="10">
        <v>1113</v>
      </c>
      <c r="L31" s="10">
        <f t="shared" ref="L31" si="19">K31-J31</f>
        <v>60.908699999999953</v>
      </c>
    </row>
    <row r="32" spans="1:13" x14ac:dyDescent="0.25">
      <c r="A32" s="39" t="s">
        <v>251</v>
      </c>
      <c r="B32" s="98">
        <v>1</v>
      </c>
      <c r="C32" s="99">
        <v>9800</v>
      </c>
      <c r="D32" s="37">
        <f t="shared" ref="D32:D33" si="20"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3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.75" thickBot="1" x14ac:dyDescent="0.3">
      <c r="A33" s="39" t="s">
        <v>49</v>
      </c>
      <c r="B33" s="102">
        <v>1</v>
      </c>
      <c r="C33" s="103">
        <f>5580+1950</f>
        <v>7530</v>
      </c>
      <c r="D33" s="37">
        <f t="shared" si="20"/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3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.25" x14ac:dyDescent="0.4">
      <c r="A35" s="183" t="s">
        <v>638</v>
      </c>
    </row>
    <row r="36" spans="1:12" ht="31.5" x14ac:dyDescent="0.5">
      <c r="A36" s="155" t="s">
        <v>619</v>
      </c>
    </row>
    <row r="37" spans="1:12" x14ac:dyDescent="0.25">
      <c r="A37" s="36" t="s">
        <v>639</v>
      </c>
    </row>
    <row r="38" spans="1:12" ht="31.5" x14ac:dyDescent="0.5">
      <c r="A38" s="155" t="s">
        <v>482</v>
      </c>
    </row>
    <row r="39" spans="1:12" x14ac:dyDescent="0.25">
      <c r="A39" s="36" t="s">
        <v>639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5" x14ac:dyDescent="0.25"/>
  <cols>
    <col min="1" max="1" width="38.4257812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0" bestFit="1" customWidth="1"/>
    <col min="12" max="12" width="10.7109375" customWidth="1"/>
  </cols>
  <sheetData>
    <row r="1" spans="1:12" ht="21" x14ac:dyDescent="0.35">
      <c r="A1" s="55" t="s">
        <v>283</v>
      </c>
      <c r="B1" s="4"/>
      <c r="C1" s="196">
        <v>42148</v>
      </c>
      <c r="D1" s="30"/>
    </row>
    <row r="2" spans="1:12" ht="21" x14ac:dyDescent="0.35">
      <c r="A2" s="55" t="s">
        <v>240</v>
      </c>
      <c r="B2" s="4"/>
      <c r="C2" s="16">
        <v>7800</v>
      </c>
      <c r="D2" s="30"/>
    </row>
    <row r="3" spans="1:12" ht="21" x14ac:dyDescent="0.35">
      <c r="A3" s="55" t="s">
        <v>241</v>
      </c>
      <c r="B3" s="4"/>
      <c r="C3" s="177">
        <v>4.7500000000000001E-2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5" t="s">
        <v>664</v>
      </c>
      <c r="B6" s="154"/>
      <c r="C6" s="154"/>
      <c r="D6" s="32"/>
      <c r="E6" s="92"/>
      <c r="F6" s="184"/>
      <c r="G6" s="127"/>
      <c r="H6" s="32"/>
      <c r="I6" s="2"/>
      <c r="J6" s="52">
        <f>J7</f>
        <v>320.815</v>
      </c>
      <c r="K6" s="10">
        <v>324</v>
      </c>
      <c r="L6" s="10">
        <f t="shared" ref="L6" si="0">K6-J6</f>
        <v>3.1850000000000023</v>
      </c>
    </row>
    <row r="7" spans="1:12" x14ac:dyDescent="0.25">
      <c r="A7" s="4" t="s">
        <v>172</v>
      </c>
      <c r="B7" s="4">
        <v>1</v>
      </c>
      <c r="C7" s="4">
        <v>3300</v>
      </c>
      <c r="D7" s="37">
        <f t="shared" ref="D7" si="1">B7*C7</f>
        <v>3300</v>
      </c>
      <c r="E7" s="39">
        <f>D7*0.1</f>
        <v>330</v>
      </c>
      <c r="F7" s="4">
        <v>2500</v>
      </c>
      <c r="G7" s="4">
        <v>0.08</v>
      </c>
      <c r="H7" s="37">
        <f t="shared" ref="H7" si="2"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.5" x14ac:dyDescent="0.5">
      <c r="A8" s="155" t="s">
        <v>461</v>
      </c>
      <c r="B8" s="154"/>
      <c r="C8" s="154"/>
      <c r="D8" s="32"/>
      <c r="E8" s="92"/>
      <c r="F8" s="154"/>
      <c r="G8" s="154"/>
      <c r="H8" s="32"/>
      <c r="I8" s="2"/>
      <c r="J8" s="52">
        <f>J9</f>
        <v>556.41499999999996</v>
      </c>
      <c r="K8" s="10">
        <f>532+24</f>
        <v>556</v>
      </c>
      <c r="L8" s="10">
        <f t="shared" ref="L8" si="3">K8-J8</f>
        <v>-0.41499999999996362</v>
      </c>
    </row>
    <row r="9" spans="1:12" x14ac:dyDescent="0.25">
      <c r="A9" s="4" t="s">
        <v>665</v>
      </c>
      <c r="B9" s="4">
        <v>1</v>
      </c>
      <c r="C9" s="4">
        <v>7100</v>
      </c>
      <c r="D9" s="37">
        <f t="shared" ref="D9" si="4">B9*C9</f>
        <v>7100</v>
      </c>
      <c r="E9" s="39">
        <f>D9*0.1</f>
        <v>710</v>
      </c>
      <c r="F9" s="4">
        <v>2500</v>
      </c>
      <c r="G9" s="4">
        <v>0.18</v>
      </c>
      <c r="H9" s="37">
        <f t="shared" ref="H9" si="5"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.5" x14ac:dyDescent="0.5">
      <c r="A10" s="155" t="s">
        <v>666</v>
      </c>
      <c r="B10" s="154"/>
      <c r="C10" s="154"/>
      <c r="D10" s="32"/>
      <c r="E10" s="92"/>
      <c r="F10" s="154"/>
      <c r="G10" s="154"/>
      <c r="H10" s="32"/>
      <c r="I10" s="2"/>
      <c r="J10" s="52">
        <f>J11</f>
        <v>287.31166666666667</v>
      </c>
      <c r="K10" s="10">
        <v>290</v>
      </c>
      <c r="L10" s="10">
        <f t="shared" ref="L10" si="6">K10-J10</f>
        <v>2.6883333333333326</v>
      </c>
    </row>
    <row r="11" spans="1:12" x14ac:dyDescent="0.25">
      <c r="A11" s="4" t="s">
        <v>667</v>
      </c>
      <c r="B11" s="4">
        <v>1</v>
      </c>
      <c r="C11" s="4">
        <f>7900/2</f>
        <v>3950</v>
      </c>
      <c r="D11" s="37">
        <f t="shared" ref="D11" si="7"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 t="shared" ref="H11" si="8"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.5" x14ac:dyDescent="0.5">
      <c r="A12" s="155" t="s">
        <v>668</v>
      </c>
      <c r="B12" s="154"/>
      <c r="C12" s="154"/>
      <c r="D12" s="32"/>
      <c r="E12" s="92"/>
      <c r="F12" s="154"/>
      <c r="G12" s="154"/>
      <c r="H12" s="32"/>
      <c r="I12" s="2"/>
      <c r="J12" s="52">
        <f>J13</f>
        <v>287.31166666666667</v>
      </c>
      <c r="K12" s="10">
        <v>290</v>
      </c>
      <c r="L12" s="10">
        <f t="shared" ref="L12" si="9">K12-J12</f>
        <v>2.6883333333333326</v>
      </c>
    </row>
    <row r="13" spans="1:12" x14ac:dyDescent="0.25">
      <c r="A13" s="4" t="s">
        <v>667</v>
      </c>
      <c r="B13" s="4">
        <v>1</v>
      </c>
      <c r="C13" s="4">
        <f>7900/2</f>
        <v>3950</v>
      </c>
      <c r="D13" s="37">
        <f t="shared" ref="D13" si="10"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 t="shared" ref="H13" si="11"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.5" x14ac:dyDescent="0.5">
      <c r="A14" s="155" t="s">
        <v>669</v>
      </c>
      <c r="B14" s="154"/>
      <c r="C14" s="154"/>
      <c r="D14" s="32"/>
      <c r="E14" s="92"/>
      <c r="F14" s="154"/>
      <c r="G14" s="154"/>
      <c r="H14" s="32"/>
      <c r="I14" s="2"/>
      <c r="J14" s="52">
        <f>J15</f>
        <v>287.31166666666667</v>
      </c>
      <c r="K14" s="10">
        <v>290</v>
      </c>
      <c r="L14" s="10">
        <f t="shared" ref="L14" si="12">K14-J14</f>
        <v>2.6883333333333326</v>
      </c>
    </row>
    <row r="15" spans="1:12" x14ac:dyDescent="0.25">
      <c r="A15" s="4" t="s">
        <v>667</v>
      </c>
      <c r="B15" s="4">
        <v>1</v>
      </c>
      <c r="C15" s="4">
        <f>7900/2</f>
        <v>3950</v>
      </c>
      <c r="D15" s="37">
        <f t="shared" ref="D15" si="13"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 t="shared" ref="H15" si="14"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.5" x14ac:dyDescent="0.5">
      <c r="A16" s="155" t="s">
        <v>670</v>
      </c>
      <c r="B16" s="154"/>
      <c r="C16" s="154"/>
      <c r="D16" s="32"/>
      <c r="E16" s="92"/>
      <c r="F16" s="154"/>
      <c r="G16" s="154"/>
      <c r="H16" s="32"/>
      <c r="I16" s="2"/>
      <c r="J16" s="52">
        <f>J17</f>
        <v>1457.0150000000001</v>
      </c>
      <c r="K16" s="10">
        <v>1592</v>
      </c>
      <c r="L16" s="10">
        <f t="shared" ref="L16" si="15">K16-J16</f>
        <v>134.9849999999999</v>
      </c>
    </row>
    <row r="17" spans="1:12" x14ac:dyDescent="0.25">
      <c r="A17" s="76" t="s">
        <v>671</v>
      </c>
      <c r="B17" s="4">
        <v>1</v>
      </c>
      <c r="C17" s="4">
        <v>25900</v>
      </c>
      <c r="D17" s="37">
        <f t="shared" ref="D17" si="16"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 t="shared" ref="H17" si="17"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.5" x14ac:dyDescent="0.5">
      <c r="A18" s="155" t="s">
        <v>672</v>
      </c>
      <c r="B18" s="154"/>
      <c r="C18" s="154"/>
      <c r="D18" s="32"/>
      <c r="E18" s="92"/>
      <c r="F18" s="154"/>
      <c r="G18" s="154"/>
      <c r="H18" s="32"/>
      <c r="I18" s="2"/>
      <c r="J18" s="52">
        <f>J19</f>
        <v>953.04</v>
      </c>
      <c r="K18" s="10">
        <v>1027</v>
      </c>
      <c r="L18" s="10">
        <f t="shared" ref="L18" si="18">K18-J18</f>
        <v>73.960000000000036</v>
      </c>
    </row>
    <row r="19" spans="1:12" x14ac:dyDescent="0.25">
      <c r="A19" s="4" t="s">
        <v>673</v>
      </c>
      <c r="B19" s="4">
        <v>1</v>
      </c>
      <c r="C19" s="4">
        <v>15900</v>
      </c>
      <c r="D19" s="37">
        <f t="shared" ref="D19" si="19">B19*C19</f>
        <v>15900</v>
      </c>
      <c r="E19" s="39">
        <f>D19*0.1</f>
        <v>1590</v>
      </c>
      <c r="F19" s="4">
        <v>0</v>
      </c>
      <c r="G19" s="5">
        <v>0.33</v>
      </c>
      <c r="H19" s="37">
        <f t="shared" ref="H19" si="20"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.5" x14ac:dyDescent="0.5">
      <c r="A20" s="155" t="s">
        <v>612</v>
      </c>
      <c r="B20" s="154"/>
      <c r="C20" s="154"/>
      <c r="D20" s="32"/>
      <c r="E20" s="92"/>
      <c r="F20" s="154"/>
      <c r="G20" s="154"/>
      <c r="H20" s="32"/>
      <c r="I20" s="2"/>
      <c r="J20" s="52">
        <f>J21</f>
        <v>748.88499999999999</v>
      </c>
      <c r="K20" s="10">
        <v>746</v>
      </c>
      <c r="L20" s="10">
        <f t="shared" ref="L20" si="21">K20-J20</f>
        <v>-2.8849999999999909</v>
      </c>
    </row>
    <row r="21" spans="1:12" x14ac:dyDescent="0.25">
      <c r="A21" s="4" t="s">
        <v>57</v>
      </c>
      <c r="B21" s="4">
        <v>1</v>
      </c>
      <c r="C21" s="4">
        <v>10500</v>
      </c>
      <c r="D21" s="37">
        <f t="shared" ref="D21" si="22">B21*C21</f>
        <v>10500</v>
      </c>
      <c r="E21" s="39">
        <f>D21*0.1</f>
        <v>1050</v>
      </c>
      <c r="F21" s="4">
        <v>2500</v>
      </c>
      <c r="G21" s="4">
        <v>0.22</v>
      </c>
      <c r="H21" s="37">
        <f t="shared" ref="H21" si="23"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.5" x14ac:dyDescent="0.5">
      <c r="A22" s="155" t="s">
        <v>384</v>
      </c>
      <c r="B22" s="154"/>
      <c r="C22" s="154"/>
      <c r="D22" s="32"/>
      <c r="E22" s="92"/>
      <c r="F22" s="154"/>
      <c r="G22" s="154"/>
      <c r="H22" s="32"/>
      <c r="I22" s="2"/>
      <c r="J22" s="52">
        <f>J23+J24</f>
        <v>1989.395</v>
      </c>
      <c r="K22" s="10">
        <v>2005</v>
      </c>
      <c r="L22" s="10">
        <f t="shared" ref="L22" si="24">K22-J22</f>
        <v>15.605000000000018</v>
      </c>
    </row>
    <row r="23" spans="1:12" x14ac:dyDescent="0.25">
      <c r="A23" s="4" t="s">
        <v>674</v>
      </c>
      <c r="B23" s="4">
        <v>1</v>
      </c>
      <c r="C23" s="4">
        <v>10900</v>
      </c>
      <c r="D23" s="37">
        <f t="shared" ref="D23:D24" si="25"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25">
      <c r="A24" s="4" t="s">
        <v>675</v>
      </c>
      <c r="B24" s="195">
        <v>2</v>
      </c>
      <c r="C24" s="4">
        <v>9900</v>
      </c>
      <c r="D24" s="37">
        <f t="shared" si="25"/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.5" x14ac:dyDescent="0.5">
      <c r="A25" s="155" t="s">
        <v>676</v>
      </c>
      <c r="B25" s="154"/>
      <c r="C25" s="154"/>
      <c r="D25" s="32"/>
      <c r="E25" s="92"/>
      <c r="F25" s="154"/>
      <c r="G25" s="154"/>
      <c r="H25" s="32"/>
      <c r="I25" s="2"/>
      <c r="J25" s="52">
        <f>J26+J27</f>
        <v>1155.3266666666666</v>
      </c>
      <c r="K25" s="10">
        <f>1138+18</f>
        <v>1156</v>
      </c>
      <c r="L25" s="10">
        <f t="shared" ref="L25" si="26">K25-J25</f>
        <v>0.67333333333340306</v>
      </c>
    </row>
    <row r="26" spans="1:12" x14ac:dyDescent="0.25">
      <c r="A26" s="4" t="s">
        <v>166</v>
      </c>
      <c r="B26" s="4">
        <v>1</v>
      </c>
      <c r="C26" s="4">
        <v>12000</v>
      </c>
      <c r="D26" s="37">
        <f t="shared" ref="D26:D27" si="27"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25">
      <c r="A27" s="4" t="s">
        <v>667</v>
      </c>
      <c r="B27" s="4">
        <v>1</v>
      </c>
      <c r="C27" s="4">
        <f>7900/2</f>
        <v>3950</v>
      </c>
      <c r="D27" s="37">
        <f t="shared" si="27"/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.5" x14ac:dyDescent="0.5">
      <c r="A28" s="155" t="s">
        <v>505</v>
      </c>
      <c r="B28" s="154"/>
      <c r="C28" s="154"/>
      <c r="D28" s="32"/>
      <c r="E28" s="92"/>
      <c r="F28" s="154"/>
      <c r="G28" s="154"/>
      <c r="H28" s="32"/>
      <c r="I28" s="2"/>
      <c r="J28" s="52">
        <f>J29+J30</f>
        <v>5866.915</v>
      </c>
      <c r="K28" s="10">
        <v>6026</v>
      </c>
      <c r="L28" s="10">
        <f t="shared" ref="L28" si="28">K28-J28</f>
        <v>159.08500000000004</v>
      </c>
    </row>
    <row r="29" spans="1:12" x14ac:dyDescent="0.25">
      <c r="A29" s="4" t="s">
        <v>677</v>
      </c>
      <c r="B29" s="195">
        <v>7</v>
      </c>
      <c r="C29" s="4">
        <v>9900</v>
      </c>
      <c r="D29" s="37">
        <f t="shared" ref="D29:D30" si="29"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25">
      <c r="A30" s="4" t="s">
        <v>678</v>
      </c>
      <c r="B30" s="195">
        <v>2</v>
      </c>
      <c r="C30" s="4">
        <v>14400</v>
      </c>
      <c r="D30" s="37">
        <f t="shared" si="29"/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.5" x14ac:dyDescent="0.5">
      <c r="A31" s="155" t="s">
        <v>333</v>
      </c>
      <c r="B31" s="154"/>
      <c r="C31" s="154"/>
      <c r="D31" s="32"/>
      <c r="E31" s="92"/>
      <c r="F31" s="154"/>
      <c r="G31" s="154"/>
      <c r="H31" s="32"/>
      <c r="I31" s="2"/>
      <c r="J31" s="52">
        <f>J32+J33</f>
        <v>1649.1208333333334</v>
      </c>
      <c r="K31" s="10">
        <v>1553</v>
      </c>
      <c r="L31" s="10">
        <f t="shared" ref="L31" si="30">K31-J31</f>
        <v>-96.120833333333394</v>
      </c>
    </row>
    <row r="32" spans="1:12" ht="48.75" customHeight="1" x14ac:dyDescent="0.25">
      <c r="A32" s="194" t="s">
        <v>679</v>
      </c>
      <c r="B32" s="195">
        <v>4</v>
      </c>
      <c r="C32" s="4">
        <v>6000</v>
      </c>
      <c r="D32" s="37">
        <f t="shared" ref="D32:D33" si="31"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25">
      <c r="A33" s="4" t="s">
        <v>680</v>
      </c>
      <c r="B33" s="4">
        <v>1</v>
      </c>
      <c r="C33" s="4">
        <v>990</v>
      </c>
      <c r="D33" s="37">
        <f t="shared" si="31"/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.5" x14ac:dyDescent="0.5">
      <c r="A34" s="155" t="s">
        <v>356</v>
      </c>
      <c r="B34" s="154"/>
      <c r="C34" s="154"/>
      <c r="D34" s="32"/>
      <c r="E34" s="92"/>
      <c r="F34" s="154"/>
      <c r="G34" s="154"/>
      <c r="H34" s="32"/>
      <c r="I34" s="2"/>
      <c r="J34" s="52">
        <f>SUM(J35:J36)</f>
        <v>1604.3600000000001</v>
      </c>
      <c r="K34" s="10">
        <v>2219</v>
      </c>
      <c r="L34" s="10">
        <f t="shared" ref="L34" si="32">K34-J34</f>
        <v>614.63999999999987</v>
      </c>
    </row>
    <row r="35" spans="1:12" x14ac:dyDescent="0.25">
      <c r="A35" s="18" t="s">
        <v>711</v>
      </c>
      <c r="B35" s="4">
        <v>1</v>
      </c>
      <c r="C35" s="4"/>
      <c r="D35" s="37">
        <f t="shared" ref="D35:D36" si="33">B35*C35</f>
        <v>0</v>
      </c>
      <c r="E35" s="39">
        <f t="shared" ref="E35:E36" si="34">D35*0.1</f>
        <v>0</v>
      </c>
      <c r="F35" s="4">
        <v>0</v>
      </c>
      <c r="G35" s="4"/>
      <c r="H35" s="37">
        <f t="shared" ref="H35:H40" si="35">G35*B35</f>
        <v>0</v>
      </c>
      <c r="I35" s="4">
        <f t="shared" ref="I35:I36" si="36">H35*$C$2</f>
        <v>0</v>
      </c>
      <c r="J35" s="51">
        <f t="shared" ref="J35:J36" si="37">(D35+E35+F35+I35)*$C$3</f>
        <v>0</v>
      </c>
      <c r="K35" s="6"/>
      <c r="L35" s="17"/>
    </row>
    <row r="36" spans="1:12" x14ac:dyDescent="0.25">
      <c r="A36" s="4" t="s">
        <v>681</v>
      </c>
      <c r="B36" s="195">
        <v>2</v>
      </c>
      <c r="C36" s="4">
        <v>12800</v>
      </c>
      <c r="D36" s="37">
        <f t="shared" si="33"/>
        <v>25600</v>
      </c>
      <c r="E36" s="39">
        <f t="shared" si="34"/>
        <v>2560</v>
      </c>
      <c r="F36" s="4">
        <v>0</v>
      </c>
      <c r="G36" s="4">
        <v>0.36</v>
      </c>
      <c r="H36" s="37">
        <f t="shared" si="35"/>
        <v>0.72</v>
      </c>
      <c r="I36" s="4">
        <f t="shared" si="36"/>
        <v>5616</v>
      </c>
      <c r="J36" s="51">
        <f t="shared" si="37"/>
        <v>1604.3600000000001</v>
      </c>
      <c r="K36" s="6"/>
      <c r="L36" s="17"/>
    </row>
    <row r="37" spans="1:12" ht="31.5" x14ac:dyDescent="0.5">
      <c r="A37" s="155" t="s">
        <v>2</v>
      </c>
      <c r="B37" s="154"/>
      <c r="C37" s="154"/>
      <c r="D37" s="32"/>
      <c r="E37" s="92"/>
      <c r="F37" s="154"/>
      <c r="G37" s="154"/>
      <c r="H37" s="32"/>
      <c r="I37" s="2"/>
      <c r="J37" s="52">
        <f>SUM(J38:J40)</f>
        <v>1662.0408333333335</v>
      </c>
      <c r="K37" s="10">
        <f>1450+212</f>
        <v>1662</v>
      </c>
      <c r="L37" s="10">
        <f t="shared" ref="L37" si="38">K37-J37</f>
        <v>-4.0833333333466726E-2</v>
      </c>
    </row>
    <row r="38" spans="1:12" x14ac:dyDescent="0.25">
      <c r="A38" s="4" t="s">
        <v>682</v>
      </c>
      <c r="B38" s="195">
        <v>2</v>
      </c>
      <c r="C38" s="4">
        <v>3000</v>
      </c>
      <c r="D38" s="37">
        <f t="shared" ref="D38:D40" si="39"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35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25">
      <c r="A39" s="4" t="s">
        <v>683</v>
      </c>
      <c r="B39" s="4">
        <v>1</v>
      </c>
      <c r="C39" s="4">
        <v>12000</v>
      </c>
      <c r="D39" s="37">
        <f t="shared" si="39"/>
        <v>12000</v>
      </c>
      <c r="E39" s="39">
        <f>D39*0.1</f>
        <v>1200</v>
      </c>
      <c r="F39" s="4">
        <v>2500</v>
      </c>
      <c r="G39" s="5">
        <v>0.8</v>
      </c>
      <c r="H39" s="37">
        <f t="shared" si="35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25">
      <c r="A40" s="4" t="s">
        <v>680</v>
      </c>
      <c r="B40" s="4">
        <v>1</v>
      </c>
      <c r="C40" s="4">
        <v>990</v>
      </c>
      <c r="D40" s="37">
        <f t="shared" si="39"/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35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.5" x14ac:dyDescent="0.5">
      <c r="A41" s="155" t="s">
        <v>684</v>
      </c>
      <c r="B41" s="154"/>
      <c r="C41" s="154"/>
      <c r="D41" s="32"/>
      <c r="E41" s="92"/>
      <c r="F41" s="154"/>
      <c r="G41" s="154"/>
      <c r="H41" s="32"/>
      <c r="I41" s="2"/>
      <c r="J41" s="52">
        <f>SUM(J42:J44)</f>
        <v>4470.6050000000005</v>
      </c>
      <c r="K41" s="10">
        <v>5608</v>
      </c>
      <c r="L41" s="10">
        <f t="shared" ref="L41" si="40">K41-J41</f>
        <v>1137.3949999999995</v>
      </c>
    </row>
    <row r="42" spans="1:12" x14ac:dyDescent="0.25">
      <c r="A42" s="18" t="s">
        <v>712</v>
      </c>
      <c r="B42" s="195">
        <v>2</v>
      </c>
      <c r="C42" s="4">
        <v>12500</v>
      </c>
      <c r="D42" s="37">
        <f t="shared" ref="D42:D44" si="41">B42*C42</f>
        <v>25000</v>
      </c>
      <c r="E42" s="39">
        <f>D42*0.1</f>
        <v>2500</v>
      </c>
      <c r="F42" s="4">
        <v>2500</v>
      </c>
      <c r="G42" s="5">
        <v>2.44</v>
      </c>
      <c r="H42" s="37">
        <f t="shared" ref="H42:H44" si="42"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25">
      <c r="A43" t="s">
        <v>685</v>
      </c>
      <c r="B43" s="195">
        <v>2</v>
      </c>
      <c r="C43" s="4">
        <v>2200</v>
      </c>
      <c r="D43" s="37">
        <f t="shared" si="41"/>
        <v>4400</v>
      </c>
      <c r="E43" s="39">
        <f>D43*0.1</f>
        <v>440</v>
      </c>
      <c r="F43" s="4">
        <v>2500</v>
      </c>
      <c r="G43" s="4">
        <v>0.09</v>
      </c>
      <c r="H43" s="37">
        <f t="shared" si="42"/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25">
      <c r="A44" s="4" t="s">
        <v>686</v>
      </c>
      <c r="B44" s="4">
        <v>1</v>
      </c>
      <c r="C44" s="4">
        <v>8500</v>
      </c>
      <c r="D44" s="37">
        <f t="shared" si="41"/>
        <v>8500</v>
      </c>
      <c r="E44" s="39">
        <f>D44*0.1</f>
        <v>850</v>
      </c>
      <c r="F44" s="4">
        <v>2500</v>
      </c>
      <c r="G44" s="4">
        <v>0.7</v>
      </c>
      <c r="H44" s="37">
        <f t="shared" si="42"/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283</v>
      </c>
      <c r="B1" s="4"/>
      <c r="C1" s="196">
        <v>42167</v>
      </c>
      <c r="D1" s="30"/>
    </row>
    <row r="2" spans="1:12" ht="21" x14ac:dyDescent="0.35">
      <c r="A2" s="55" t="s">
        <v>240</v>
      </c>
      <c r="B2" s="4"/>
      <c r="C2" s="16">
        <v>7650</v>
      </c>
      <c r="D2" s="30"/>
    </row>
    <row r="3" spans="1:12" ht="21" x14ac:dyDescent="0.35">
      <c r="A3" s="55" t="s">
        <v>241</v>
      </c>
      <c r="B3" s="4"/>
      <c r="C3" s="177">
        <v>5.0500000000000003E-2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5" t="s">
        <v>384</v>
      </c>
      <c r="B6" s="154"/>
      <c r="C6" s="154"/>
      <c r="D6" s="32"/>
      <c r="E6" s="92"/>
      <c r="F6" s="184"/>
      <c r="G6" s="127"/>
      <c r="H6" s="32"/>
      <c r="I6" s="2"/>
      <c r="J6" s="52">
        <f>J7</f>
        <v>751.03600000000006</v>
      </c>
      <c r="K6" s="10">
        <f>729+20</f>
        <v>749</v>
      </c>
      <c r="L6" s="10">
        <f t="shared" ref="L6" si="0">K6-J6</f>
        <v>-2.0360000000000582</v>
      </c>
    </row>
    <row r="7" spans="1:12" x14ac:dyDescent="0.2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2500</v>
      </c>
      <c r="G7" s="4">
        <v>0.28000000000000003</v>
      </c>
      <c r="H7" s="37">
        <f t="shared" ref="H7" si="2"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.5" x14ac:dyDescent="0.5">
      <c r="A8" s="155" t="s">
        <v>689</v>
      </c>
      <c r="B8" s="154"/>
      <c r="C8" s="154"/>
      <c r="D8" s="32"/>
      <c r="E8" s="92"/>
      <c r="F8" s="154"/>
      <c r="G8" s="154"/>
      <c r="H8" s="32"/>
      <c r="I8" s="2"/>
      <c r="J8" s="52">
        <f>J9</f>
        <v>762.04500000000007</v>
      </c>
      <c r="K8" s="10">
        <v>773</v>
      </c>
      <c r="L8" s="10">
        <f t="shared" ref="L8" si="3">K8-J8</f>
        <v>10.954999999999927</v>
      </c>
    </row>
    <row r="9" spans="1:12" x14ac:dyDescent="0.25">
      <c r="A9" s="21" t="s">
        <v>690</v>
      </c>
      <c r="B9" s="4">
        <v>1</v>
      </c>
      <c r="C9" s="4">
        <v>9800</v>
      </c>
      <c r="D9" s="37">
        <f t="shared" ref="D9" si="4"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 t="shared" ref="H9" si="5"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.5" x14ac:dyDescent="0.5">
      <c r="A10" s="155" t="s">
        <v>505</v>
      </c>
      <c r="B10" s="154"/>
      <c r="C10" s="154"/>
      <c r="D10" s="32"/>
      <c r="E10" s="92"/>
      <c r="F10" s="154"/>
      <c r="G10" s="154"/>
      <c r="H10" s="32"/>
      <c r="I10" s="2"/>
      <c r="J10" s="52">
        <f>J11</f>
        <v>3300.9325000000003</v>
      </c>
      <c r="K10" s="10">
        <v>3342</v>
      </c>
      <c r="L10" s="10">
        <f t="shared" ref="L10" si="6">K10-J10</f>
        <v>41.067499999999654</v>
      </c>
    </row>
    <row r="11" spans="1:12" x14ac:dyDescent="0.25">
      <c r="A11" s="4" t="s">
        <v>677</v>
      </c>
      <c r="B11" s="4">
        <v>5</v>
      </c>
      <c r="C11" s="4">
        <v>9900</v>
      </c>
      <c r="D11" s="37">
        <f t="shared" ref="D11" si="7">B11*C11</f>
        <v>49500</v>
      </c>
      <c r="E11" s="39">
        <f>D11*0.1</f>
        <v>4950</v>
      </c>
      <c r="F11" s="4">
        <v>2500</v>
      </c>
      <c r="G11" s="5">
        <v>0.22</v>
      </c>
      <c r="H11" s="37">
        <f t="shared" ref="H11" si="8"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.5" x14ac:dyDescent="0.5">
      <c r="A12" s="155" t="s">
        <v>691</v>
      </c>
      <c r="B12" s="197"/>
      <c r="C12" s="154"/>
      <c r="D12" s="32"/>
      <c r="E12" s="92"/>
      <c r="F12" s="154"/>
      <c r="G12" s="154"/>
      <c r="H12" s="32"/>
      <c r="I12" s="2"/>
      <c r="J12" s="52">
        <f>J13+J14</f>
        <v>2047.1437500000002</v>
      </c>
      <c r="K12" s="10">
        <f>1980+67</f>
        <v>2047</v>
      </c>
      <c r="L12" s="10">
        <f t="shared" ref="L12" si="9">K12-J12</f>
        <v>-0.1437500000001819</v>
      </c>
    </row>
    <row r="13" spans="1:12" x14ac:dyDescent="0.25">
      <c r="A13" s="4" t="s">
        <v>692</v>
      </c>
      <c r="B13" s="4">
        <v>1</v>
      </c>
      <c r="C13" s="4">
        <v>14000</v>
      </c>
      <c r="D13" s="37">
        <f t="shared" ref="D13:D14" si="10"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25">
      <c r="A14" s="17" t="s">
        <v>709</v>
      </c>
      <c r="B14" s="71">
        <v>2</v>
      </c>
      <c r="C14" s="4">
        <v>4900</v>
      </c>
      <c r="D14" s="37">
        <f t="shared" si="10"/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.5" x14ac:dyDescent="0.5">
      <c r="A15" s="155" t="s">
        <v>492</v>
      </c>
      <c r="B15" s="154"/>
      <c r="C15" s="154"/>
      <c r="D15" s="32"/>
      <c r="E15" s="92"/>
      <c r="F15" s="154"/>
      <c r="G15" s="154"/>
      <c r="H15" s="32"/>
      <c r="I15" s="2"/>
      <c r="J15" s="52">
        <f>J16+J17</f>
        <v>1028.1210833333334</v>
      </c>
      <c r="K15" s="10">
        <v>1028</v>
      </c>
      <c r="L15" s="10">
        <f t="shared" ref="L15" si="11">K15-J15</f>
        <v>-0.1210833333334449</v>
      </c>
    </row>
    <row r="16" spans="1:12" x14ac:dyDescent="0.25">
      <c r="A16" s="21" t="s">
        <v>693</v>
      </c>
      <c r="B16" s="4">
        <v>1</v>
      </c>
      <c r="C16" s="5">
        <f>11900/3</f>
        <v>3966.6666666666665</v>
      </c>
      <c r="D16" s="37">
        <f t="shared" ref="D16:D17" si="12"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25">
      <c r="A17" s="21" t="s">
        <v>694</v>
      </c>
      <c r="B17" s="4">
        <v>1</v>
      </c>
      <c r="C17" s="4">
        <v>4480</v>
      </c>
      <c r="D17" s="37">
        <f t="shared" si="12"/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.5" x14ac:dyDescent="0.5">
      <c r="A18" s="155" t="s">
        <v>2</v>
      </c>
      <c r="B18" s="154"/>
      <c r="C18" s="154"/>
      <c r="D18" s="32"/>
      <c r="E18" s="92"/>
      <c r="F18" s="154"/>
      <c r="G18" s="154"/>
      <c r="H18" s="32"/>
      <c r="I18" s="2"/>
      <c r="J18" s="52">
        <f>J19+J20</f>
        <v>2554.29</v>
      </c>
      <c r="K18" s="10">
        <f>2885-346</f>
        <v>2539</v>
      </c>
      <c r="L18" s="10">
        <f t="shared" ref="L18" si="13">K18-J18</f>
        <v>-15.289999999999964</v>
      </c>
      <c r="M18" t="s">
        <v>710</v>
      </c>
    </row>
    <row r="19" spans="1:13" x14ac:dyDescent="0.25">
      <c r="A19" s="17" t="s">
        <v>695</v>
      </c>
      <c r="B19" s="4">
        <v>1</v>
      </c>
      <c r="C19" s="4">
        <v>16200</v>
      </c>
      <c r="D19" s="37">
        <f t="shared" ref="D19:D20" si="14"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25">
      <c r="A20" s="4" t="s">
        <v>696</v>
      </c>
      <c r="B20" s="4">
        <v>1</v>
      </c>
      <c r="C20" s="4">
        <v>27000</v>
      </c>
      <c r="D20" s="37">
        <f t="shared" si="14"/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.5" x14ac:dyDescent="0.5">
      <c r="A21" s="155" t="s">
        <v>697</v>
      </c>
      <c r="B21" s="197"/>
      <c r="C21" s="154"/>
      <c r="D21" s="32"/>
      <c r="E21" s="92"/>
      <c r="F21" s="154"/>
      <c r="G21" s="154"/>
      <c r="H21" s="32"/>
      <c r="I21" s="2"/>
      <c r="J21" s="52">
        <f>SUM(J22:J25)</f>
        <v>1843.4014999999999</v>
      </c>
      <c r="K21" s="10">
        <f>1827+16</f>
        <v>1843</v>
      </c>
      <c r="L21" s="10">
        <f t="shared" ref="L21" si="15">K21-J21</f>
        <v>-0.40149999999994179</v>
      </c>
    </row>
    <row r="22" spans="1:13" x14ac:dyDescent="0.25">
      <c r="A22" s="4" t="s">
        <v>698</v>
      </c>
      <c r="B22" s="4">
        <v>1</v>
      </c>
      <c r="C22" s="4">
        <v>4900</v>
      </c>
      <c r="D22" s="37">
        <f t="shared" ref="D22:D25" si="16">B22*C22</f>
        <v>4900</v>
      </c>
      <c r="E22" s="39">
        <f>D22*0.1</f>
        <v>490</v>
      </c>
      <c r="F22" s="4">
        <v>0</v>
      </c>
      <c r="G22" s="4">
        <v>0.1</v>
      </c>
      <c r="H22" s="37">
        <f t="shared" ref="H22:H25" si="17"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25">
      <c r="A23" s="4" t="s">
        <v>699</v>
      </c>
      <c r="B23" s="4">
        <v>1</v>
      </c>
      <c r="C23" s="4">
        <v>4900</v>
      </c>
      <c r="D23" s="37">
        <f t="shared" si="16"/>
        <v>4900</v>
      </c>
      <c r="E23" s="39">
        <f>D23*0.1</f>
        <v>490</v>
      </c>
      <c r="F23" s="4">
        <v>0</v>
      </c>
      <c r="G23" s="4">
        <v>0.1</v>
      </c>
      <c r="H23" s="37">
        <f t="shared" si="17"/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25">
      <c r="A24" s="4" t="s">
        <v>700</v>
      </c>
      <c r="B24" s="4">
        <v>1</v>
      </c>
      <c r="C24" s="4">
        <v>9900</v>
      </c>
      <c r="D24" s="37">
        <f t="shared" ref="D24" si="18">B24*C24</f>
        <v>9900</v>
      </c>
      <c r="E24" s="39">
        <f>D24*0.1</f>
        <v>990</v>
      </c>
      <c r="F24" s="4">
        <v>0</v>
      </c>
      <c r="G24" s="4">
        <v>0.22</v>
      </c>
      <c r="H24" s="37">
        <f t="shared" ref="H24" si="19"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25">
      <c r="A25" s="4" t="s">
        <v>701</v>
      </c>
      <c r="B25" s="4">
        <v>1</v>
      </c>
      <c r="C25" s="4">
        <v>6900</v>
      </c>
      <c r="D25" s="37">
        <f t="shared" si="16"/>
        <v>6900</v>
      </c>
      <c r="E25" s="39">
        <f>D25*0.1</f>
        <v>690</v>
      </c>
      <c r="F25" s="4">
        <v>2500</v>
      </c>
      <c r="G25" s="4">
        <v>0.2</v>
      </c>
      <c r="H25" s="37">
        <f t="shared" si="17"/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.5" x14ac:dyDescent="0.5">
      <c r="A26" s="155" t="s">
        <v>702</v>
      </c>
      <c r="B26" s="197"/>
      <c r="C26" s="154"/>
      <c r="D26" s="32"/>
      <c r="E26" s="92"/>
      <c r="F26" s="154"/>
      <c r="G26" s="154"/>
      <c r="H26" s="32"/>
      <c r="I26" s="2"/>
      <c r="J26" s="52">
        <f>SUM(J27:J31)</f>
        <v>2043.9875000000002</v>
      </c>
      <c r="K26" s="10">
        <v>2031</v>
      </c>
      <c r="L26" s="10">
        <f t="shared" ref="L26" si="20">K26-J26</f>
        <v>-12.987500000000182</v>
      </c>
    </row>
    <row r="27" spans="1:13" x14ac:dyDescent="0.25">
      <c r="A27" s="17" t="s">
        <v>703</v>
      </c>
      <c r="B27" s="4">
        <v>1</v>
      </c>
      <c r="C27" s="4">
        <v>4900</v>
      </c>
      <c r="D27" s="37">
        <f t="shared" ref="D27:D31" si="21">B27*C27</f>
        <v>4900</v>
      </c>
      <c r="E27" s="39">
        <f>D27*0.1</f>
        <v>490</v>
      </c>
      <c r="F27" s="4">
        <v>0</v>
      </c>
      <c r="G27" s="4">
        <v>0.15</v>
      </c>
      <c r="H27" s="37">
        <f t="shared" ref="H27:H31" si="22"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25">
      <c r="A28" s="17" t="s">
        <v>704</v>
      </c>
      <c r="B28" s="4">
        <v>1</v>
      </c>
      <c r="C28" s="4">
        <v>4900</v>
      </c>
      <c r="D28" s="37">
        <f t="shared" si="21"/>
        <v>4900</v>
      </c>
      <c r="E28" s="39">
        <f>D28*0.1</f>
        <v>490</v>
      </c>
      <c r="F28" s="4">
        <v>0</v>
      </c>
      <c r="G28" s="4">
        <v>0.1</v>
      </c>
      <c r="H28" s="37">
        <f t="shared" si="22"/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25">
      <c r="A29" s="17" t="s">
        <v>705</v>
      </c>
      <c r="B29" s="4">
        <v>1</v>
      </c>
      <c r="C29" s="4">
        <v>4900</v>
      </c>
      <c r="D29" s="37">
        <f t="shared" si="21"/>
        <v>4900</v>
      </c>
      <c r="E29" s="39">
        <f>D29*0.1</f>
        <v>490</v>
      </c>
      <c r="F29" s="4">
        <v>0</v>
      </c>
      <c r="G29" s="4">
        <v>0.1</v>
      </c>
      <c r="H29" s="37">
        <f t="shared" si="22"/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25">
      <c r="A30" s="176" t="s">
        <v>706</v>
      </c>
      <c r="B30" s="4">
        <v>1</v>
      </c>
      <c r="C30" s="4">
        <v>4900</v>
      </c>
      <c r="D30" s="37">
        <f t="shared" ref="D30" si="23">B30*C30</f>
        <v>4900</v>
      </c>
      <c r="E30" s="39">
        <f>D30*0.1</f>
        <v>490</v>
      </c>
      <c r="F30" s="4">
        <v>0</v>
      </c>
      <c r="G30" s="4">
        <v>0.15</v>
      </c>
      <c r="H30" s="37">
        <f t="shared" ref="H30" si="24"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25">
      <c r="A31" s="198" t="s">
        <v>707</v>
      </c>
      <c r="B31" s="4">
        <v>1</v>
      </c>
      <c r="C31" s="4">
        <v>9800</v>
      </c>
      <c r="D31" s="37">
        <f t="shared" si="21"/>
        <v>9800</v>
      </c>
      <c r="E31" s="39">
        <f>D31*0.1</f>
        <v>980</v>
      </c>
      <c r="F31" s="4">
        <f>2500/2</f>
        <v>1250</v>
      </c>
      <c r="G31" s="4">
        <v>0.4</v>
      </c>
      <c r="H31" s="37">
        <f t="shared" si="22"/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283</v>
      </c>
      <c r="B1" s="4"/>
      <c r="C1" s="196">
        <v>42198</v>
      </c>
      <c r="D1" s="30"/>
    </row>
    <row r="2" spans="1:12" ht="21" x14ac:dyDescent="0.35">
      <c r="A2" s="55" t="s">
        <v>240</v>
      </c>
      <c r="B2" s="4"/>
      <c r="C2" s="16">
        <v>7980</v>
      </c>
      <c r="D2" s="30" t="s">
        <v>732</v>
      </c>
    </row>
    <row r="3" spans="1:12" ht="21" x14ac:dyDescent="0.35">
      <c r="A3" s="55" t="s">
        <v>241</v>
      </c>
      <c r="B3" s="4"/>
      <c r="C3" s="177">
        <v>5.1819999999999998E-2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5" t="s">
        <v>714</v>
      </c>
      <c r="B6" s="154"/>
      <c r="C6" s="154"/>
      <c r="D6" s="32"/>
      <c r="E6" s="92"/>
      <c r="F6" s="184"/>
      <c r="G6" s="127"/>
      <c r="H6" s="32"/>
      <c r="I6" s="2"/>
      <c r="J6" s="52">
        <f>J7</f>
        <v>957.84087999999997</v>
      </c>
      <c r="K6" s="10">
        <f>896+62</f>
        <v>958</v>
      </c>
      <c r="L6" s="10">
        <f t="shared" ref="L6" si="0">K6-J6</f>
        <v>0.1591200000000299</v>
      </c>
    </row>
    <row r="7" spans="1:12" x14ac:dyDescent="0.25">
      <c r="A7" s="4" t="s">
        <v>715</v>
      </c>
      <c r="B7" s="4">
        <v>1</v>
      </c>
      <c r="C7" s="4">
        <v>11000</v>
      </c>
      <c r="D7" s="37">
        <f t="shared" ref="D7" si="1">B7*C7</f>
        <v>11000</v>
      </c>
      <c r="E7" s="39">
        <f>D7*0.1</f>
        <v>1100</v>
      </c>
      <c r="F7" s="4">
        <v>0</v>
      </c>
      <c r="G7" s="4">
        <v>0.8</v>
      </c>
      <c r="H7" s="37">
        <f t="shared" ref="H7" si="2"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.5" x14ac:dyDescent="0.5">
      <c r="A8" s="155" t="s">
        <v>716</v>
      </c>
      <c r="B8" s="154"/>
      <c r="C8" s="154"/>
      <c r="D8" s="32"/>
      <c r="E8" s="92"/>
      <c r="F8" s="154"/>
      <c r="G8" s="154"/>
      <c r="H8" s="32"/>
      <c r="I8" s="2"/>
      <c r="J8" s="52">
        <f>J9</f>
        <v>890.11213999999995</v>
      </c>
      <c r="K8" s="10">
        <f>850+40</f>
        <v>890</v>
      </c>
      <c r="L8" s="10">
        <f t="shared" ref="L8" si="3">K8-J8</f>
        <v>-0.11213999999995394</v>
      </c>
    </row>
    <row r="9" spans="1:12" x14ac:dyDescent="0.25">
      <c r="A9" s="4" t="s">
        <v>717</v>
      </c>
      <c r="B9" s="4">
        <v>1</v>
      </c>
      <c r="C9" s="4">
        <v>10900</v>
      </c>
      <c r="D9" s="37">
        <f t="shared" ref="D9" si="4">B9*C9</f>
        <v>10900</v>
      </c>
      <c r="E9" s="39">
        <f>D9*0.1</f>
        <v>1090</v>
      </c>
      <c r="F9" s="4">
        <v>0</v>
      </c>
      <c r="G9" s="4">
        <v>0.65</v>
      </c>
      <c r="H9" s="37">
        <f t="shared" ref="H9" si="5"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.5" x14ac:dyDescent="0.5">
      <c r="A10" s="155" t="s">
        <v>718</v>
      </c>
      <c r="B10" s="197"/>
      <c r="C10" s="154"/>
      <c r="D10" s="32"/>
      <c r="E10" s="92"/>
      <c r="F10" s="154"/>
      <c r="G10" s="154"/>
      <c r="H10" s="32"/>
      <c r="I10" s="2"/>
      <c r="J10" s="52">
        <f>J11</f>
        <v>816.37227999999993</v>
      </c>
      <c r="K10" s="10">
        <f>540+276</f>
        <v>816</v>
      </c>
      <c r="L10" s="10">
        <f t="shared" ref="L10" si="6">K10-J10</f>
        <v>-0.37227999999993244</v>
      </c>
    </row>
    <row r="11" spans="1:12" x14ac:dyDescent="0.25">
      <c r="A11" s="176" t="s">
        <v>645</v>
      </c>
      <c r="B11" s="4">
        <v>1</v>
      </c>
      <c r="C11" s="4">
        <v>4480</v>
      </c>
      <c r="D11" s="37">
        <f t="shared" ref="D11" si="7"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 t="shared" ref="H11" si="8"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.5" x14ac:dyDescent="0.5">
      <c r="A12" s="155" t="s">
        <v>691</v>
      </c>
      <c r="B12" s="197"/>
      <c r="C12" s="154"/>
      <c r="D12" s="32"/>
      <c r="E12" s="92"/>
      <c r="F12" s="154"/>
      <c r="G12" s="154"/>
      <c r="H12" s="32"/>
      <c r="I12" s="2"/>
      <c r="J12" s="52">
        <f>J13</f>
        <v>320.66215999999997</v>
      </c>
      <c r="K12" s="10">
        <v>315</v>
      </c>
      <c r="L12" s="10">
        <f t="shared" ref="L12" si="9">K12-J12</f>
        <v>-5.6621599999999717</v>
      </c>
    </row>
    <row r="13" spans="1:12" x14ac:dyDescent="0.25">
      <c r="A13" s="6" t="s">
        <v>719</v>
      </c>
      <c r="B13" s="5">
        <v>1</v>
      </c>
      <c r="C13" s="4">
        <v>4900</v>
      </c>
      <c r="D13" s="37">
        <f t="shared" ref="D13" si="10">B13*C13</f>
        <v>4900</v>
      </c>
      <c r="E13" s="39">
        <f>D13*0.1</f>
        <v>490</v>
      </c>
      <c r="F13" s="5">
        <v>0</v>
      </c>
      <c r="G13" s="5">
        <v>0.1</v>
      </c>
      <c r="H13" s="37">
        <f t="shared" ref="H13" si="11"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.5" x14ac:dyDescent="0.5">
      <c r="A14" s="155" t="s">
        <v>720</v>
      </c>
      <c r="B14" s="197"/>
      <c r="C14" s="154"/>
      <c r="D14" s="32"/>
      <c r="E14" s="92"/>
      <c r="F14" s="154"/>
      <c r="G14" s="154"/>
      <c r="H14" s="32"/>
      <c r="I14" s="2"/>
      <c r="J14" s="52">
        <f>J15</f>
        <v>320.66215999999997</v>
      </c>
      <c r="K14" s="10">
        <f>315+6</f>
        <v>321</v>
      </c>
      <c r="L14" s="10">
        <f t="shared" ref="L14" si="12">K14-J14</f>
        <v>0.33784000000002834</v>
      </c>
    </row>
    <row r="15" spans="1:12" x14ac:dyDescent="0.25">
      <c r="A15" s="5" t="s">
        <v>729</v>
      </c>
      <c r="B15" s="5">
        <v>1</v>
      </c>
      <c r="C15" s="5">
        <v>4900</v>
      </c>
      <c r="D15" s="37">
        <f t="shared" ref="D15" si="13">B15*C15</f>
        <v>4900</v>
      </c>
      <c r="E15" s="39">
        <f>D15*0.1</f>
        <v>490</v>
      </c>
      <c r="F15" s="5">
        <v>0</v>
      </c>
      <c r="G15" s="5">
        <v>0.1</v>
      </c>
      <c r="H15" s="37">
        <f t="shared" ref="H15" si="14"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.5" x14ac:dyDescent="0.5">
      <c r="A16" s="155" t="s">
        <v>384</v>
      </c>
      <c r="B16" s="197"/>
      <c r="C16" s="154"/>
      <c r="D16" s="32"/>
      <c r="E16" s="92"/>
      <c r="F16" s="154"/>
      <c r="G16" s="154"/>
      <c r="H16" s="32"/>
      <c r="I16" s="2"/>
      <c r="J16" s="52">
        <f>J17</f>
        <v>700.78258799999992</v>
      </c>
      <c r="K16" s="10">
        <f>635+65</f>
        <v>700</v>
      </c>
      <c r="L16" s="10">
        <f t="shared" ref="L16" si="15">K16-J16</f>
        <v>-0.78258799999991879</v>
      </c>
    </row>
    <row r="17" spans="1:12" x14ac:dyDescent="0.25">
      <c r="A17" s="4" t="s">
        <v>721</v>
      </c>
      <c r="B17" s="4">
        <v>1</v>
      </c>
      <c r="C17" s="4">
        <v>9900</v>
      </c>
      <c r="D17" s="37">
        <f t="shared" ref="D17" si="16">B17*C17</f>
        <v>9900</v>
      </c>
      <c r="E17" s="39">
        <f>D17*0.1</f>
        <v>990</v>
      </c>
      <c r="F17" s="4">
        <v>0</v>
      </c>
      <c r="G17" s="4">
        <v>0.33</v>
      </c>
      <c r="H17" s="37">
        <f t="shared" ref="H17" si="17"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.5" x14ac:dyDescent="0.5">
      <c r="A18" s="155" t="s">
        <v>181</v>
      </c>
      <c r="B18" s="197"/>
      <c r="C18" s="154"/>
      <c r="D18" s="32"/>
      <c r="E18" s="92"/>
      <c r="F18" s="154"/>
      <c r="G18" s="154"/>
      <c r="H18" s="32"/>
      <c r="I18" s="2"/>
      <c r="J18" s="52">
        <f>J19</f>
        <v>0</v>
      </c>
      <c r="K18" s="10">
        <v>1041</v>
      </c>
      <c r="L18" s="10">
        <f t="shared" ref="L18" si="18">K18-J18</f>
        <v>1041</v>
      </c>
    </row>
    <row r="19" spans="1:12" x14ac:dyDescent="0.25">
      <c r="A19" s="4" t="s">
        <v>200</v>
      </c>
      <c r="B19" s="18" t="s">
        <v>237</v>
      </c>
      <c r="C19" s="18"/>
      <c r="D19" s="199"/>
      <c r="E19" s="115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.5" x14ac:dyDescent="0.5">
      <c r="A20" s="155" t="s">
        <v>333</v>
      </c>
      <c r="B20" s="197"/>
      <c r="C20" s="154"/>
      <c r="D20" s="32"/>
      <c r="E20" s="92"/>
      <c r="F20" s="154"/>
      <c r="G20" s="154"/>
      <c r="H20" s="32"/>
      <c r="I20" s="2"/>
      <c r="J20" s="52">
        <f>SUM(J21:J23)</f>
        <v>2938.7121999999999</v>
      </c>
      <c r="K20" s="10">
        <f>2883+117</f>
        <v>3000</v>
      </c>
      <c r="L20" s="10">
        <f t="shared" ref="L20" si="19">K20-J20</f>
        <v>61.287800000000061</v>
      </c>
    </row>
    <row r="21" spans="1:12" x14ac:dyDescent="0.25">
      <c r="A21" s="17" t="s">
        <v>722</v>
      </c>
      <c r="B21" s="4">
        <v>1</v>
      </c>
      <c r="C21" s="4">
        <v>9900</v>
      </c>
      <c r="D21" s="37">
        <f t="shared" ref="D21:D23" si="20">B21*C21</f>
        <v>9900</v>
      </c>
      <c r="E21" s="39">
        <f>D21*0.1</f>
        <v>990</v>
      </c>
      <c r="F21" s="5">
        <v>0</v>
      </c>
      <c r="G21" s="5">
        <v>0.2</v>
      </c>
      <c r="H21" s="37">
        <f t="shared" ref="H21:H23" si="21"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25">
      <c r="A22" s="17" t="s">
        <v>723</v>
      </c>
      <c r="B22" s="4">
        <v>1</v>
      </c>
      <c r="C22" s="4">
        <v>9900</v>
      </c>
      <c r="D22" s="37">
        <f t="shared" si="20"/>
        <v>9900</v>
      </c>
      <c r="E22" s="39">
        <f>D22*0.1</f>
        <v>990</v>
      </c>
      <c r="F22" s="5">
        <v>0</v>
      </c>
      <c r="G22" s="5">
        <v>0.2</v>
      </c>
      <c r="H22" s="37">
        <f t="shared" si="21"/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25">
      <c r="A23" s="4" t="s">
        <v>724</v>
      </c>
      <c r="B23" s="4">
        <v>1</v>
      </c>
      <c r="C23" s="4">
        <v>24500</v>
      </c>
      <c r="D23" s="37">
        <f t="shared" si="20"/>
        <v>24500</v>
      </c>
      <c r="E23" s="39">
        <f>D23*0.1</f>
        <v>2450</v>
      </c>
      <c r="F23" s="4">
        <v>0</v>
      </c>
      <c r="G23" s="4">
        <v>0.6</v>
      </c>
      <c r="H23" s="37">
        <f t="shared" si="21"/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.5" x14ac:dyDescent="0.5">
      <c r="A24" s="155" t="s">
        <v>684</v>
      </c>
      <c r="B24" s="197"/>
      <c r="C24" s="154"/>
      <c r="D24" s="32"/>
      <c r="E24" s="92"/>
      <c r="F24" s="154"/>
      <c r="G24" s="154"/>
      <c r="H24" s="32"/>
      <c r="I24" s="2"/>
      <c r="J24" s="52">
        <f>J25+J26</f>
        <v>2204.8373599999995</v>
      </c>
      <c r="K24" s="10">
        <f>860+207</f>
        <v>1067</v>
      </c>
      <c r="L24" s="10">
        <f t="shared" ref="L24" si="22">K24-J24</f>
        <v>-1137.8373599999995</v>
      </c>
    </row>
    <row r="25" spans="1:12" x14ac:dyDescent="0.25">
      <c r="A25" s="4" t="s">
        <v>725</v>
      </c>
      <c r="B25" s="21">
        <v>1</v>
      </c>
      <c r="C25" s="21">
        <v>14400</v>
      </c>
      <c r="D25" s="37">
        <f t="shared" ref="D25" si="23"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25">
      <c r="A26" s="4" t="s">
        <v>726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.5" x14ac:dyDescent="0.5">
      <c r="A27" s="155" t="s">
        <v>727</v>
      </c>
      <c r="B27" s="197"/>
      <c r="C27" s="154"/>
      <c r="D27" s="32"/>
      <c r="E27" s="92"/>
      <c r="F27" s="154"/>
      <c r="G27" s="154"/>
      <c r="H27" s="32"/>
      <c r="I27" s="2"/>
      <c r="J27" s="52">
        <f>SUM(J28:J30)</f>
        <v>8252.5215520000002</v>
      </c>
      <c r="K27" s="10">
        <f>7905+348</f>
        <v>8253</v>
      </c>
      <c r="L27" s="10">
        <f t="shared" ref="L27" si="24">K27-J27</f>
        <v>0.47844799999984389</v>
      </c>
    </row>
    <row r="28" spans="1:12" x14ac:dyDescent="0.25">
      <c r="A28" s="5" t="s">
        <v>731</v>
      </c>
      <c r="B28" s="4">
        <v>3</v>
      </c>
      <c r="C28" s="4">
        <v>14400</v>
      </c>
      <c r="D28" s="37">
        <f t="shared" ref="D28:D30" si="25"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 t="shared" ref="H28:H30" si="26"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25">
      <c r="A29" s="5" t="s">
        <v>728</v>
      </c>
      <c r="B29" s="4">
        <v>1</v>
      </c>
      <c r="C29" s="4">
        <v>16800</v>
      </c>
      <c r="D29" s="37">
        <f t="shared" si="25"/>
        <v>16800</v>
      </c>
      <c r="E29" s="39">
        <f>D29*0.1</f>
        <v>1680</v>
      </c>
      <c r="F29" s="4">
        <v>0</v>
      </c>
      <c r="G29" s="5">
        <v>7.0000000000000007E-2</v>
      </c>
      <c r="H29" s="37">
        <f t="shared" si="26"/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25">
      <c r="A30" s="4" t="s">
        <v>677</v>
      </c>
      <c r="B30" s="4">
        <v>7</v>
      </c>
      <c r="C30" s="4">
        <v>9900</v>
      </c>
      <c r="D30" s="37">
        <f t="shared" si="25"/>
        <v>69300</v>
      </c>
      <c r="E30" s="39">
        <f>D30*0.1</f>
        <v>6930</v>
      </c>
      <c r="F30" s="4">
        <v>2500</v>
      </c>
      <c r="G30" s="4">
        <v>0.22</v>
      </c>
      <c r="H30" s="37">
        <f t="shared" si="26"/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25" zoomScale="70" zoomScaleNormal="70" workbookViewId="0">
      <selection activeCell="A28" sqref="A28:XFD31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283</v>
      </c>
      <c r="B1" s="4"/>
      <c r="C1" s="196">
        <v>42249</v>
      </c>
      <c r="D1" s="30"/>
    </row>
    <row r="2" spans="1:12" ht="21" x14ac:dyDescent="0.35">
      <c r="A2" s="55" t="s">
        <v>240</v>
      </c>
      <c r="B2" s="4"/>
      <c r="C2" s="16">
        <v>8090</v>
      </c>
      <c r="D2" s="30"/>
    </row>
    <row r="3" spans="1:12" ht="21" x14ac:dyDescent="0.35">
      <c r="A3" s="55" t="s">
        <v>241</v>
      </c>
      <c r="B3" s="4"/>
      <c r="C3" s="177">
        <v>6.0299999999999999E-2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5" t="s">
        <v>552</v>
      </c>
      <c r="B6" s="204"/>
      <c r="C6" s="127"/>
      <c r="D6" s="32"/>
      <c r="E6" s="92"/>
      <c r="F6" s="184"/>
      <c r="G6" s="127"/>
      <c r="H6" s="32"/>
      <c r="I6" s="2"/>
      <c r="J6" s="52">
        <f>J7</f>
        <v>660.38751000000002</v>
      </c>
      <c r="K6" s="10">
        <f>595+65</f>
        <v>660</v>
      </c>
      <c r="L6" s="10">
        <f t="shared" ref="L6" si="0">K6-J6</f>
        <v>-0.38751000000002023</v>
      </c>
    </row>
    <row r="7" spans="1:12" x14ac:dyDescent="0.25">
      <c r="A7" s="39" t="s">
        <v>734</v>
      </c>
      <c r="B7" s="98">
        <v>1</v>
      </c>
      <c r="C7" s="99">
        <v>9000</v>
      </c>
      <c r="D7" s="37">
        <f t="shared" ref="D7" si="1">B7*C7</f>
        <v>9000</v>
      </c>
      <c r="E7" s="39">
        <f>D7*0.1</f>
        <v>900</v>
      </c>
      <c r="F7" s="98">
        <v>0</v>
      </c>
      <c r="G7" s="99">
        <v>0.13</v>
      </c>
      <c r="H7" s="37">
        <f t="shared" ref="H7" si="2"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.5" x14ac:dyDescent="0.5">
      <c r="A8" s="145" t="s">
        <v>375</v>
      </c>
      <c r="B8" s="204"/>
      <c r="C8" s="127"/>
      <c r="D8" s="32"/>
      <c r="E8" s="92"/>
      <c r="F8" s="126"/>
      <c r="G8" s="127"/>
      <c r="H8" s="32"/>
      <c r="I8" s="2"/>
      <c r="J8" s="52">
        <f>J9</f>
        <v>660.38751000000002</v>
      </c>
      <c r="K8" s="10">
        <f>598+62</f>
        <v>660</v>
      </c>
      <c r="L8" s="10">
        <f t="shared" ref="L8" si="3">K8-J8</f>
        <v>-0.38751000000002023</v>
      </c>
    </row>
    <row r="9" spans="1:12" x14ac:dyDescent="0.25">
      <c r="A9" s="39" t="s">
        <v>734</v>
      </c>
      <c r="B9" s="98">
        <v>1</v>
      </c>
      <c r="C9" s="99">
        <v>9000</v>
      </c>
      <c r="D9" s="37">
        <f t="shared" ref="D9" si="4">B9*C9</f>
        <v>9000</v>
      </c>
      <c r="E9" s="39">
        <f>D9*0.1</f>
        <v>900</v>
      </c>
      <c r="F9" s="98">
        <v>0</v>
      </c>
      <c r="G9" s="99">
        <v>0.13</v>
      </c>
      <c r="H9" s="37">
        <f t="shared" ref="H9" si="5"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.5" x14ac:dyDescent="0.5">
      <c r="A10" s="145" t="s">
        <v>735</v>
      </c>
      <c r="B10" s="204"/>
      <c r="C10" s="127"/>
      <c r="D10" s="32"/>
      <c r="E10" s="92"/>
      <c r="F10" s="126"/>
      <c r="G10" s="127"/>
      <c r="H10" s="32"/>
      <c r="I10" s="2"/>
      <c r="J10" s="52">
        <f>J11</f>
        <v>660.38751000000002</v>
      </c>
      <c r="K10" s="10">
        <f>595+65</f>
        <v>660</v>
      </c>
      <c r="L10" s="10">
        <f t="shared" ref="L10" si="6">K10-J10</f>
        <v>-0.38751000000002023</v>
      </c>
    </row>
    <row r="11" spans="1:12" x14ac:dyDescent="0.25">
      <c r="A11" s="39" t="s">
        <v>734</v>
      </c>
      <c r="B11" s="98">
        <v>1</v>
      </c>
      <c r="C11" s="99">
        <v>9000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0.13</v>
      </c>
      <c r="H11" s="37">
        <f t="shared" ref="H11" si="8"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.5" x14ac:dyDescent="0.5">
      <c r="A12" s="201">
        <v>51150</v>
      </c>
      <c r="B12" s="204"/>
      <c r="C12" s="127"/>
      <c r="D12" s="32"/>
      <c r="E12" s="92"/>
      <c r="F12" s="126"/>
      <c r="G12" s="127"/>
      <c r="H12" s="32"/>
      <c r="I12" s="2"/>
      <c r="J12" s="52">
        <f>J13</f>
        <v>660.38751000000002</v>
      </c>
      <c r="K12" s="10">
        <f>595+65</f>
        <v>660</v>
      </c>
      <c r="L12" s="10">
        <f t="shared" ref="L12" si="9">K12-J12</f>
        <v>-0.38751000000002023</v>
      </c>
    </row>
    <row r="13" spans="1:12" x14ac:dyDescent="0.25">
      <c r="A13" s="39" t="s">
        <v>734</v>
      </c>
      <c r="B13" s="98">
        <v>1</v>
      </c>
      <c r="C13" s="99">
        <v>9000</v>
      </c>
      <c r="D13" s="37">
        <f t="shared" ref="D13" si="10">B13*C13</f>
        <v>9000</v>
      </c>
      <c r="E13" s="39">
        <f>D13*0.1</f>
        <v>900</v>
      </c>
      <c r="F13" s="98">
        <v>0</v>
      </c>
      <c r="G13" s="99">
        <v>0.13</v>
      </c>
      <c r="H13" s="37">
        <f t="shared" ref="H13" si="11"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.5" x14ac:dyDescent="0.5">
      <c r="A14" s="145" t="s">
        <v>736</v>
      </c>
      <c r="B14" s="204"/>
      <c r="C14" s="127"/>
      <c r="D14" s="32"/>
      <c r="E14" s="92"/>
      <c r="F14" s="126"/>
      <c r="G14" s="127"/>
      <c r="H14" s="32"/>
      <c r="I14" s="2"/>
      <c r="J14" s="52">
        <f>J15</f>
        <v>660.38751000000002</v>
      </c>
      <c r="K14" s="10">
        <f>595+65</f>
        <v>660</v>
      </c>
      <c r="L14" s="10">
        <f t="shared" ref="L14" si="12">K14-J14</f>
        <v>-0.38751000000002023</v>
      </c>
    </row>
    <row r="15" spans="1:12" x14ac:dyDescent="0.25">
      <c r="A15" s="39" t="s">
        <v>734</v>
      </c>
      <c r="B15" s="98">
        <v>1</v>
      </c>
      <c r="C15" s="99">
        <v>9000</v>
      </c>
      <c r="D15" s="37">
        <f t="shared" ref="D15" si="13">B15*C15</f>
        <v>9000</v>
      </c>
      <c r="E15" s="39">
        <f>D15*0.1</f>
        <v>900</v>
      </c>
      <c r="F15" s="98">
        <v>0</v>
      </c>
      <c r="G15" s="99">
        <v>0.13</v>
      </c>
      <c r="H15" s="37">
        <f t="shared" ref="H15" si="14"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.5" x14ac:dyDescent="0.5">
      <c r="A16" s="145" t="s">
        <v>2</v>
      </c>
      <c r="B16" s="204"/>
      <c r="C16" s="127"/>
      <c r="D16" s="32"/>
      <c r="E16" s="92"/>
      <c r="F16" s="126"/>
      <c r="G16" s="127"/>
      <c r="H16" s="32"/>
      <c r="I16" s="2"/>
      <c r="J16" s="52">
        <f>J17</f>
        <v>1320.77502</v>
      </c>
      <c r="K16" s="10">
        <f>1144+177</f>
        <v>1321</v>
      </c>
      <c r="L16" s="10">
        <f t="shared" ref="L16" si="15">K16-J16</f>
        <v>0.22497999999995955</v>
      </c>
    </row>
    <row r="17" spans="1:12" x14ac:dyDescent="0.25">
      <c r="A17" s="39" t="s">
        <v>734</v>
      </c>
      <c r="B17" s="98">
        <v>2</v>
      </c>
      <c r="C17" s="99">
        <v>9000</v>
      </c>
      <c r="D17" s="37">
        <f t="shared" ref="D17" si="16">B17*C17</f>
        <v>18000</v>
      </c>
      <c r="E17" s="39">
        <f>D17*0.1</f>
        <v>1800</v>
      </c>
      <c r="F17" s="98">
        <v>0</v>
      </c>
      <c r="G17" s="99">
        <v>0.13</v>
      </c>
      <c r="H17" s="37">
        <f t="shared" ref="H17" si="17"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.5" x14ac:dyDescent="0.5">
      <c r="A18" s="145" t="s">
        <v>737</v>
      </c>
      <c r="B18" s="204"/>
      <c r="C18" s="127"/>
      <c r="D18" s="32"/>
      <c r="E18" s="92"/>
      <c r="F18" s="126"/>
      <c r="G18" s="127"/>
      <c r="H18" s="32"/>
      <c r="I18" s="2"/>
      <c r="J18" s="52">
        <f>J19</f>
        <v>1320.77502</v>
      </c>
      <c r="K18" s="10">
        <f>1190+131</f>
        <v>1321</v>
      </c>
      <c r="L18" s="10">
        <f t="shared" ref="L18" si="18">K18-J18</f>
        <v>0.22497999999995955</v>
      </c>
    </row>
    <row r="19" spans="1:12" x14ac:dyDescent="0.25">
      <c r="A19" s="39" t="s">
        <v>734</v>
      </c>
      <c r="B19" s="98">
        <v>2</v>
      </c>
      <c r="C19" s="99">
        <v>9000</v>
      </c>
      <c r="D19" s="37">
        <f t="shared" ref="D19" si="19">B19*C19</f>
        <v>18000</v>
      </c>
      <c r="E19" s="39">
        <f>D19*0.1</f>
        <v>1800</v>
      </c>
      <c r="F19" s="98">
        <v>0</v>
      </c>
      <c r="G19" s="99">
        <v>0.13</v>
      </c>
      <c r="H19" s="37">
        <f t="shared" ref="H19" si="20"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.5" x14ac:dyDescent="0.5">
      <c r="A20" s="145" t="s">
        <v>738</v>
      </c>
      <c r="B20" s="204"/>
      <c r="C20" s="127"/>
      <c r="D20" s="32"/>
      <c r="E20" s="92"/>
      <c r="F20" s="126"/>
      <c r="G20" s="127"/>
      <c r="H20" s="32"/>
      <c r="I20" s="2"/>
      <c r="J20" s="52">
        <f>J21</f>
        <v>660.38751000000002</v>
      </c>
      <c r="K20" s="10">
        <f>595+65</f>
        <v>660</v>
      </c>
      <c r="L20" s="10">
        <f t="shared" ref="L20" si="21">K20-J20</f>
        <v>-0.38751000000002023</v>
      </c>
    </row>
    <row r="21" spans="1:12" x14ac:dyDescent="0.25">
      <c r="A21" s="39" t="s">
        <v>734</v>
      </c>
      <c r="B21" s="98">
        <v>1</v>
      </c>
      <c r="C21" s="99">
        <v>9000</v>
      </c>
      <c r="D21" s="37">
        <f t="shared" ref="D21" si="22">B21*C21</f>
        <v>9000</v>
      </c>
      <c r="E21" s="39">
        <f>D21*0.1</f>
        <v>900</v>
      </c>
      <c r="F21" s="98">
        <v>0</v>
      </c>
      <c r="G21" s="99">
        <v>0.13</v>
      </c>
      <c r="H21" s="37">
        <f t="shared" ref="H21" si="23"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.5" x14ac:dyDescent="0.5">
      <c r="A22" s="145" t="s">
        <v>181</v>
      </c>
      <c r="B22" s="204"/>
      <c r="C22" s="127"/>
      <c r="D22" s="32"/>
      <c r="E22" s="92"/>
      <c r="F22" s="126"/>
      <c r="G22" s="127"/>
      <c r="H22" s="32"/>
      <c r="I22" s="2"/>
      <c r="J22" s="52">
        <f>J23</f>
        <v>2443.50675</v>
      </c>
      <c r="K22" s="10">
        <f>1217+170</f>
        <v>1387</v>
      </c>
      <c r="L22" s="10">
        <f t="shared" ref="L22" si="24">K22-J22</f>
        <v>-1056.50675</v>
      </c>
    </row>
    <row r="23" spans="1:12" x14ac:dyDescent="0.25">
      <c r="A23" s="39" t="s">
        <v>200</v>
      </c>
      <c r="B23" s="98">
        <v>2</v>
      </c>
      <c r="C23" s="99">
        <v>17500</v>
      </c>
      <c r="D23" s="37">
        <f t="shared" ref="D23" si="25">B23*C23</f>
        <v>35000</v>
      </c>
      <c r="E23" s="39">
        <f>D23*0.1</f>
        <v>3500</v>
      </c>
      <c r="F23" s="98">
        <v>0</v>
      </c>
      <c r="G23" s="99">
        <v>0.125</v>
      </c>
      <c r="H23" s="37">
        <f t="shared" ref="H23" si="26"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.5" x14ac:dyDescent="0.5">
      <c r="A24" s="145" t="s">
        <v>739</v>
      </c>
      <c r="B24" s="204"/>
      <c r="C24" s="127"/>
      <c r="D24" s="32"/>
      <c r="E24" s="92"/>
      <c r="F24" s="126"/>
      <c r="G24" s="127"/>
      <c r="H24" s="32"/>
      <c r="I24" s="2"/>
      <c r="J24" s="52">
        <f>J25</f>
        <v>547.18632000000002</v>
      </c>
      <c r="K24" s="10">
        <v>547</v>
      </c>
      <c r="L24" s="10">
        <f t="shared" ref="L24" si="27">K24-J24</f>
        <v>-0.18632000000002336</v>
      </c>
    </row>
    <row r="25" spans="1:12" x14ac:dyDescent="0.25">
      <c r="A25" s="39" t="s">
        <v>204</v>
      </c>
      <c r="B25" s="98">
        <v>1</v>
      </c>
      <c r="C25" s="99">
        <v>4800</v>
      </c>
      <c r="D25" s="37">
        <f t="shared" ref="D25" si="28">B25*C25</f>
        <v>4800</v>
      </c>
      <c r="E25" s="39">
        <f>D25*0.1</f>
        <v>480</v>
      </c>
      <c r="F25" s="98">
        <v>2500</v>
      </c>
      <c r="G25" s="99">
        <v>0.16</v>
      </c>
      <c r="H25" s="37">
        <f t="shared" ref="H25" si="29"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.5" x14ac:dyDescent="0.5">
      <c r="A26" s="145" t="s">
        <v>740</v>
      </c>
      <c r="B26" s="204"/>
      <c r="C26" s="127"/>
      <c r="D26" s="32"/>
      <c r="E26" s="92"/>
      <c r="F26" s="126"/>
      <c r="G26" s="127"/>
      <c r="H26" s="32"/>
      <c r="I26" s="2"/>
      <c r="J26" s="52">
        <f>J27</f>
        <v>543.34521000000007</v>
      </c>
      <c r="K26" s="10">
        <v>495</v>
      </c>
      <c r="L26" s="10">
        <f t="shared" ref="L26" si="30">K26-J26</f>
        <v>-48.345210000000066</v>
      </c>
    </row>
    <row r="27" spans="1:12" x14ac:dyDescent="0.25">
      <c r="A27" s="39" t="s">
        <v>262</v>
      </c>
      <c r="B27" s="98">
        <v>1</v>
      </c>
      <c r="C27" s="99">
        <v>6500</v>
      </c>
      <c r="D27" s="37">
        <f t="shared" ref="D27" si="31">B27*C27</f>
        <v>6500</v>
      </c>
      <c r="E27" s="39">
        <f>D27*0.1</f>
        <v>650</v>
      </c>
      <c r="F27" s="98">
        <v>0</v>
      </c>
      <c r="G27" s="99">
        <v>0.23</v>
      </c>
      <c r="H27" s="37">
        <f t="shared" ref="H27" si="32"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.5" x14ac:dyDescent="0.5">
      <c r="A28" s="145" t="s">
        <v>741</v>
      </c>
      <c r="B28" s="204"/>
      <c r="C28" s="127"/>
      <c r="D28" s="32"/>
      <c r="E28" s="92"/>
      <c r="F28" s="126"/>
      <c r="G28" s="127"/>
      <c r="H28" s="32"/>
      <c r="I28" s="2"/>
      <c r="J28" s="52">
        <f>SUM(J29:J31)</f>
        <v>2750.4518399999997</v>
      </c>
      <c r="K28" s="10">
        <f>2388+362</f>
        <v>2750</v>
      </c>
      <c r="L28" s="10">
        <f t="shared" ref="L28" si="33">K28-J28</f>
        <v>-0.45183999999972002</v>
      </c>
    </row>
    <row r="29" spans="1:12" x14ac:dyDescent="0.25">
      <c r="A29" s="202" t="s">
        <v>742</v>
      </c>
      <c r="B29" s="205">
        <v>1</v>
      </c>
      <c r="C29" s="169">
        <v>9900</v>
      </c>
      <c r="D29" s="37">
        <f t="shared" ref="D29:D31" si="34">B29*C29</f>
        <v>9900</v>
      </c>
      <c r="E29" s="39">
        <f>D29*0.1</f>
        <v>990</v>
      </c>
      <c r="F29" s="205">
        <v>0</v>
      </c>
      <c r="G29" s="118">
        <v>0.35</v>
      </c>
      <c r="H29" s="37">
        <f t="shared" ref="H29:H31" si="35"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25">
      <c r="A30" s="39" t="s">
        <v>743</v>
      </c>
      <c r="B30" s="98">
        <v>1</v>
      </c>
      <c r="C30" s="99">
        <v>11900</v>
      </c>
      <c r="D30" s="37">
        <f t="shared" si="34"/>
        <v>11900</v>
      </c>
      <c r="E30" s="39">
        <f>D30*0.1</f>
        <v>1190</v>
      </c>
      <c r="F30" s="98">
        <v>0</v>
      </c>
      <c r="G30" s="99">
        <v>0.35</v>
      </c>
      <c r="H30" s="37">
        <f t="shared" si="35"/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25">
      <c r="A31" s="39" t="s">
        <v>515</v>
      </c>
      <c r="B31" s="98">
        <v>1</v>
      </c>
      <c r="C31" s="99">
        <v>12900</v>
      </c>
      <c r="D31" s="37">
        <f t="shared" si="34"/>
        <v>12900</v>
      </c>
      <c r="E31" s="39">
        <f>D31*0.1</f>
        <v>1290</v>
      </c>
      <c r="F31" s="98">
        <v>0</v>
      </c>
      <c r="G31" s="99">
        <v>0.22</v>
      </c>
      <c r="H31" s="37">
        <f t="shared" si="35"/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.5" x14ac:dyDescent="0.5">
      <c r="A32" s="145" t="s">
        <v>759</v>
      </c>
      <c r="B32" s="204"/>
      <c r="C32" s="127"/>
      <c r="D32" s="32"/>
      <c r="E32" s="92"/>
      <c r="F32" s="126"/>
      <c r="G32" s="127"/>
      <c r="H32" s="32"/>
      <c r="I32" s="2"/>
      <c r="J32" s="52">
        <f>J33</f>
        <v>763.98893999999996</v>
      </c>
      <c r="K32" s="10">
        <f>703+61</f>
        <v>764</v>
      </c>
      <c r="L32" s="10">
        <f t="shared" ref="L32" si="36">K32-J32</f>
        <v>1.1060000000043146E-2</v>
      </c>
    </row>
    <row r="33" spans="1:13" x14ac:dyDescent="0.25">
      <c r="A33" s="39" t="s">
        <v>677</v>
      </c>
      <c r="B33" s="98">
        <v>1</v>
      </c>
      <c r="C33" s="99">
        <v>9900</v>
      </c>
      <c r="D33" s="37">
        <f t="shared" ref="D33" si="37">B33*C33</f>
        <v>9900</v>
      </c>
      <c r="E33" s="39">
        <f>D33*0.1</f>
        <v>990</v>
      </c>
      <c r="F33" s="98">
        <v>0</v>
      </c>
      <c r="G33" s="99">
        <v>0.22</v>
      </c>
      <c r="H33" s="37">
        <f t="shared" ref="H33" si="38"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.5" x14ac:dyDescent="0.5">
      <c r="A34" s="145" t="s">
        <v>505</v>
      </c>
      <c r="B34" s="204"/>
      <c r="C34" s="127"/>
      <c r="D34" s="32"/>
      <c r="E34" s="92"/>
      <c r="F34" s="126"/>
      <c r="G34" s="127"/>
      <c r="H34" s="32"/>
      <c r="I34" s="2"/>
      <c r="J34" s="52">
        <f>J35</f>
        <v>2037.1390200000001</v>
      </c>
      <c r="K34" s="10">
        <f>1695+342</f>
        <v>2037</v>
      </c>
      <c r="L34" s="10">
        <f t="shared" ref="L34" si="39">K34-J34</f>
        <v>-0.1390200000000732</v>
      </c>
    </row>
    <row r="35" spans="1:13" x14ac:dyDescent="0.25">
      <c r="A35" s="133" t="s">
        <v>744</v>
      </c>
      <c r="B35" s="98">
        <v>2</v>
      </c>
      <c r="C35" s="99">
        <v>14400</v>
      </c>
      <c r="D35" s="37">
        <f t="shared" ref="D35" si="40">B35*C35</f>
        <v>28800</v>
      </c>
      <c r="E35" s="39">
        <f>D35*0.1</f>
        <v>2880</v>
      </c>
      <c r="F35" s="98">
        <v>0</v>
      </c>
      <c r="G35" s="118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.5" x14ac:dyDescent="0.5">
      <c r="A36" s="145" t="s">
        <v>745</v>
      </c>
      <c r="B36" s="204"/>
      <c r="C36" s="127"/>
      <c r="D36" s="32"/>
      <c r="E36" s="92"/>
      <c r="F36" s="126"/>
      <c r="G36" s="127"/>
      <c r="H36" s="32"/>
      <c r="I36" s="2"/>
      <c r="J36" s="52">
        <f>J37</f>
        <v>359.56889999999999</v>
      </c>
      <c r="K36" s="10">
        <f>330+30</f>
        <v>360</v>
      </c>
      <c r="L36" s="10">
        <f t="shared" ref="L36" si="41">K36-J36</f>
        <v>0.43110000000001492</v>
      </c>
    </row>
    <row r="37" spans="1:13" x14ac:dyDescent="0.25">
      <c r="A37" s="39" t="s">
        <v>440</v>
      </c>
      <c r="B37" s="98">
        <v>1</v>
      </c>
      <c r="C37" s="99">
        <f>7900/2</f>
        <v>3950</v>
      </c>
      <c r="D37" s="37">
        <f t="shared" ref="D37" si="42">B37*C37</f>
        <v>3950</v>
      </c>
      <c r="E37" s="39">
        <f>D37*0.1</f>
        <v>395</v>
      </c>
      <c r="F37" s="98">
        <v>0</v>
      </c>
      <c r="G37" s="99">
        <v>0.2</v>
      </c>
      <c r="H37" s="37">
        <f t="shared" ref="H37" si="43"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.5" x14ac:dyDescent="0.5">
      <c r="A38" s="145" t="s">
        <v>746</v>
      </c>
      <c r="B38" s="204"/>
      <c r="C38" s="127"/>
      <c r="D38" s="32"/>
      <c r="E38" s="92"/>
      <c r="F38" s="126"/>
      <c r="G38" s="127"/>
      <c r="H38" s="32"/>
      <c r="I38" s="2"/>
      <c r="J38" s="52">
        <f>J39</f>
        <v>359.56889999999999</v>
      </c>
      <c r="K38" s="10">
        <f>330+30</f>
        <v>360</v>
      </c>
      <c r="L38" s="10">
        <f t="shared" ref="L38" si="44">K38-J38</f>
        <v>0.43110000000001492</v>
      </c>
      <c r="M38" t="s">
        <v>761</v>
      </c>
    </row>
    <row r="39" spans="1:13" x14ac:dyDescent="0.25">
      <c r="A39" s="39" t="s">
        <v>440</v>
      </c>
      <c r="B39" s="98">
        <v>1</v>
      </c>
      <c r="C39" s="99">
        <f>7900/2</f>
        <v>3950</v>
      </c>
      <c r="D39" s="37">
        <f t="shared" ref="D39" si="45">B39*C39</f>
        <v>3950</v>
      </c>
      <c r="E39" s="39">
        <f>D39*0.1</f>
        <v>395</v>
      </c>
      <c r="F39" s="98">
        <v>0</v>
      </c>
      <c r="G39" s="99">
        <v>0.2</v>
      </c>
      <c r="H39" s="37">
        <f t="shared" ref="H39" si="46"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.5" x14ac:dyDescent="0.5">
      <c r="A40" s="145" t="s">
        <v>461</v>
      </c>
      <c r="B40" s="204"/>
      <c r="C40" s="127"/>
      <c r="D40" s="32"/>
      <c r="E40" s="92"/>
      <c r="F40" s="126"/>
      <c r="G40" s="127"/>
      <c r="H40" s="32"/>
      <c r="I40" s="2"/>
      <c r="J40" s="52">
        <f>J41</f>
        <v>971.31240000000003</v>
      </c>
      <c r="K40" s="10">
        <f>895+76</f>
        <v>971</v>
      </c>
      <c r="L40" s="10">
        <f t="shared" ref="L40" si="47">K40-J40</f>
        <v>-0.3124000000000251</v>
      </c>
    </row>
    <row r="41" spans="1:13" x14ac:dyDescent="0.25">
      <c r="A41" s="39" t="s">
        <v>57</v>
      </c>
      <c r="B41" s="98">
        <v>1</v>
      </c>
      <c r="C41" s="99">
        <v>10900</v>
      </c>
      <c r="D41" s="37">
        <f t="shared" ref="D41" si="48">B41*C41</f>
        <v>10900</v>
      </c>
      <c r="E41" s="39">
        <f>D41*0.1</f>
        <v>1090</v>
      </c>
      <c r="F41" s="98">
        <v>2500</v>
      </c>
      <c r="G41" s="99">
        <v>0.2</v>
      </c>
      <c r="H41" s="37">
        <f t="shared" ref="H41" si="49"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.5" x14ac:dyDescent="0.5">
      <c r="A42" s="145" t="s">
        <v>757</v>
      </c>
      <c r="B42" s="204"/>
      <c r="C42" s="127"/>
      <c r="D42" s="32"/>
      <c r="E42" s="92"/>
      <c r="F42" s="126"/>
      <c r="G42" s="127"/>
      <c r="H42" s="32"/>
      <c r="I42" s="2"/>
      <c r="J42" s="52">
        <f>J43</f>
        <v>1873.8586799999998</v>
      </c>
      <c r="K42" s="10">
        <f>1460+414</f>
        <v>1874</v>
      </c>
      <c r="L42" s="10">
        <f t="shared" ref="L42:L44" si="50">K42-J42</f>
        <v>0.14132000000017797</v>
      </c>
    </row>
    <row r="43" spans="1:13" x14ac:dyDescent="0.25">
      <c r="A43" s="203" t="s">
        <v>758</v>
      </c>
      <c r="B43" s="188">
        <v>1</v>
      </c>
      <c r="C43" s="187">
        <v>19800</v>
      </c>
      <c r="D43" s="37">
        <f t="shared" ref="D43" si="51">B43*C43</f>
        <v>19800</v>
      </c>
      <c r="E43" s="39">
        <f>D43*0.1</f>
        <v>1980</v>
      </c>
      <c r="F43" s="98">
        <v>2500</v>
      </c>
      <c r="G43" s="187">
        <v>0.84</v>
      </c>
      <c r="H43" s="37">
        <f t="shared" ref="H43:H45" si="52"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.5" x14ac:dyDescent="0.5">
      <c r="A44" s="145" t="s">
        <v>356</v>
      </c>
      <c r="B44" s="204"/>
      <c r="C44" s="127"/>
      <c r="D44" s="32"/>
      <c r="E44" s="92"/>
      <c r="F44" s="126"/>
      <c r="G44" s="127"/>
      <c r="H44" s="32"/>
      <c r="I44" s="2"/>
      <c r="J44" s="52">
        <f>J45</f>
        <v>827.40644999999995</v>
      </c>
      <c r="K44" s="10">
        <v>213</v>
      </c>
      <c r="L44" s="10">
        <f t="shared" si="50"/>
        <v>-614.40644999999995</v>
      </c>
    </row>
    <row r="45" spans="1:13" ht="15.75" thickBot="1" x14ac:dyDescent="0.3">
      <c r="A45" s="171" t="s">
        <v>742</v>
      </c>
      <c r="B45" s="206">
        <v>1</v>
      </c>
      <c r="C45" s="207">
        <v>9900</v>
      </c>
      <c r="D45" s="37">
        <f t="shared" ref="D45" si="53">B45*C45</f>
        <v>9900</v>
      </c>
      <c r="E45" s="39">
        <f>D45*0.1</f>
        <v>990</v>
      </c>
      <c r="F45" s="102">
        <v>0</v>
      </c>
      <c r="G45" s="208">
        <v>0.35</v>
      </c>
      <c r="H45" s="37">
        <f t="shared" si="52"/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35">
      <c r="A47" s="30" t="s">
        <v>747</v>
      </c>
    </row>
    <row r="48" spans="1:13" ht="31.5" x14ac:dyDescent="0.5">
      <c r="A48" s="155" t="s">
        <v>740</v>
      </c>
      <c r="B48" s="36" t="s">
        <v>751</v>
      </c>
    </row>
    <row r="49" spans="1:2" x14ac:dyDescent="0.25">
      <c r="A49" t="s">
        <v>748</v>
      </c>
    </row>
    <row r="50" spans="1:2" ht="31.5" x14ac:dyDescent="0.5">
      <c r="A50" s="155" t="s">
        <v>739</v>
      </c>
    </row>
    <row r="51" spans="1:2" x14ac:dyDescent="0.25">
      <c r="A51" t="s">
        <v>752</v>
      </c>
      <c r="B51" s="36" t="s">
        <v>749</v>
      </c>
    </row>
    <row r="52" spans="1:2" x14ac:dyDescent="0.25">
      <c r="A52" t="s">
        <v>752</v>
      </c>
      <c r="B52" s="36" t="s">
        <v>750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5" x14ac:dyDescent="0.25"/>
  <cols>
    <col min="1" max="1" width="35.140625" customWidth="1"/>
    <col min="3" max="3" width="17" customWidth="1"/>
    <col min="6" max="6" width="11.42578125" customWidth="1"/>
    <col min="10" max="10" width="13.28515625" customWidth="1"/>
    <col min="11" max="11" width="10.5703125" customWidth="1"/>
    <col min="12" max="12" width="14.28515625" customWidth="1"/>
  </cols>
  <sheetData>
    <row r="1" spans="1:13" ht="21" x14ac:dyDescent="0.35">
      <c r="A1" s="55" t="s">
        <v>283</v>
      </c>
      <c r="B1" s="4"/>
      <c r="C1" s="196">
        <v>42263</v>
      </c>
      <c r="D1" s="30"/>
    </row>
    <row r="2" spans="1:13" ht="21" x14ac:dyDescent="0.35">
      <c r="A2" s="55" t="s">
        <v>240</v>
      </c>
      <c r="B2" s="4"/>
      <c r="C2" s="16">
        <v>8350</v>
      </c>
      <c r="D2" s="30" t="s">
        <v>733</v>
      </c>
    </row>
    <row r="3" spans="1:13" ht="21" x14ac:dyDescent="0.35">
      <c r="A3" s="55" t="s">
        <v>241</v>
      </c>
      <c r="B3" s="4"/>
      <c r="C3" s="177">
        <v>5.8000000000000003E-2</v>
      </c>
      <c r="D3" s="30" t="s">
        <v>713</v>
      </c>
    </row>
    <row r="4" spans="1:13" ht="15.75" thickBot="1" x14ac:dyDescent="0.3"/>
    <row r="5" spans="1:13" ht="45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5" t="s">
        <v>741</v>
      </c>
      <c r="B6" s="204"/>
      <c r="C6" s="127"/>
      <c r="D6" s="32"/>
      <c r="E6" s="92"/>
      <c r="F6" s="184"/>
      <c r="G6" s="127"/>
      <c r="H6" s="32"/>
      <c r="I6" s="2"/>
      <c r="J6" s="52">
        <f>J7</f>
        <v>963.81500000000005</v>
      </c>
      <c r="K6" s="10">
        <v>992</v>
      </c>
      <c r="L6" s="10">
        <f t="shared" ref="L6" si="0">K6-J6</f>
        <v>28.184999999999945</v>
      </c>
    </row>
    <row r="7" spans="1:13" x14ac:dyDescent="0.25">
      <c r="A7" s="39" t="s">
        <v>762</v>
      </c>
      <c r="B7" s="209">
        <v>1</v>
      </c>
      <c r="C7" s="210">
        <v>7900</v>
      </c>
      <c r="D7" s="37">
        <f t="shared" ref="D7" si="1">B7*C7</f>
        <v>7900</v>
      </c>
      <c r="E7" s="39">
        <f>D7*0.1</f>
        <v>790</v>
      </c>
      <c r="F7" s="98">
        <v>2500</v>
      </c>
      <c r="G7" s="210">
        <v>0.65</v>
      </c>
      <c r="H7" s="37">
        <f t="shared" ref="H7" si="2"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.5" x14ac:dyDescent="0.5">
      <c r="A8" s="145" t="s">
        <v>384</v>
      </c>
      <c r="B8" s="204"/>
      <c r="C8" s="127"/>
      <c r="D8" s="32"/>
      <c r="E8" s="92"/>
      <c r="F8" s="126"/>
      <c r="G8" s="127"/>
      <c r="H8" s="32"/>
      <c r="I8" s="2"/>
      <c r="J8" s="52">
        <f>J9</f>
        <v>956.94200000000001</v>
      </c>
      <c r="K8" s="10">
        <v>918</v>
      </c>
      <c r="L8" s="10">
        <f t="shared" ref="L8" si="3">K8-J8</f>
        <v>-38.942000000000007</v>
      </c>
    </row>
    <row r="9" spans="1:13" x14ac:dyDescent="0.25">
      <c r="A9" s="133" t="s">
        <v>763</v>
      </c>
      <c r="B9" s="98">
        <v>1</v>
      </c>
      <c r="C9" s="99">
        <v>10900</v>
      </c>
      <c r="D9" s="37">
        <f t="shared" ref="D9" si="4">B9*C9</f>
        <v>10900</v>
      </c>
      <c r="E9" s="39">
        <f>D9*0.1</f>
        <v>1090</v>
      </c>
      <c r="F9" s="98">
        <v>0</v>
      </c>
      <c r="G9" s="99">
        <v>0.54</v>
      </c>
      <c r="H9" s="37">
        <f t="shared" ref="H9" si="5"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.5" x14ac:dyDescent="0.5">
      <c r="A10" s="145" t="s">
        <v>764</v>
      </c>
      <c r="B10" s="204"/>
      <c r="C10" s="127"/>
      <c r="D10" s="32"/>
      <c r="E10" s="92"/>
      <c r="F10" s="126"/>
      <c r="G10" s="127"/>
      <c r="H10" s="32"/>
      <c r="I10" s="2"/>
      <c r="J10" s="52">
        <f>J11</f>
        <v>690.43200000000002</v>
      </c>
      <c r="K10" s="10">
        <v>1797</v>
      </c>
      <c r="L10" s="10">
        <f t="shared" ref="L10" si="6">K10-J10</f>
        <v>1106.568</v>
      </c>
    </row>
    <row r="11" spans="1:13" x14ac:dyDescent="0.25">
      <c r="A11" s="39" t="s">
        <v>765</v>
      </c>
      <c r="B11" s="98">
        <v>3</v>
      </c>
      <c r="C11" s="99">
        <v>3000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0.08</v>
      </c>
      <c r="H11" s="37">
        <f t="shared" ref="H11" si="8"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.5" x14ac:dyDescent="0.5">
      <c r="A12" s="145" t="s">
        <v>766</v>
      </c>
      <c r="B12" s="204"/>
      <c r="C12" s="127"/>
      <c r="D12" s="32"/>
      <c r="E12" s="92"/>
      <c r="F12" s="126"/>
      <c r="G12" s="127"/>
      <c r="H12" s="32"/>
      <c r="I12" s="2"/>
      <c r="J12" s="52">
        <f>J13</f>
        <v>437.00100000000003</v>
      </c>
      <c r="K12" s="10">
        <f>416+21</f>
        <v>437</v>
      </c>
      <c r="L12" s="10">
        <f t="shared" ref="L12" si="9">K12-J12</f>
        <v>-1.0000000000331966E-3</v>
      </c>
    </row>
    <row r="13" spans="1:13" x14ac:dyDescent="0.25">
      <c r="A13" s="39" t="s">
        <v>767</v>
      </c>
      <c r="B13" s="98">
        <v>1</v>
      </c>
      <c r="C13" s="99">
        <v>4800</v>
      </c>
      <c r="D13" s="37">
        <f t="shared" ref="D13" si="10">B13*C13</f>
        <v>4800</v>
      </c>
      <c r="E13" s="39">
        <f>D13*0.1</f>
        <v>480</v>
      </c>
      <c r="F13" s="98">
        <v>0</v>
      </c>
      <c r="G13" s="99">
        <v>0.27</v>
      </c>
      <c r="H13" s="37">
        <f t="shared" ref="H13" si="11"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.5" x14ac:dyDescent="0.5">
      <c r="A14" s="145" t="s">
        <v>768</v>
      </c>
      <c r="B14" s="204"/>
      <c r="C14" s="127"/>
      <c r="D14" s="32"/>
      <c r="E14" s="92"/>
      <c r="F14" s="126"/>
      <c r="G14" s="127"/>
      <c r="H14" s="32"/>
      <c r="I14" s="2"/>
      <c r="J14" s="52">
        <f>J15</f>
        <v>364.53000000000003</v>
      </c>
      <c r="K14" s="10">
        <f>377-12</f>
        <v>365</v>
      </c>
      <c r="L14" s="10">
        <f t="shared" ref="L14" si="12">K14-J14</f>
        <v>0.46999999999997044</v>
      </c>
      <c r="M14" t="s">
        <v>788</v>
      </c>
    </row>
    <row r="15" spans="1:13" x14ac:dyDescent="0.25">
      <c r="A15" s="39" t="s">
        <v>769</v>
      </c>
      <c r="B15" s="98">
        <v>1</v>
      </c>
      <c r="C15" s="99">
        <v>4500</v>
      </c>
      <c r="D15" s="37">
        <f t="shared" ref="D15" si="13">B15*C15</f>
        <v>4500</v>
      </c>
      <c r="E15" s="39">
        <f>D15*0.1</f>
        <v>450</v>
      </c>
      <c r="F15" s="98">
        <v>500</v>
      </c>
      <c r="G15" s="99">
        <v>0.1</v>
      </c>
      <c r="H15" s="37">
        <f t="shared" ref="H15" si="14"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.5" x14ac:dyDescent="0.5">
      <c r="A16" s="145" t="s">
        <v>689</v>
      </c>
      <c r="B16" s="204"/>
      <c r="C16" s="127"/>
      <c r="D16" s="32"/>
      <c r="E16" s="92"/>
      <c r="F16" s="126"/>
      <c r="G16" s="127"/>
      <c r="H16" s="32"/>
      <c r="I16" s="2"/>
      <c r="J16" s="52">
        <f>J17</f>
        <v>1352.8790000000001</v>
      </c>
      <c r="K16" s="10">
        <v>1392</v>
      </c>
      <c r="L16" s="10">
        <f t="shared" ref="L16" si="15">K16-J16</f>
        <v>39.120999999999867</v>
      </c>
    </row>
    <row r="17" spans="1:13" x14ac:dyDescent="0.25">
      <c r="A17" s="39" t="s">
        <v>770</v>
      </c>
      <c r="B17" s="98">
        <v>1</v>
      </c>
      <c r="C17" s="99">
        <v>18700</v>
      </c>
      <c r="D17" s="37">
        <f t="shared" ref="D17" si="16"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.5" x14ac:dyDescent="0.5">
      <c r="A18" s="145" t="s">
        <v>2</v>
      </c>
      <c r="B18" s="204"/>
      <c r="C18" s="127"/>
      <c r="D18" s="32"/>
      <c r="E18" s="92"/>
      <c r="F18" s="126"/>
      <c r="G18" s="127"/>
      <c r="H18" s="32"/>
      <c r="I18" s="2"/>
      <c r="J18" s="52">
        <f>J19+J20</f>
        <v>1230.18</v>
      </c>
      <c r="K18" s="10">
        <f>1273-89</f>
        <v>1184</v>
      </c>
      <c r="L18" s="10">
        <f t="shared" ref="L18" si="17">K18-J18</f>
        <v>-46.180000000000064</v>
      </c>
      <c r="M18" t="s">
        <v>789</v>
      </c>
    </row>
    <row r="19" spans="1:13" x14ac:dyDescent="0.25">
      <c r="A19" s="39" t="s">
        <v>771</v>
      </c>
      <c r="B19" s="98">
        <v>2</v>
      </c>
      <c r="C19" s="99">
        <v>3000</v>
      </c>
      <c r="D19" s="37">
        <f t="shared" ref="D19:D20" si="18"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25">
      <c r="A20" s="39" t="s">
        <v>771</v>
      </c>
      <c r="B20" s="98">
        <v>2</v>
      </c>
      <c r="C20" s="99">
        <v>2850</v>
      </c>
      <c r="D20" s="37">
        <f t="shared" si="18"/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.5" x14ac:dyDescent="0.5">
      <c r="A21" s="145" t="s">
        <v>772</v>
      </c>
      <c r="B21" s="204"/>
      <c r="C21" s="127"/>
      <c r="D21" s="32"/>
      <c r="E21" s="92"/>
      <c r="F21" s="126"/>
      <c r="G21" s="127"/>
      <c r="H21" s="32"/>
      <c r="I21" s="2"/>
      <c r="J21" s="52">
        <f>J22</f>
        <v>808.23</v>
      </c>
      <c r="K21" s="10">
        <v>910</v>
      </c>
      <c r="L21" s="10">
        <f t="shared" ref="L21" si="19">K21-J21</f>
        <v>101.76999999999998</v>
      </c>
    </row>
    <row r="22" spans="1:13" ht="15.75" thickBot="1" x14ac:dyDescent="0.3">
      <c r="A22" s="39" t="s">
        <v>773</v>
      </c>
      <c r="B22" s="102">
        <v>1</v>
      </c>
      <c r="C22" s="103">
        <v>6600</v>
      </c>
      <c r="D22" s="37">
        <f t="shared" ref="D22" si="20"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5" x14ac:dyDescent="0.25"/>
  <cols>
    <col min="1" max="1" width="41" customWidth="1"/>
    <col min="3" max="3" width="12.85546875" customWidth="1"/>
    <col min="6" max="6" width="12" customWidth="1"/>
    <col min="10" max="10" width="13.42578125" customWidth="1"/>
    <col min="11" max="11" width="12.140625" customWidth="1"/>
    <col min="12" max="12" width="14" customWidth="1"/>
  </cols>
  <sheetData>
    <row r="1" spans="1:12" ht="21" x14ac:dyDescent="0.35">
      <c r="A1" s="55" t="s">
        <v>283</v>
      </c>
      <c r="B1" s="4"/>
      <c r="C1" s="196">
        <v>42286</v>
      </c>
      <c r="D1" s="30"/>
    </row>
    <row r="2" spans="1:12" ht="21" x14ac:dyDescent="0.35">
      <c r="A2" s="55" t="s">
        <v>240</v>
      </c>
      <c r="B2" s="4"/>
      <c r="C2" s="16">
        <v>8230</v>
      </c>
      <c r="D2" s="30" t="s">
        <v>733</v>
      </c>
    </row>
    <row r="3" spans="1:12" ht="21" x14ac:dyDescent="0.35">
      <c r="A3" s="55" t="s">
        <v>241</v>
      </c>
      <c r="B3" s="4"/>
      <c r="C3" s="177">
        <v>5.6000000000000001E-2</v>
      </c>
      <c r="D3" s="30" t="s">
        <v>713</v>
      </c>
    </row>
    <row r="4" spans="1:12" ht="15.75" thickBot="1" x14ac:dyDescent="0.3"/>
    <row r="5" spans="1:12" ht="45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211" t="s">
        <v>777</v>
      </c>
      <c r="B6" s="212"/>
      <c r="C6" s="212"/>
      <c r="D6" s="32"/>
      <c r="E6" s="92"/>
      <c r="F6" s="184"/>
      <c r="G6" s="127"/>
      <c r="H6" s="32"/>
      <c r="I6" s="2"/>
      <c r="J6" s="52">
        <f>J7</f>
        <v>692.7088</v>
      </c>
      <c r="K6" s="10">
        <v>677</v>
      </c>
      <c r="L6" s="10">
        <f t="shared" ref="L6" si="0">K6-J6</f>
        <v>-15.708799999999997</v>
      </c>
    </row>
    <row r="7" spans="1:12" x14ac:dyDescent="0.2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0</v>
      </c>
      <c r="G7" s="4">
        <v>0.26</v>
      </c>
      <c r="H7" s="37">
        <f t="shared" ref="H7" si="2"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.5" x14ac:dyDescent="0.5">
      <c r="A8" s="155" t="s">
        <v>720</v>
      </c>
      <c r="B8" s="154"/>
      <c r="C8" s="154"/>
      <c r="D8" s="32"/>
      <c r="E8" s="92"/>
      <c r="F8" s="154"/>
      <c r="G8" s="154"/>
      <c r="H8" s="32"/>
      <c r="I8" s="2"/>
      <c r="J8" s="52">
        <f>J9</f>
        <v>1354.8416</v>
      </c>
      <c r="K8" s="10">
        <v>1362</v>
      </c>
      <c r="L8" s="10">
        <f t="shared" ref="L8" si="3">K8-J8</f>
        <v>7.1584000000000287</v>
      </c>
    </row>
    <row r="9" spans="1:12" x14ac:dyDescent="0.25">
      <c r="A9" s="4" t="s">
        <v>784</v>
      </c>
      <c r="B9" s="4">
        <v>4</v>
      </c>
      <c r="C9" s="4">
        <v>4900</v>
      </c>
      <c r="D9" s="37">
        <f t="shared" ref="D9" si="4">B9*C9</f>
        <v>19600</v>
      </c>
      <c r="E9" s="39">
        <f>D9*0.1</f>
        <v>1960</v>
      </c>
      <c r="F9" s="4">
        <v>0</v>
      </c>
      <c r="G9" s="4">
        <v>0.08</v>
      </c>
      <c r="H9" s="37">
        <f t="shared" ref="H9" si="5"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.5" x14ac:dyDescent="0.5">
      <c r="A10" s="155" t="s">
        <v>778</v>
      </c>
      <c r="B10" s="154"/>
      <c r="C10" s="154"/>
      <c r="D10" s="32"/>
      <c r="E10" s="92"/>
      <c r="F10" s="154"/>
      <c r="G10" s="154"/>
      <c r="H10" s="32"/>
      <c r="I10" s="2"/>
      <c r="J10" s="52">
        <f>J11</f>
        <v>874.27200000000005</v>
      </c>
      <c r="K10" s="10">
        <f>856+18</f>
        <v>874</v>
      </c>
      <c r="L10" s="10">
        <f t="shared" ref="L10" si="6">K10-J10</f>
        <v>-0.2720000000000482</v>
      </c>
    </row>
    <row r="11" spans="1:12" x14ac:dyDescent="0.25">
      <c r="A11" s="4" t="s">
        <v>779</v>
      </c>
      <c r="B11" s="4">
        <v>2</v>
      </c>
      <c r="C11" s="4">
        <v>5780</v>
      </c>
      <c r="D11" s="37">
        <f t="shared" ref="D11" si="7"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 t="shared" ref="H11" si="8"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.5" x14ac:dyDescent="0.5">
      <c r="A12" s="155" t="s">
        <v>780</v>
      </c>
      <c r="B12" s="154"/>
      <c r="C12" s="154"/>
      <c r="D12" s="32"/>
      <c r="E12" s="92"/>
      <c r="F12" s="154"/>
      <c r="G12" s="154"/>
      <c r="H12" s="32"/>
      <c r="I12" s="2"/>
      <c r="J12" s="52">
        <f>J13+J14</f>
        <v>658.89599999999996</v>
      </c>
      <c r="K12" s="10">
        <v>680</v>
      </c>
      <c r="L12" s="10">
        <f t="shared" ref="L12" si="9">K12-J12</f>
        <v>21.104000000000042</v>
      </c>
    </row>
    <row r="13" spans="1:12" x14ac:dyDescent="0.25">
      <c r="A13" s="17" t="s">
        <v>781</v>
      </c>
      <c r="B13" s="4">
        <v>1</v>
      </c>
      <c r="C13" s="4">
        <v>4800</v>
      </c>
      <c r="D13" s="37">
        <f t="shared" ref="D13:D14" si="10"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25">
      <c r="A14" s="4" t="s">
        <v>49</v>
      </c>
      <c r="B14" s="4">
        <v>1</v>
      </c>
      <c r="C14" s="4">
        <v>4400</v>
      </c>
      <c r="D14" s="37">
        <f t="shared" si="10"/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.5" x14ac:dyDescent="0.5">
      <c r="A15" s="155" t="s">
        <v>759</v>
      </c>
      <c r="B15" s="154"/>
      <c r="C15" s="154"/>
      <c r="D15" s="32"/>
      <c r="E15" s="92"/>
      <c r="F15" s="154"/>
      <c r="G15" s="154"/>
      <c r="H15" s="32"/>
      <c r="I15" s="2"/>
      <c r="J15" s="52">
        <f>J16+J17</f>
        <v>1500.1970666666666</v>
      </c>
      <c r="K15" s="10">
        <f>1460+40</f>
        <v>1500</v>
      </c>
      <c r="L15" s="10">
        <f t="shared" ref="L15" si="11">K15-J15</f>
        <v>-0.19706666666661476</v>
      </c>
    </row>
    <row r="16" spans="1:12" x14ac:dyDescent="0.25">
      <c r="A16" s="4" t="s">
        <v>782</v>
      </c>
      <c r="B16" s="4">
        <v>1</v>
      </c>
      <c r="C16" s="4">
        <v>9900</v>
      </c>
      <c r="D16" s="37">
        <f t="shared" ref="D16:D17" si="12"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25">
      <c r="A17" s="5" t="s">
        <v>783</v>
      </c>
      <c r="B17" s="4">
        <v>1</v>
      </c>
      <c r="C17" s="4">
        <v>5990</v>
      </c>
      <c r="D17" s="37">
        <f t="shared" si="12"/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80" zoomScaleNormal="80" workbookViewId="0">
      <selection activeCell="A10" sqref="A10"/>
    </sheetView>
  </sheetViews>
  <sheetFormatPr defaultRowHeight="15" x14ac:dyDescent="0.25"/>
  <cols>
    <col min="1" max="1" width="60.85546875" customWidth="1"/>
    <col min="3" max="3" width="14.85546875" customWidth="1"/>
    <col min="10" max="10" width="10.42578125" customWidth="1"/>
    <col min="11" max="11" width="11.85546875" customWidth="1"/>
    <col min="12" max="12" width="11.42578125" customWidth="1"/>
  </cols>
  <sheetData>
    <row r="1" spans="1:12" ht="21" x14ac:dyDescent="0.35">
      <c r="A1" s="55" t="s">
        <v>283</v>
      </c>
      <c r="B1" s="4"/>
      <c r="C1" s="196">
        <v>42322</v>
      </c>
      <c r="D1" s="30"/>
    </row>
    <row r="2" spans="1:12" ht="21" x14ac:dyDescent="0.35">
      <c r="A2" s="55" t="s">
        <v>240</v>
      </c>
      <c r="B2" s="4"/>
      <c r="C2" s="16">
        <v>8230</v>
      </c>
      <c r="D2" s="30" t="s">
        <v>733</v>
      </c>
    </row>
    <row r="3" spans="1:12" ht="21" x14ac:dyDescent="0.35">
      <c r="A3" s="55" t="s">
        <v>241</v>
      </c>
      <c r="B3" s="4"/>
      <c r="C3" s="177">
        <v>5.6000000000000001E-2</v>
      </c>
      <c r="D3" s="30" t="s">
        <v>713</v>
      </c>
    </row>
    <row r="4" spans="1:12" ht="15.75" thickBot="1" x14ac:dyDescent="0.3"/>
    <row r="5" spans="1:12" ht="60" x14ac:dyDescent="0.2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5" t="s">
        <v>790</v>
      </c>
      <c r="B6" s="154"/>
      <c r="C6" s="154"/>
      <c r="D6" s="32"/>
      <c r="E6" s="92"/>
      <c r="F6" s="184"/>
      <c r="G6" s="127"/>
      <c r="H6" s="32"/>
      <c r="I6" s="2"/>
      <c r="J6" s="52">
        <f>J7</f>
        <v>315.20533333333333</v>
      </c>
      <c r="K6" s="10"/>
      <c r="L6" s="10">
        <f t="shared" ref="L6" si="0">K6-J6</f>
        <v>-315.20533333333333</v>
      </c>
    </row>
    <row r="7" spans="1:12" x14ac:dyDescent="0.25">
      <c r="A7" s="4" t="s">
        <v>791</v>
      </c>
      <c r="B7" s="4">
        <v>1</v>
      </c>
      <c r="C7" s="4">
        <v>3990</v>
      </c>
      <c r="D7" s="37">
        <f t="shared" ref="D7" si="1"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 t="shared" ref="H7" si="2">G7*B7</f>
        <v>0.1</v>
      </c>
      <c r="I7" s="4">
        <f>H7*$C$2</f>
        <v>823</v>
      </c>
      <c r="J7" s="51">
        <f>(D7+E7+F7+I7)*$C$3</f>
        <v>315.20533333333333</v>
      </c>
      <c r="K7" s="6"/>
      <c r="L7" s="17"/>
    </row>
    <row r="8" spans="1:12" ht="31.5" x14ac:dyDescent="0.5">
      <c r="A8" s="155" t="s">
        <v>792</v>
      </c>
      <c r="B8" s="154"/>
      <c r="C8" s="154"/>
      <c r="D8" s="32"/>
      <c r="E8" s="92"/>
      <c r="F8" s="214"/>
      <c r="G8" s="154"/>
      <c r="H8" s="32"/>
      <c r="I8" s="2"/>
      <c r="J8" s="52">
        <f>J9</f>
        <v>315.20533333333333</v>
      </c>
      <c r="K8" s="10"/>
      <c r="L8" s="10">
        <f t="shared" ref="L8" si="3">K8-J8</f>
        <v>-315.20533333333333</v>
      </c>
    </row>
    <row r="9" spans="1:12" x14ac:dyDescent="0.25">
      <c r="A9" s="4" t="s">
        <v>791</v>
      </c>
      <c r="B9" s="4">
        <v>1</v>
      </c>
      <c r="C9" s="4">
        <v>3990</v>
      </c>
      <c r="D9" s="37">
        <f t="shared" ref="D9" si="4"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 t="shared" ref="H9" si="5">G9*B9</f>
        <v>0.1</v>
      </c>
      <c r="I9" s="4">
        <f>H9*$C$2</f>
        <v>823</v>
      </c>
      <c r="J9" s="51">
        <f>(D9+E9+F9+I9)*$C$3</f>
        <v>315.20533333333333</v>
      </c>
      <c r="K9" s="6"/>
      <c r="L9" s="17"/>
    </row>
    <row r="10" spans="1:12" ht="31.5" x14ac:dyDescent="0.5">
      <c r="A10" s="155" t="s">
        <v>793</v>
      </c>
      <c r="B10" s="154"/>
      <c r="C10" s="154"/>
      <c r="D10" s="32"/>
      <c r="E10" s="92"/>
      <c r="F10" s="214"/>
      <c r="G10" s="154"/>
      <c r="H10" s="32"/>
      <c r="I10" s="2"/>
      <c r="J10" s="52">
        <f>J11</f>
        <v>341.50666666666666</v>
      </c>
      <c r="K10" s="10"/>
      <c r="L10" s="10">
        <f t="shared" ref="L10" si="6">K10-J10</f>
        <v>-341.50666666666666</v>
      </c>
    </row>
    <row r="11" spans="1:12" x14ac:dyDescent="0.25">
      <c r="A11" s="4" t="s">
        <v>794</v>
      </c>
      <c r="B11" s="4">
        <v>1</v>
      </c>
      <c r="C11" s="4">
        <v>3290</v>
      </c>
      <c r="D11" s="37">
        <f t="shared" ref="D11" si="7">B11*C11</f>
        <v>3290</v>
      </c>
      <c r="E11" s="39">
        <f>D11*0.1</f>
        <v>329</v>
      </c>
      <c r="F11" s="60">
        <f>2500/3</f>
        <v>833.33333333333337</v>
      </c>
      <c r="G11" s="4">
        <v>0.2</v>
      </c>
      <c r="H11" s="37">
        <f t="shared" ref="H11" si="8">G11*B11</f>
        <v>0.2</v>
      </c>
      <c r="I11" s="4">
        <f>H11*$C$2</f>
        <v>1646</v>
      </c>
      <c r="J11" s="51">
        <f>(D11+E11+F11+I11)*$C$3</f>
        <v>341.50666666666666</v>
      </c>
      <c r="K11" s="6"/>
      <c r="L11" s="17"/>
    </row>
    <row r="12" spans="1:12" ht="31.5" x14ac:dyDescent="0.5">
      <c r="A12" s="155" t="s">
        <v>795</v>
      </c>
      <c r="B12" s="154"/>
      <c r="C12" s="154"/>
      <c r="D12" s="32"/>
      <c r="E12" s="92"/>
      <c r="F12" s="214"/>
      <c r="G12" s="154"/>
      <c r="H12" s="32"/>
      <c r="I12" s="2"/>
      <c r="J12" s="52">
        <f>J13</f>
        <v>366.67431111111114</v>
      </c>
      <c r="K12" s="10"/>
      <c r="L12" s="10">
        <f t="shared" ref="L12" si="9">K12-J12</f>
        <v>-366.67431111111114</v>
      </c>
    </row>
    <row r="13" spans="1:12" x14ac:dyDescent="0.25">
      <c r="A13" s="4" t="s">
        <v>796</v>
      </c>
      <c r="B13" s="4">
        <v>2</v>
      </c>
      <c r="C13" s="4">
        <v>2200</v>
      </c>
      <c r="D13" s="37">
        <f t="shared" ref="D13" si="10">B13*C13</f>
        <v>4400</v>
      </c>
      <c r="E13" s="39">
        <f>D13*0.1</f>
        <v>440</v>
      </c>
      <c r="F13" s="60">
        <f>2500/9*2</f>
        <v>555.55555555555554</v>
      </c>
      <c r="G13" s="4">
        <v>7.0000000000000007E-2</v>
      </c>
      <c r="H13" s="37">
        <f t="shared" ref="H13" si="11">G13*B13</f>
        <v>0.14000000000000001</v>
      </c>
      <c r="I13" s="4">
        <f>H13*$C$2</f>
        <v>1152.2</v>
      </c>
      <c r="J13" s="51">
        <f>(D13+E13+F13+I13)*$C$3</f>
        <v>366.67431111111114</v>
      </c>
      <c r="K13" s="6"/>
      <c r="L13" s="17"/>
    </row>
    <row r="14" spans="1:12" ht="31.5" x14ac:dyDescent="0.5">
      <c r="A14" s="155" t="s">
        <v>691</v>
      </c>
      <c r="B14" s="154"/>
      <c r="C14" s="154"/>
      <c r="D14" s="32"/>
      <c r="E14" s="92"/>
      <c r="F14" s="214"/>
      <c r="G14" s="154"/>
      <c r="H14" s="32"/>
      <c r="I14" s="2"/>
      <c r="J14" s="52">
        <f>J15</f>
        <v>1014.888</v>
      </c>
      <c r="K14" s="10"/>
      <c r="L14" s="10">
        <f t="shared" ref="L14" si="12">K14-J14</f>
        <v>-1014.888</v>
      </c>
    </row>
    <row r="15" spans="1:12" x14ac:dyDescent="0.25">
      <c r="A15" s="4" t="s">
        <v>797</v>
      </c>
      <c r="B15" s="4">
        <v>1</v>
      </c>
      <c r="C15" s="4">
        <v>11210</v>
      </c>
      <c r="D15" s="37">
        <f t="shared" ref="D15" si="13">B15*C15</f>
        <v>11210</v>
      </c>
      <c r="E15" s="39">
        <f>D15*0.1</f>
        <v>1121</v>
      </c>
      <c r="F15" s="60">
        <v>2500</v>
      </c>
      <c r="G15" s="4">
        <v>0.4</v>
      </c>
      <c r="H15" s="37">
        <f t="shared" ref="H15" si="14">G15*B15</f>
        <v>0.4</v>
      </c>
      <c r="I15" s="4">
        <f>H15*$C$2</f>
        <v>3292</v>
      </c>
      <c r="J15" s="51">
        <f>(D15+E15+F15+I15)*$C$3</f>
        <v>1014.888</v>
      </c>
      <c r="K15" s="6"/>
      <c r="L15" s="17"/>
    </row>
    <row r="16" spans="1:12" ht="31.5" x14ac:dyDescent="0.5">
      <c r="A16" s="155" t="s">
        <v>798</v>
      </c>
      <c r="B16" s="154"/>
      <c r="C16" s="154"/>
      <c r="D16" s="32"/>
      <c r="E16" s="92"/>
      <c r="F16" s="214"/>
      <c r="G16" s="154"/>
      <c r="H16" s="32"/>
      <c r="I16" s="2"/>
      <c r="J16" s="52">
        <f>J17</f>
        <v>676.38666666666677</v>
      </c>
      <c r="K16" s="10"/>
      <c r="L16" s="10">
        <f t="shared" ref="L16" si="15">K16-J16</f>
        <v>-676.38666666666677</v>
      </c>
    </row>
    <row r="17" spans="1:12" x14ac:dyDescent="0.25">
      <c r="A17" s="4" t="s">
        <v>799</v>
      </c>
      <c r="B17" s="4">
        <v>1</v>
      </c>
      <c r="C17" s="4">
        <v>7230</v>
      </c>
      <c r="D17" s="37">
        <f t="shared" ref="D17" si="16"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 t="shared" ref="H17" si="17">G17*B17</f>
        <v>0.4</v>
      </c>
      <c r="I17" s="4">
        <f>H17*$C$2</f>
        <v>3292</v>
      </c>
      <c r="J17" s="51">
        <f>(D17+E17+F17+I17)*$C$3</f>
        <v>676.38666666666677</v>
      </c>
      <c r="K17" s="6"/>
      <c r="L17" s="17"/>
    </row>
    <row r="18" spans="1:12" ht="31.5" x14ac:dyDescent="0.5">
      <c r="A18" s="155" t="s">
        <v>485</v>
      </c>
      <c r="B18" s="154"/>
      <c r="C18" s="154"/>
      <c r="D18" s="32"/>
      <c r="E18" s="92"/>
      <c r="F18" s="214"/>
      <c r="G18" s="154"/>
      <c r="H18" s="32"/>
      <c r="I18" s="2"/>
      <c r="J18" s="52">
        <f>J19+J20</f>
        <v>1662.9573333333333</v>
      </c>
      <c r="K18" s="10"/>
      <c r="L18" s="10">
        <f t="shared" ref="L18" si="18">K18-J18</f>
        <v>-1662.9573333333333</v>
      </c>
    </row>
    <row r="19" spans="1:12" ht="23.25" x14ac:dyDescent="0.35">
      <c r="A19" s="4" t="s">
        <v>791</v>
      </c>
      <c r="B19" s="213">
        <v>2</v>
      </c>
      <c r="C19" s="4">
        <v>3990</v>
      </c>
      <c r="D19" s="37">
        <f t="shared" ref="D19" si="19"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1646</v>
      </c>
      <c r="J19" s="51">
        <f>(D19+E19+F19+I19)*$C$3</f>
        <v>607.07733333333329</v>
      </c>
      <c r="K19" s="6"/>
      <c r="L19" s="17"/>
    </row>
    <row r="20" spans="1:12" x14ac:dyDescent="0.25">
      <c r="A20" s="4" t="s">
        <v>800</v>
      </c>
      <c r="B20" s="4">
        <v>1</v>
      </c>
      <c r="C20" s="4">
        <v>13400</v>
      </c>
      <c r="D20" s="37">
        <f t="shared" ref="D20" si="20">B20*C20</f>
        <v>13400</v>
      </c>
      <c r="E20" s="39">
        <f>D20*0.1</f>
        <v>1340</v>
      </c>
      <c r="F20" s="60">
        <v>0</v>
      </c>
      <c r="G20" s="4">
        <v>0.5</v>
      </c>
      <c r="H20" s="37">
        <f>G20*B20</f>
        <v>0.5</v>
      </c>
      <c r="I20" s="4">
        <f>H20*$C$2</f>
        <v>4115</v>
      </c>
      <c r="J20" s="51">
        <f>(D20+E20+F20+I20)*$C$3</f>
        <v>1055.8800000000001</v>
      </c>
      <c r="K20" s="6"/>
      <c r="L20" s="17"/>
    </row>
    <row r="21" spans="1:12" ht="31.5" x14ac:dyDescent="0.5">
      <c r="A21" s="155" t="s">
        <v>505</v>
      </c>
      <c r="B21" s="154"/>
      <c r="C21" s="154"/>
      <c r="D21" s="32"/>
      <c r="E21" s="92"/>
      <c r="F21" s="214"/>
      <c r="G21" s="154"/>
      <c r="H21" s="32"/>
      <c r="I21" s="2"/>
      <c r="J21" s="52">
        <f>J22+J23</f>
        <v>4231.8584000000001</v>
      </c>
      <c r="K21" s="10"/>
      <c r="L21" s="10">
        <f t="shared" ref="L21" si="21">K21-J21</f>
        <v>-4231.8584000000001</v>
      </c>
    </row>
    <row r="22" spans="1:12" x14ac:dyDescent="0.25">
      <c r="A22" s="4" t="s">
        <v>677</v>
      </c>
      <c r="B22" s="4">
        <v>5</v>
      </c>
      <c r="C22" s="4">
        <v>9900</v>
      </c>
      <c r="D22" s="37">
        <f t="shared" ref="D22" si="22"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10699</v>
      </c>
      <c r="J22" s="51">
        <f>(D22+E22+F22+I22)*$C$3</f>
        <v>3648.3440000000001</v>
      </c>
      <c r="K22" s="6"/>
      <c r="L22" s="17"/>
    </row>
    <row r="23" spans="1:12" x14ac:dyDescent="0.25">
      <c r="A23" s="4" t="s">
        <v>801</v>
      </c>
      <c r="B23" s="4">
        <v>1</v>
      </c>
      <c r="C23" s="4">
        <v>8500</v>
      </c>
      <c r="D23" s="37">
        <f t="shared" ref="D23" si="23">B23*C23</f>
        <v>8500</v>
      </c>
      <c r="E23" s="39">
        <f>D23*0.1</f>
        <v>850</v>
      </c>
      <c r="F23" s="60">
        <v>0</v>
      </c>
      <c r="G23" s="4">
        <v>0.13</v>
      </c>
      <c r="H23" s="37">
        <f>G23*B23</f>
        <v>0.13</v>
      </c>
      <c r="I23" s="4">
        <f>H23*$C$2</f>
        <v>1069.9000000000001</v>
      </c>
      <c r="J23" s="51">
        <f>(D23+E23+F23+I23)*$C$3</f>
        <v>583.51440000000002</v>
      </c>
      <c r="K23" s="6"/>
      <c r="L23" s="17"/>
    </row>
    <row r="24" spans="1:12" ht="31.5" x14ac:dyDescent="0.5">
      <c r="A24" s="155" t="s">
        <v>333</v>
      </c>
      <c r="B24" s="154"/>
      <c r="C24" s="154"/>
      <c r="D24" s="32"/>
      <c r="E24" s="92"/>
      <c r="F24" s="214"/>
      <c r="G24" s="154"/>
      <c r="H24" s="32"/>
      <c r="I24" s="2"/>
      <c r="J24" s="52">
        <f>SUM(J25:J27)</f>
        <v>2507.3384000000001</v>
      </c>
      <c r="K24" s="10"/>
      <c r="L24" s="10">
        <f t="shared" ref="L24" si="24">K24-J24</f>
        <v>-2507.3384000000001</v>
      </c>
    </row>
    <row r="25" spans="1:12" x14ac:dyDescent="0.25">
      <c r="A25" s="4" t="s">
        <v>802</v>
      </c>
      <c r="B25" s="4">
        <v>1</v>
      </c>
      <c r="C25" s="4">
        <v>12600</v>
      </c>
      <c r="D25" s="37">
        <f t="shared" ref="D25:D27" si="25">B25*C25</f>
        <v>12600</v>
      </c>
      <c r="E25" s="39">
        <f>D25*0.1</f>
        <v>1260</v>
      </c>
      <c r="F25" s="60">
        <v>0</v>
      </c>
      <c r="G25" s="4">
        <v>0.4</v>
      </c>
      <c r="H25" s="37">
        <f t="shared" ref="H25:H27" si="26">G25*B25</f>
        <v>0.4</v>
      </c>
      <c r="I25" s="4">
        <f>H25*$C$2</f>
        <v>3292</v>
      </c>
      <c r="J25" s="51">
        <f>(D25+E25+F25+I25)*$C$3</f>
        <v>960.51200000000006</v>
      </c>
      <c r="K25" s="6"/>
      <c r="L25" s="17"/>
    </row>
    <row r="26" spans="1:12" x14ac:dyDescent="0.25">
      <c r="A26" s="41" t="s">
        <v>803</v>
      </c>
      <c r="B26" s="4">
        <v>1</v>
      </c>
      <c r="C26" s="4">
        <v>6700</v>
      </c>
      <c r="D26" s="37">
        <f t="shared" si="25"/>
        <v>6700</v>
      </c>
      <c r="E26" s="39">
        <f>D26*0.1</f>
        <v>670</v>
      </c>
      <c r="F26" s="60">
        <v>2500</v>
      </c>
      <c r="G26" s="4">
        <v>0.19</v>
      </c>
      <c r="H26" s="37">
        <f t="shared" si="26"/>
        <v>0.19</v>
      </c>
      <c r="I26" s="4">
        <f>H26*$C$2</f>
        <v>1563.7</v>
      </c>
      <c r="J26" s="51">
        <f>(D26+E26+F26+I26)*$C$3</f>
        <v>640.2872000000001</v>
      </c>
      <c r="K26" s="6"/>
      <c r="L26" s="17"/>
    </row>
    <row r="27" spans="1:12" x14ac:dyDescent="0.25">
      <c r="A27" s="4" t="s">
        <v>804</v>
      </c>
      <c r="B27" s="4">
        <v>1</v>
      </c>
      <c r="C27" s="4">
        <v>9900</v>
      </c>
      <c r="D27" s="37">
        <f t="shared" si="25"/>
        <v>9900</v>
      </c>
      <c r="E27" s="39">
        <f>D27*0.1</f>
        <v>990</v>
      </c>
      <c r="F27" s="60">
        <v>2500</v>
      </c>
      <c r="G27" s="4">
        <v>0.34</v>
      </c>
      <c r="H27" s="37">
        <f t="shared" si="26"/>
        <v>0.34</v>
      </c>
      <c r="I27" s="4">
        <f>H27*$C$2</f>
        <v>2798.2000000000003</v>
      </c>
      <c r="J27" s="51">
        <f>(D27+E27+F27+I27)*$C$3</f>
        <v>906.53920000000005</v>
      </c>
      <c r="K27" s="6"/>
      <c r="L27" s="17"/>
    </row>
    <row r="28" spans="1:12" ht="31.5" x14ac:dyDescent="0.5">
      <c r="A28" s="211" t="s">
        <v>689</v>
      </c>
      <c r="B28" s="154"/>
      <c r="C28" s="154"/>
      <c r="D28" s="32"/>
      <c r="E28" s="92"/>
      <c r="F28" s="214"/>
      <c r="G28" s="154"/>
      <c r="H28" s="32"/>
      <c r="I28" s="2"/>
      <c r="J28" s="52">
        <f>SUM(J29:J31)</f>
        <v>2853.2503999999999</v>
      </c>
      <c r="K28" s="10"/>
      <c r="L28" s="10">
        <f t="shared" ref="L28" si="27">K28-J28</f>
        <v>-2853.2503999999999</v>
      </c>
    </row>
    <row r="29" spans="1:12" x14ac:dyDescent="0.25">
      <c r="A29" s="17" t="s">
        <v>805</v>
      </c>
      <c r="B29" s="4">
        <v>1</v>
      </c>
      <c r="C29" s="4">
        <v>16900</v>
      </c>
      <c r="D29" s="37">
        <f t="shared" ref="D29:D31" si="28">B29*C29</f>
        <v>16900</v>
      </c>
      <c r="E29" s="39">
        <f>D29*0.1</f>
        <v>1690</v>
      </c>
      <c r="F29" s="60">
        <v>0</v>
      </c>
      <c r="G29" s="4">
        <v>0.34</v>
      </c>
      <c r="H29" s="37">
        <f t="shared" ref="H29:H31" si="29">G29*B29</f>
        <v>0.34</v>
      </c>
      <c r="I29" s="4">
        <f>H29*$C$2</f>
        <v>2798.2000000000003</v>
      </c>
      <c r="J29" s="51">
        <f>(D29+E29+F29+I29)*$C$3</f>
        <v>1197.7392</v>
      </c>
      <c r="K29" s="6"/>
      <c r="L29" s="17"/>
    </row>
    <row r="30" spans="1:12" x14ac:dyDescent="0.25">
      <c r="A30" s="17" t="s">
        <v>806</v>
      </c>
      <c r="B30" s="4">
        <v>1</v>
      </c>
      <c r="C30" s="4">
        <v>12900</v>
      </c>
      <c r="D30" s="37">
        <f t="shared" si="28"/>
        <v>12900</v>
      </c>
      <c r="E30" s="39">
        <f>D30*0.1</f>
        <v>1290</v>
      </c>
      <c r="F30" s="60">
        <v>0</v>
      </c>
      <c r="G30" s="4">
        <v>0.9</v>
      </c>
      <c r="H30" s="37">
        <f t="shared" si="29"/>
        <v>0.9</v>
      </c>
      <c r="I30" s="4">
        <f>H30*$C$2</f>
        <v>7407</v>
      </c>
      <c r="J30" s="51">
        <f>(D30+E30+F30+I30)*$C$3</f>
        <v>1209.432</v>
      </c>
      <c r="K30" s="6"/>
      <c r="L30" s="17"/>
    </row>
    <row r="31" spans="1:12" x14ac:dyDescent="0.25">
      <c r="A31" s="17" t="s">
        <v>807</v>
      </c>
      <c r="B31" s="4">
        <v>1</v>
      </c>
      <c r="C31" s="4">
        <v>6000</v>
      </c>
      <c r="D31" s="37">
        <f t="shared" si="28"/>
        <v>6000</v>
      </c>
      <c r="E31" s="39">
        <f>D31*0.1</f>
        <v>600</v>
      </c>
      <c r="F31" s="60">
        <f>2500/4</f>
        <v>625</v>
      </c>
      <c r="G31" s="4">
        <v>0.09</v>
      </c>
      <c r="H31" s="37">
        <f t="shared" si="29"/>
        <v>0.09</v>
      </c>
      <c r="I31" s="4">
        <f>H31*$C$2</f>
        <v>740.69999999999993</v>
      </c>
      <c r="J31" s="51">
        <f>(D31+E31+F31+I31)*$C$3</f>
        <v>446.07920000000001</v>
      </c>
      <c r="K31" s="6"/>
      <c r="L31" s="17"/>
    </row>
    <row r="32" spans="1:12" ht="31.5" x14ac:dyDescent="0.5">
      <c r="A32" s="155" t="s">
        <v>780</v>
      </c>
      <c r="B32" s="154"/>
      <c r="C32" s="154"/>
      <c r="D32" s="32"/>
      <c r="E32" s="92"/>
      <c r="F32" s="214"/>
      <c r="G32" s="154"/>
      <c r="H32" s="32"/>
      <c r="I32" s="2"/>
      <c r="J32" s="52">
        <f>SUM(J33:J35)</f>
        <v>1677.1813333333334</v>
      </c>
      <c r="K32" s="10"/>
      <c r="L32" s="10">
        <f t="shared" ref="L32" si="30">K32-J32</f>
        <v>-1677.1813333333334</v>
      </c>
    </row>
    <row r="33" spans="1:12" x14ac:dyDescent="0.25">
      <c r="A33" s="17" t="s">
        <v>808</v>
      </c>
      <c r="B33" s="4">
        <v>4</v>
      </c>
      <c r="C33" s="4">
        <v>650</v>
      </c>
      <c r="D33" s="37">
        <f t="shared" ref="D33:D35" si="31">B33*C33</f>
        <v>2600</v>
      </c>
      <c r="E33" s="39">
        <f>D33*0.1</f>
        <v>260</v>
      </c>
      <c r="F33" s="60">
        <v>2500</v>
      </c>
      <c r="G33" s="4">
        <v>0.1</v>
      </c>
      <c r="H33" s="37">
        <f t="shared" ref="H33:H35" si="32">G33*B33</f>
        <v>0.4</v>
      </c>
      <c r="I33" s="4">
        <f>H33*$C$2</f>
        <v>3292</v>
      </c>
      <c r="J33" s="51">
        <f>(D33+E33+F33+I33)*$C$3</f>
        <v>484.512</v>
      </c>
      <c r="K33" s="6"/>
      <c r="L33" s="17"/>
    </row>
    <row r="34" spans="1:12" x14ac:dyDescent="0.25">
      <c r="A34" s="4" t="s">
        <v>791</v>
      </c>
      <c r="B34" s="4">
        <v>1</v>
      </c>
      <c r="C34" s="4">
        <v>3990</v>
      </c>
      <c r="D34" s="37">
        <f t="shared" si="31"/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 t="shared" si="32"/>
        <v>0.1</v>
      </c>
      <c r="I34" s="4">
        <f>H34*$C$2</f>
        <v>823</v>
      </c>
      <c r="J34" s="51">
        <f>(D34+E34+F34+I34)*$C$3</f>
        <v>315.20533333333333</v>
      </c>
      <c r="K34" s="6"/>
      <c r="L34" s="17"/>
    </row>
    <row r="35" spans="1:12" x14ac:dyDescent="0.25">
      <c r="A35" s="198" t="s">
        <v>809</v>
      </c>
      <c r="B35" s="4">
        <v>1</v>
      </c>
      <c r="C35" s="4">
        <v>12000</v>
      </c>
      <c r="D35" s="37">
        <f t="shared" si="31"/>
        <v>12000</v>
      </c>
      <c r="E35" s="39">
        <f>D35*0.1</f>
        <v>1200</v>
      </c>
      <c r="F35" s="60">
        <v>0</v>
      </c>
      <c r="G35" s="4">
        <v>0.3</v>
      </c>
      <c r="H35" s="37">
        <f t="shared" si="32"/>
        <v>0.3</v>
      </c>
      <c r="I35" s="4">
        <f>H35*$C$2</f>
        <v>2469</v>
      </c>
      <c r="J35" s="51">
        <f>(D35+E35+F35+I35)*$C$3</f>
        <v>877.46400000000006</v>
      </c>
      <c r="K35" s="6"/>
      <c r="L35" s="17"/>
    </row>
    <row r="36" spans="1:12" ht="31.5" x14ac:dyDescent="0.5">
      <c r="A36" s="155" t="s">
        <v>772</v>
      </c>
      <c r="B36" s="154"/>
      <c r="C36" s="154"/>
      <c r="D36" s="32"/>
      <c r="E36" s="92"/>
      <c r="F36" s="214"/>
      <c r="G36" s="154"/>
      <c r="H36" s="32"/>
      <c r="I36" s="2"/>
      <c r="J36" s="52">
        <f>SUM(J37:J39)</f>
        <v>1894.2952000000002</v>
      </c>
      <c r="K36" s="10"/>
      <c r="L36" s="10">
        <f t="shared" ref="L36" si="33">K36-J36</f>
        <v>-1894.2952000000002</v>
      </c>
    </row>
    <row r="37" spans="1:12" x14ac:dyDescent="0.25">
      <c r="A37" s="4" t="s">
        <v>810</v>
      </c>
      <c r="B37" s="4">
        <v>1</v>
      </c>
      <c r="C37" s="4">
        <v>13900</v>
      </c>
      <c r="D37" s="37">
        <f t="shared" ref="D37:D39" si="34">B37*C37</f>
        <v>13900</v>
      </c>
      <c r="E37" s="39">
        <f>D37*0.1</f>
        <v>1390</v>
      </c>
      <c r="F37" s="60">
        <v>0</v>
      </c>
      <c r="G37" s="4">
        <v>0.19</v>
      </c>
      <c r="H37" s="37">
        <f t="shared" ref="H37:H39" si="35">G37*B37</f>
        <v>0.19</v>
      </c>
      <c r="I37" s="4">
        <f>H37*$C$2</f>
        <v>1563.7</v>
      </c>
      <c r="J37" s="51">
        <f>(D37+E37+F37+I37)*$C$3</f>
        <v>943.80720000000008</v>
      </c>
      <c r="K37" s="6"/>
      <c r="L37" s="17"/>
    </row>
    <row r="38" spans="1:12" x14ac:dyDescent="0.25">
      <c r="A38" s="4" t="s">
        <v>811</v>
      </c>
      <c r="B38" s="4">
        <v>1</v>
      </c>
      <c r="C38" s="4">
        <v>2640</v>
      </c>
      <c r="D38" s="37">
        <f t="shared" si="34"/>
        <v>2640</v>
      </c>
      <c r="E38" s="39">
        <f>D38*0.1</f>
        <v>264</v>
      </c>
      <c r="F38" s="60">
        <v>2500</v>
      </c>
      <c r="G38" s="4">
        <v>0.1</v>
      </c>
      <c r="H38" s="37">
        <f t="shared" si="35"/>
        <v>0.1</v>
      </c>
      <c r="I38" s="4">
        <f>H38*$C$2</f>
        <v>823</v>
      </c>
      <c r="J38" s="51">
        <f>(D38+E38+F38+I38)*$C$3</f>
        <v>348.71199999999999</v>
      </c>
      <c r="K38" s="6"/>
      <c r="L38" s="17"/>
    </row>
    <row r="39" spans="1:12" x14ac:dyDescent="0.25">
      <c r="A39" s="4" t="s">
        <v>812</v>
      </c>
      <c r="B39" s="4">
        <v>1</v>
      </c>
      <c r="C39" s="4">
        <v>6000</v>
      </c>
      <c r="D39" s="37">
        <f t="shared" si="34"/>
        <v>6000</v>
      </c>
      <c r="E39" s="39">
        <f>D39*0.1</f>
        <v>600</v>
      </c>
      <c r="F39" s="60">
        <v>2500</v>
      </c>
      <c r="G39" s="4">
        <v>0.2</v>
      </c>
      <c r="H39" s="37">
        <f t="shared" si="35"/>
        <v>0.2</v>
      </c>
      <c r="I39" s="4">
        <f>H39*$C$2</f>
        <v>1646</v>
      </c>
      <c r="J39" s="51">
        <f>(D39+E39+F39+I39)*$C$3</f>
        <v>601.77600000000007</v>
      </c>
      <c r="K39" s="6"/>
      <c r="L39" s="17"/>
    </row>
    <row r="40" spans="1:12" ht="31.5" x14ac:dyDescent="0.5">
      <c r="A40" s="155" t="s">
        <v>697</v>
      </c>
      <c r="B40" s="204"/>
      <c r="C40" s="127"/>
      <c r="D40" s="32"/>
      <c r="E40" s="92"/>
      <c r="F40" s="215"/>
      <c r="G40" s="127"/>
      <c r="H40" s="32"/>
      <c r="I40" s="2"/>
      <c r="J40" s="52">
        <f>SUM(J41:J44)</f>
        <v>2141.6471999999999</v>
      </c>
      <c r="K40" s="10"/>
      <c r="L40" s="10">
        <f t="shared" ref="L40" si="36">K40-J40</f>
        <v>-2141.6471999999999</v>
      </c>
    </row>
    <row r="41" spans="1:12" x14ac:dyDescent="0.25">
      <c r="A41" s="17" t="s">
        <v>813</v>
      </c>
      <c r="B41" s="4">
        <v>1</v>
      </c>
      <c r="C41" s="4">
        <v>6000</v>
      </c>
      <c r="D41" s="37">
        <f t="shared" ref="D41:D44" si="37"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 t="shared" ref="H41:H44" si="38">G41*B41</f>
        <v>0.1</v>
      </c>
      <c r="I41" s="4">
        <f>H41*$C$2</f>
        <v>823</v>
      </c>
      <c r="J41" s="51">
        <f>(D41+E41+F41+I41)*$C$3</f>
        <v>450.68799999999999</v>
      </c>
      <c r="K41" s="6"/>
      <c r="L41" s="17"/>
    </row>
    <row r="42" spans="1:12" x14ac:dyDescent="0.25">
      <c r="A42" s="17" t="s">
        <v>814</v>
      </c>
      <c r="B42" s="4">
        <v>1</v>
      </c>
      <c r="C42" s="4">
        <v>6000</v>
      </c>
      <c r="D42" s="37">
        <f t="shared" ref="D42" si="39">B42*C42</f>
        <v>6000</v>
      </c>
      <c r="E42" s="39">
        <f>D42*0.1</f>
        <v>600</v>
      </c>
      <c r="F42" s="60">
        <f t="shared" ref="F42:F43" si="40">2500/4</f>
        <v>625</v>
      </c>
      <c r="G42" s="4">
        <v>0.1</v>
      </c>
      <c r="H42" s="37">
        <f t="shared" ref="H42" si="41">G42*B42</f>
        <v>0.1</v>
      </c>
      <c r="I42" s="4">
        <f>H42*$C$2</f>
        <v>823</v>
      </c>
      <c r="J42" s="51">
        <f>(D42+E42+F42+I42)*$C$3</f>
        <v>450.68799999999999</v>
      </c>
      <c r="K42" s="6"/>
      <c r="L42" s="17"/>
    </row>
    <row r="43" spans="1:12" x14ac:dyDescent="0.25">
      <c r="A43" s="17" t="s">
        <v>815</v>
      </c>
      <c r="B43" s="4">
        <v>1</v>
      </c>
      <c r="C43" s="4">
        <v>6000</v>
      </c>
      <c r="D43" s="37">
        <f t="shared" si="37"/>
        <v>6000</v>
      </c>
      <c r="E43" s="39">
        <f>D43*0.1</f>
        <v>600</v>
      </c>
      <c r="F43" s="60">
        <f t="shared" si="40"/>
        <v>625</v>
      </c>
      <c r="G43" s="4">
        <v>0.1</v>
      </c>
      <c r="H43" s="37">
        <f t="shared" si="38"/>
        <v>0.1</v>
      </c>
      <c r="I43" s="4">
        <f>H43*$C$2</f>
        <v>823</v>
      </c>
      <c r="J43" s="51">
        <f>(D43+E43+F43+I43)*$C$3</f>
        <v>450.68799999999999</v>
      </c>
      <c r="K43" s="6"/>
      <c r="L43" s="17"/>
    </row>
    <row r="44" spans="1:12" x14ac:dyDescent="0.25">
      <c r="A44" s="17" t="s">
        <v>816</v>
      </c>
      <c r="B44" s="4">
        <v>1</v>
      </c>
      <c r="C44" s="4">
        <v>9900</v>
      </c>
      <c r="D44" s="37">
        <f t="shared" si="37"/>
        <v>9900</v>
      </c>
      <c r="E44" s="39">
        <f>D44*0.1</f>
        <v>990</v>
      </c>
      <c r="F44" s="60">
        <v>0</v>
      </c>
      <c r="G44" s="4">
        <v>0.39</v>
      </c>
      <c r="H44" s="37">
        <f t="shared" si="38"/>
        <v>0.39</v>
      </c>
      <c r="I44" s="4">
        <f>H44*$C$2</f>
        <v>3209.7000000000003</v>
      </c>
      <c r="J44" s="51">
        <f>(D44+E44+F44+I44)*$C$3</f>
        <v>789.58320000000003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41387</v>
      </c>
      <c r="D1" s="30"/>
    </row>
    <row r="2" spans="1:12" ht="28.5" x14ac:dyDescent="0.45">
      <c r="A2" s="13" t="s">
        <v>14</v>
      </c>
      <c r="B2" s="4"/>
      <c r="C2" s="16">
        <v>6.58</v>
      </c>
    </row>
    <row r="3" spans="1:12" ht="28.5" x14ac:dyDescent="0.45">
      <c r="A3" s="13" t="s">
        <v>12</v>
      </c>
      <c r="B3" s="4"/>
      <c r="C3" s="16">
        <v>31.6</v>
      </c>
    </row>
    <row r="4" spans="1:12" ht="18.75" x14ac:dyDescent="0.3">
      <c r="A4" s="14" t="s">
        <v>18</v>
      </c>
      <c r="C4" s="19"/>
    </row>
    <row r="5" spans="1:12" x14ac:dyDescent="0.25">
      <c r="C5" s="19"/>
    </row>
    <row r="6" spans="1:12" x14ac:dyDescent="0.25">
      <c r="C6" s="19"/>
    </row>
    <row r="7" spans="1:12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.25" x14ac:dyDescent="0.4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 t="shared" ref="L8" si="0">K8-J8</f>
        <v>-0.39416000000005624</v>
      </c>
    </row>
    <row r="9" spans="1:12" x14ac:dyDescent="0.2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 t="shared" ref="E9:E11" si="1">D9*0.05</f>
        <v>0.43099999999999999</v>
      </c>
      <c r="F9" s="4"/>
      <c r="G9" s="4">
        <v>0.1</v>
      </c>
      <c r="H9" s="4">
        <f>G9*B9</f>
        <v>0.2</v>
      </c>
      <c r="I9" s="4">
        <f t="shared" ref="I9:I11" si="2">H9*$C$2</f>
        <v>1.3160000000000001</v>
      </c>
      <c r="J9" s="51">
        <f t="shared" ref="J9:J11" si="3">(D9+E9+F9+I9)*$C$3</f>
        <v>327.59719999999999</v>
      </c>
      <c r="K9" s="36"/>
    </row>
    <row r="10" spans="1:12" x14ac:dyDescent="0.25">
      <c r="A10" s="48" t="s">
        <v>128</v>
      </c>
      <c r="B10" s="4">
        <v>1</v>
      </c>
      <c r="C10" s="4">
        <v>2.98</v>
      </c>
      <c r="D10" s="4">
        <f t="shared" ref="D10:D11" si="4">B10*C10</f>
        <v>2.98</v>
      </c>
      <c r="E10" s="4">
        <f t="shared" si="1"/>
        <v>0.14899999999999999</v>
      </c>
      <c r="F10" s="4"/>
      <c r="G10" s="4">
        <v>7.0000000000000007E-2</v>
      </c>
      <c r="H10" s="4">
        <f t="shared" ref="H10:H11" si="5">G10</f>
        <v>7.0000000000000007E-2</v>
      </c>
      <c r="I10" s="4">
        <f t="shared" si="2"/>
        <v>0.46060000000000006</v>
      </c>
      <c r="J10" s="51">
        <f t="shared" si="3"/>
        <v>113.43136</v>
      </c>
      <c r="K10" s="36"/>
    </row>
    <row r="11" spans="1:12" x14ac:dyDescent="0.25">
      <c r="A11" s="48" t="s">
        <v>129</v>
      </c>
      <c r="B11" s="4">
        <v>1</v>
      </c>
      <c r="C11" s="4">
        <v>4.96</v>
      </c>
      <c r="D11" s="4">
        <f t="shared" si="4"/>
        <v>4.96</v>
      </c>
      <c r="E11" s="4">
        <f t="shared" si="1"/>
        <v>0.248</v>
      </c>
      <c r="F11" s="4"/>
      <c r="G11" s="4">
        <v>0.1</v>
      </c>
      <c r="H11" s="4">
        <f t="shared" si="5"/>
        <v>0.1</v>
      </c>
      <c r="I11" s="4">
        <f t="shared" si="2"/>
        <v>0.65800000000000003</v>
      </c>
      <c r="J11" s="51">
        <f t="shared" si="3"/>
        <v>185.36560000000003</v>
      </c>
      <c r="K11" s="36"/>
    </row>
    <row r="12" spans="1:12" ht="26.25" x14ac:dyDescent="0.4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 t="shared" ref="L12:L88" si="6">K12-J12</f>
        <v>0.20303999999998723</v>
      </c>
    </row>
    <row r="13" spans="1:12" x14ac:dyDescent="0.25">
      <c r="A13" s="48" t="s">
        <v>128</v>
      </c>
      <c r="B13" s="4">
        <v>1</v>
      </c>
      <c r="C13" s="4">
        <v>2.98</v>
      </c>
      <c r="D13" s="4">
        <f t="shared" ref="D13:D14" si="7"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 t="shared" ref="H13:H14" si="8"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25">
      <c r="A14" s="48" t="s">
        <v>129</v>
      </c>
      <c r="B14" s="4">
        <v>1</v>
      </c>
      <c r="C14" s="4">
        <v>4.96</v>
      </c>
      <c r="D14" s="4">
        <f t="shared" si="7"/>
        <v>4.96</v>
      </c>
      <c r="E14" s="4">
        <f t="shared" ref="E14" si="9">D14*0.05</f>
        <v>0.248</v>
      </c>
      <c r="F14" s="4">
        <v>0</v>
      </c>
      <c r="G14" s="4">
        <v>0.1</v>
      </c>
      <c r="H14" s="4">
        <f t="shared" si="8"/>
        <v>0.1</v>
      </c>
      <c r="I14" s="4">
        <f t="shared" ref="I14" si="10">H14*$C$2</f>
        <v>0.65800000000000003</v>
      </c>
      <c r="J14" s="51">
        <f t="shared" ref="J14" si="11">(D14+E14+F14+I14)*$C$3</f>
        <v>185.36560000000003</v>
      </c>
      <c r="K14" s="36"/>
    </row>
    <row r="15" spans="1:12" ht="26.25" x14ac:dyDescent="0.4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 t="shared" si="6"/>
        <v>0.20303999999998723</v>
      </c>
    </row>
    <row r="16" spans="1:12" x14ac:dyDescent="0.25">
      <c r="A16" s="48" t="s">
        <v>128</v>
      </c>
      <c r="B16" s="4">
        <v>1</v>
      </c>
      <c r="C16" s="4">
        <v>2.98</v>
      </c>
      <c r="D16" s="4">
        <f t="shared" ref="D16:D17" si="12"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 t="shared" ref="H16:H17" si="13"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25">
      <c r="A17" s="48" t="s">
        <v>129</v>
      </c>
      <c r="B17" s="4">
        <v>1</v>
      </c>
      <c r="C17" s="4">
        <v>4.96</v>
      </c>
      <c r="D17" s="4">
        <f t="shared" si="12"/>
        <v>4.96</v>
      </c>
      <c r="E17" s="4">
        <f t="shared" ref="E17" si="14">D17*0.05</f>
        <v>0.248</v>
      </c>
      <c r="F17" s="4">
        <v>0</v>
      </c>
      <c r="G17" s="4">
        <v>0.1</v>
      </c>
      <c r="H17" s="4">
        <f t="shared" si="13"/>
        <v>0.1</v>
      </c>
      <c r="I17" s="4">
        <f t="shared" ref="I17" si="15">H17*$C$2</f>
        <v>0.65800000000000003</v>
      </c>
      <c r="J17" s="51">
        <f t="shared" ref="J17" si="16">(D17+E17+F17+I17)*$C$3</f>
        <v>185.36560000000003</v>
      </c>
      <c r="K17" s="36"/>
    </row>
    <row r="18" spans="1:34" s="31" customFormat="1" ht="26.25" x14ac:dyDescent="0.4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2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.25" x14ac:dyDescent="0.4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 t="shared" si="6"/>
        <v>0.20303999999998723</v>
      </c>
    </row>
    <row r="21" spans="1:34" x14ac:dyDescent="0.25">
      <c r="A21" s="48" t="s">
        <v>128</v>
      </c>
      <c r="B21" s="4">
        <v>1</v>
      </c>
      <c r="C21" s="4">
        <v>2.98</v>
      </c>
      <c r="D21" s="4">
        <f t="shared" ref="D21:D22" si="17"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 t="shared" ref="H21:H22" si="18"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25">
      <c r="A22" s="48" t="s">
        <v>129</v>
      </c>
      <c r="B22" s="4">
        <v>1</v>
      </c>
      <c r="C22" s="4">
        <v>4.96</v>
      </c>
      <c r="D22" s="4">
        <f t="shared" si="17"/>
        <v>4.96</v>
      </c>
      <c r="E22" s="4">
        <f t="shared" ref="E22:E97" si="19">D22*0.05</f>
        <v>0.248</v>
      </c>
      <c r="F22" s="4">
        <v>0</v>
      </c>
      <c r="G22" s="4">
        <v>0.1</v>
      </c>
      <c r="H22" s="4">
        <f t="shared" si="18"/>
        <v>0.1</v>
      </c>
      <c r="I22" s="4">
        <f t="shared" ref="I22:I97" si="20">H22*$C$2</f>
        <v>0.65800000000000003</v>
      </c>
      <c r="J22" s="51">
        <f t="shared" ref="J22:J97" si="21">(D22+E22+F22+I22)*$C$3</f>
        <v>185.36560000000003</v>
      </c>
      <c r="K22" s="36"/>
      <c r="L22" s="41"/>
    </row>
    <row r="23" spans="1:34" ht="26.25" x14ac:dyDescent="0.4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2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2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.25" x14ac:dyDescent="0.4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 t="shared" si="6"/>
        <v>6.2120000000049913E-2</v>
      </c>
      <c r="AA26" t="s">
        <v>90</v>
      </c>
    </row>
    <row r="27" spans="1:34" s="35" customFormat="1" x14ac:dyDescent="0.2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19"/>
        <v>0.36850000000000005</v>
      </c>
      <c r="F27" s="5">
        <v>2.33</v>
      </c>
      <c r="G27" s="5"/>
      <c r="H27" s="5">
        <v>0.4</v>
      </c>
      <c r="I27" s="4">
        <f t="shared" si="20"/>
        <v>2.6320000000000001</v>
      </c>
      <c r="J27" s="51">
        <f t="shared" si="21"/>
        <v>401.33580000000001</v>
      </c>
      <c r="K27" s="34"/>
      <c r="L27" s="41"/>
      <c r="M27"/>
      <c r="N27" s="34"/>
    </row>
    <row r="28" spans="1:34" s="35" customFormat="1" x14ac:dyDescent="0.2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19"/>
        <v>1.0645</v>
      </c>
      <c r="F28" s="5">
        <v>0</v>
      </c>
      <c r="G28" s="5"/>
      <c r="H28" s="5">
        <v>0.2</v>
      </c>
      <c r="I28" s="4">
        <f t="shared" si="20"/>
        <v>1.3160000000000001</v>
      </c>
      <c r="J28" s="51">
        <f t="shared" si="21"/>
        <v>747.98779999999999</v>
      </c>
      <c r="K28" s="34"/>
      <c r="L28" s="41"/>
      <c r="M28"/>
    </row>
    <row r="29" spans="1:34" s="35" customFormat="1" x14ac:dyDescent="0.2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19"/>
        <v>0.30249999999999999</v>
      </c>
      <c r="F29" s="5">
        <f>2.33/2</f>
        <v>1.165</v>
      </c>
      <c r="G29" s="5"/>
      <c r="H29" s="5">
        <v>0.26</v>
      </c>
      <c r="I29" s="4">
        <f t="shared" si="20"/>
        <v>1.7108000000000001</v>
      </c>
      <c r="J29" s="51">
        <f t="shared" si="21"/>
        <v>291.61428000000006</v>
      </c>
      <c r="K29" s="34"/>
      <c r="L29" s="41"/>
    </row>
    <row r="30" spans="1:34" ht="26.25" x14ac:dyDescent="0.4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 t="shared" si="6"/>
        <v>2.5399999999990541E-2</v>
      </c>
    </row>
    <row r="31" spans="1:34" s="35" customFormat="1" x14ac:dyDescent="0.2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19"/>
        <v>0.46050000000000008</v>
      </c>
      <c r="F31" s="5">
        <v>2.33</v>
      </c>
      <c r="G31" s="5"/>
      <c r="H31" s="5">
        <v>0.2</v>
      </c>
      <c r="I31" s="4">
        <f t="shared" si="20"/>
        <v>1.3160000000000001</v>
      </c>
      <c r="J31" s="51">
        <f t="shared" si="21"/>
        <v>420.80140000000006</v>
      </c>
      <c r="K31" s="36"/>
      <c r="L31" s="36"/>
    </row>
    <row r="32" spans="1:34" s="35" customFormat="1" x14ac:dyDescent="0.2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19"/>
        <v>0.16300000000000001</v>
      </c>
      <c r="F32" s="5">
        <v>2.33</v>
      </c>
      <c r="G32" s="5"/>
      <c r="H32" s="5">
        <v>0.3</v>
      </c>
      <c r="I32" s="4">
        <f t="shared" si="20"/>
        <v>1.974</v>
      </c>
      <c r="J32" s="51">
        <f t="shared" si="21"/>
        <v>244.17320000000001</v>
      </c>
      <c r="K32" s="36"/>
      <c r="L32" s="36"/>
    </row>
    <row r="33" spans="1:13" ht="26.25" x14ac:dyDescent="0.4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 t="shared" si="6"/>
        <v>-508.41940000000022</v>
      </c>
      <c r="M33" s="54" t="s">
        <v>138</v>
      </c>
    </row>
    <row r="34" spans="1:13" x14ac:dyDescent="0.2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19"/>
        <v>0.17100000000000001</v>
      </c>
      <c r="F34" s="21">
        <v>2.33</v>
      </c>
      <c r="G34" s="37">
        <v>0.3</v>
      </c>
      <c r="H34" s="38">
        <f>G34*B34</f>
        <v>0.3</v>
      </c>
      <c r="I34" s="4">
        <f t="shared" si="20"/>
        <v>1.974</v>
      </c>
      <c r="J34" s="51">
        <f t="shared" si="21"/>
        <v>249.482</v>
      </c>
      <c r="K34" s="36"/>
      <c r="L34" s="41"/>
    </row>
    <row r="35" spans="1:13" x14ac:dyDescent="0.2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19"/>
        <v>0.50250000000000006</v>
      </c>
      <c r="F35" s="4">
        <v>2.33</v>
      </c>
      <c r="G35" s="4">
        <v>0.3</v>
      </c>
      <c r="H35" s="38">
        <f>G35*B35</f>
        <v>0.3</v>
      </c>
      <c r="I35" s="4">
        <f t="shared" si="20"/>
        <v>1.974</v>
      </c>
      <c r="J35" s="51">
        <f t="shared" si="21"/>
        <v>469.46540000000005</v>
      </c>
      <c r="K35" s="36"/>
      <c r="L35" s="41"/>
    </row>
    <row r="36" spans="1:13" x14ac:dyDescent="0.25">
      <c r="A36" s="4" t="s">
        <v>99</v>
      </c>
      <c r="B36" s="4">
        <v>1</v>
      </c>
      <c r="C36" s="4">
        <f t="shared" ref="C36:C38" si="22">D36</f>
        <v>13.95</v>
      </c>
      <c r="D36" s="4">
        <v>13.95</v>
      </c>
      <c r="E36" s="4">
        <f t="shared" si="19"/>
        <v>0.69750000000000001</v>
      </c>
      <c r="F36" s="4">
        <v>0</v>
      </c>
      <c r="G36" s="4">
        <v>0.4</v>
      </c>
      <c r="H36" s="38">
        <f>G36*B36</f>
        <v>0.4</v>
      </c>
      <c r="I36" s="4">
        <f t="shared" si="20"/>
        <v>2.6320000000000001</v>
      </c>
      <c r="J36" s="51">
        <f t="shared" si="21"/>
        <v>546.03219999999999</v>
      </c>
      <c r="K36" s="36"/>
      <c r="L36" s="41"/>
    </row>
    <row r="37" spans="1:13" x14ac:dyDescent="0.25">
      <c r="A37" s="4" t="s">
        <v>100</v>
      </c>
      <c r="B37" s="4">
        <v>1</v>
      </c>
      <c r="C37" s="4">
        <f t="shared" si="22"/>
        <v>12.83</v>
      </c>
      <c r="D37" s="4">
        <v>12.83</v>
      </c>
      <c r="E37" s="4">
        <f t="shared" si="19"/>
        <v>0.64150000000000007</v>
      </c>
      <c r="F37" s="4">
        <v>0</v>
      </c>
      <c r="G37" s="4">
        <v>0.3</v>
      </c>
      <c r="H37" s="38">
        <f>G37*B37</f>
        <v>0.3</v>
      </c>
      <c r="I37" s="4">
        <f t="shared" si="20"/>
        <v>1.974</v>
      </c>
      <c r="J37" s="51">
        <f t="shared" si="21"/>
        <v>488.07780000000002</v>
      </c>
      <c r="K37" s="36"/>
      <c r="L37" s="41"/>
    </row>
    <row r="38" spans="1:13" x14ac:dyDescent="0.25">
      <c r="A38" s="5" t="s">
        <v>101</v>
      </c>
      <c r="B38" s="4">
        <v>1</v>
      </c>
      <c r="C38" s="4">
        <f t="shared" si="22"/>
        <v>9.0299999999999994</v>
      </c>
      <c r="D38" s="4">
        <v>9.0299999999999994</v>
      </c>
      <c r="E38" s="4">
        <f t="shared" si="19"/>
        <v>0.45150000000000001</v>
      </c>
      <c r="F38" s="4">
        <f>2.33/2</f>
        <v>1.165</v>
      </c>
      <c r="G38" s="4">
        <v>0.3</v>
      </c>
      <c r="H38" s="38">
        <f t="shared" ref="H38:H39" si="23">G38*B38</f>
        <v>0.3</v>
      </c>
      <c r="I38" s="4">
        <f t="shared" si="20"/>
        <v>1.974</v>
      </c>
      <c r="J38" s="51">
        <f t="shared" si="21"/>
        <v>398.80779999999999</v>
      </c>
      <c r="K38" s="36"/>
      <c r="L38" s="41"/>
    </row>
    <row r="39" spans="1:13" x14ac:dyDescent="0.25">
      <c r="A39" s="7" t="s">
        <v>103</v>
      </c>
      <c r="B39" s="4">
        <v>1</v>
      </c>
      <c r="C39" s="39">
        <v>4.2</v>
      </c>
      <c r="D39" s="39">
        <v>4.2</v>
      </c>
      <c r="E39" s="4">
        <f t="shared" si="19"/>
        <v>0.21000000000000002</v>
      </c>
      <c r="F39" s="4">
        <f>2.33/2</f>
        <v>1.165</v>
      </c>
      <c r="G39" s="4">
        <v>0.2</v>
      </c>
      <c r="H39" s="40">
        <f t="shared" si="23"/>
        <v>0.2</v>
      </c>
      <c r="I39" s="4">
        <f t="shared" si="20"/>
        <v>1.3160000000000001</v>
      </c>
      <c r="J39" s="51">
        <f t="shared" si="21"/>
        <v>217.75560000000002</v>
      </c>
      <c r="L39" s="41"/>
    </row>
    <row r="40" spans="1:13" x14ac:dyDescent="0.2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19"/>
        <v>0.2155</v>
      </c>
      <c r="F40" s="4"/>
      <c r="G40" s="4">
        <v>0.1</v>
      </c>
      <c r="H40" s="4">
        <f>G40*B40</f>
        <v>0.1</v>
      </c>
      <c r="I40" s="4">
        <f t="shared" si="20"/>
        <v>0.65800000000000003</v>
      </c>
      <c r="J40" s="51">
        <f t="shared" si="21"/>
        <v>163.79859999999999</v>
      </c>
      <c r="K40" s="36"/>
      <c r="L40" s="41"/>
    </row>
    <row r="41" spans="1:13" ht="26.25" x14ac:dyDescent="0.4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2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19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20"/>
        <v>1.3160000000000001</v>
      </c>
      <c r="J42" s="51">
        <f t="shared" si="21"/>
        <v>175.96459999999999</v>
      </c>
      <c r="K42" s="36"/>
      <c r="L42" s="41"/>
    </row>
    <row r="43" spans="1:13" x14ac:dyDescent="0.2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19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20"/>
        <v>1.3160000000000001</v>
      </c>
      <c r="J43" s="51">
        <f t="shared" si="21"/>
        <v>207.78579999999999</v>
      </c>
      <c r="K43" s="36"/>
      <c r="L43" s="41"/>
    </row>
    <row r="44" spans="1:13" x14ac:dyDescent="0.2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19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20"/>
        <v>1.974</v>
      </c>
      <c r="J44" s="51">
        <f t="shared" si="21"/>
        <v>249.482</v>
      </c>
      <c r="K44" s="36"/>
      <c r="L44" s="41"/>
    </row>
    <row r="45" spans="1:13" x14ac:dyDescent="0.2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19"/>
        <v>0.2155</v>
      </c>
      <c r="F45" s="4"/>
      <c r="G45" s="4">
        <v>0.1</v>
      </c>
      <c r="H45" s="4">
        <f>G45*B45</f>
        <v>0.1</v>
      </c>
      <c r="I45" s="4">
        <f t="shared" si="20"/>
        <v>0.65800000000000003</v>
      </c>
      <c r="J45" s="51">
        <f t="shared" ref="J45:J46" si="24">(D45+E45+F45+I45)*$C$3</f>
        <v>163.79859999999999</v>
      </c>
      <c r="K45" s="36"/>
      <c r="L45" s="41"/>
    </row>
    <row r="46" spans="1:13" x14ac:dyDescent="0.25">
      <c r="A46" s="48" t="s">
        <v>128</v>
      </c>
      <c r="B46" s="4">
        <v>1</v>
      </c>
      <c r="C46" s="4">
        <v>2.98</v>
      </c>
      <c r="D46" s="4">
        <f t="shared" ref="D46" si="25">B46*C46</f>
        <v>2.98</v>
      </c>
      <c r="E46" s="4">
        <f t="shared" si="19"/>
        <v>0.14899999999999999</v>
      </c>
      <c r="F46" s="4"/>
      <c r="G46" s="4">
        <v>7.0000000000000007E-2</v>
      </c>
      <c r="H46" s="4">
        <f t="shared" ref="H46" si="26">G46</f>
        <v>7.0000000000000007E-2</v>
      </c>
      <c r="I46" s="4">
        <f t="shared" si="20"/>
        <v>0.46060000000000006</v>
      </c>
      <c r="J46" s="51">
        <f t="shared" si="24"/>
        <v>113.43136</v>
      </c>
      <c r="K46" s="36"/>
      <c r="L46" s="41"/>
    </row>
    <row r="47" spans="1:13" ht="26.25" x14ac:dyDescent="0.4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 t="shared" si="6"/>
        <v>-0.13652000000047337</v>
      </c>
    </row>
    <row r="48" spans="1:13" x14ac:dyDescent="0.2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19"/>
        <v>0.6745000000000001</v>
      </c>
      <c r="F48" s="4">
        <v>2.33</v>
      </c>
      <c r="G48" s="4">
        <v>0.3</v>
      </c>
      <c r="H48" s="38">
        <f t="shared" ref="H48:H51" si="27">G48*B48</f>
        <v>0.3</v>
      </c>
      <c r="I48" s="4">
        <f t="shared" si="20"/>
        <v>1.974</v>
      </c>
      <c r="J48" s="51">
        <f t="shared" si="21"/>
        <v>583.60460000000012</v>
      </c>
      <c r="K48" s="36"/>
      <c r="L48" s="41"/>
    </row>
    <row r="49" spans="1:12" x14ac:dyDescent="0.2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19"/>
        <v>0.22799999999999998</v>
      </c>
      <c r="F49" s="21">
        <f>2.33/2</f>
        <v>1.165</v>
      </c>
      <c r="G49" s="37">
        <v>0.3</v>
      </c>
      <c r="H49" s="38">
        <f t="shared" si="27"/>
        <v>0.3</v>
      </c>
      <c r="I49" s="4">
        <f t="shared" si="20"/>
        <v>1.974</v>
      </c>
      <c r="J49" s="51">
        <f t="shared" si="21"/>
        <v>250.4932</v>
      </c>
      <c r="K49" s="36"/>
      <c r="L49" s="41"/>
    </row>
    <row r="50" spans="1:12" x14ac:dyDescent="0.2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19"/>
        <v>0.13950000000000001</v>
      </c>
      <c r="F50" s="4">
        <v>2.38</v>
      </c>
      <c r="G50" s="4">
        <v>0.3</v>
      </c>
      <c r="H50" s="38">
        <f t="shared" si="27"/>
        <v>0.3</v>
      </c>
      <c r="I50" s="4">
        <f t="shared" si="20"/>
        <v>1.974</v>
      </c>
      <c r="J50" s="51">
        <f t="shared" si="21"/>
        <v>230.15860000000001</v>
      </c>
      <c r="K50" s="36"/>
      <c r="L50" s="41"/>
    </row>
    <row r="51" spans="1:12" x14ac:dyDescent="0.2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19"/>
        <v>0.22799999999999998</v>
      </c>
      <c r="F51" s="4">
        <v>2.33</v>
      </c>
      <c r="G51" s="4">
        <v>0.2</v>
      </c>
      <c r="H51" s="38">
        <f t="shared" si="27"/>
        <v>0.2</v>
      </c>
      <c r="I51" s="4">
        <f t="shared" si="20"/>
        <v>1.3160000000000001</v>
      </c>
      <c r="J51" s="51">
        <f t="shared" si="21"/>
        <v>266.51439999999997</v>
      </c>
      <c r="K51" s="36"/>
      <c r="L51" s="41"/>
    </row>
    <row r="52" spans="1:12" x14ac:dyDescent="0.2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19"/>
        <v>0.27850000000000003</v>
      </c>
      <c r="F52" s="4">
        <f>2.33/4</f>
        <v>0.58250000000000002</v>
      </c>
      <c r="G52" s="4">
        <v>0.2</v>
      </c>
      <c r="H52" s="38">
        <f>G52*B52</f>
        <v>0.2</v>
      </c>
      <c r="I52" s="4">
        <f t="shared" si="20"/>
        <v>1.3160000000000001</v>
      </c>
      <c r="J52" s="51">
        <f t="shared" si="21"/>
        <v>244.80520000000004</v>
      </c>
      <c r="K52" s="36"/>
      <c r="L52" s="41"/>
    </row>
    <row r="53" spans="1:12" x14ac:dyDescent="0.2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19"/>
        <v>0.45599999999999996</v>
      </c>
      <c r="F53" s="4">
        <v>2.33</v>
      </c>
      <c r="G53" s="4">
        <v>0.47</v>
      </c>
      <c r="H53" s="38">
        <f t="shared" ref="H53:H54" si="28">G53*B53</f>
        <v>0.47</v>
      </c>
      <c r="I53" s="4">
        <f t="shared" si="20"/>
        <v>3.0926</v>
      </c>
      <c r="J53" s="51">
        <f t="shared" si="21"/>
        <v>473.95576</v>
      </c>
      <c r="K53" s="36"/>
      <c r="L53" s="41"/>
    </row>
    <row r="54" spans="1:12" x14ac:dyDescent="0.2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19"/>
        <v>0.45150000000000001</v>
      </c>
      <c r="F54" s="4">
        <f>2.33/2</f>
        <v>1.165</v>
      </c>
      <c r="G54" s="4">
        <v>0.3</v>
      </c>
      <c r="H54" s="38">
        <f t="shared" si="28"/>
        <v>0.3</v>
      </c>
      <c r="I54" s="4">
        <f t="shared" si="20"/>
        <v>1.974</v>
      </c>
      <c r="J54" s="51">
        <f t="shared" si="21"/>
        <v>398.80779999999999</v>
      </c>
      <c r="K54" s="36"/>
      <c r="L54" s="41"/>
    </row>
    <row r="55" spans="1:12" x14ac:dyDescent="0.25">
      <c r="A55" s="48" t="s">
        <v>128</v>
      </c>
      <c r="B55" s="4">
        <v>1</v>
      </c>
      <c r="C55" s="4">
        <v>2.98</v>
      </c>
      <c r="D55" s="4">
        <f t="shared" ref="D55:D56" si="29"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 t="shared" ref="H55:H56" si="30"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25">
      <c r="A56" s="48" t="s">
        <v>129</v>
      </c>
      <c r="B56" s="4">
        <v>1</v>
      </c>
      <c r="C56" s="4">
        <v>4.96</v>
      </c>
      <c r="D56" s="4">
        <f t="shared" si="29"/>
        <v>4.96</v>
      </c>
      <c r="E56" s="4">
        <f t="shared" si="19"/>
        <v>0.248</v>
      </c>
      <c r="F56" s="4">
        <v>0</v>
      </c>
      <c r="G56" s="4">
        <v>0.1</v>
      </c>
      <c r="H56" s="4">
        <f t="shared" si="30"/>
        <v>0.1</v>
      </c>
      <c r="I56" s="4">
        <f t="shared" si="20"/>
        <v>0.65800000000000003</v>
      </c>
      <c r="J56" s="51">
        <f t="shared" ref="J56" si="31">(D56+E56+F56+I56)*$C$3</f>
        <v>185.36560000000003</v>
      </c>
      <c r="K56" s="36"/>
      <c r="L56" s="41"/>
    </row>
    <row r="57" spans="1:12" ht="26.25" x14ac:dyDescent="0.4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 t="shared" si="6"/>
        <v>0.30898666666689678</v>
      </c>
    </row>
    <row r="58" spans="1:12" x14ac:dyDescent="0.25">
      <c r="A58" s="4" t="s">
        <v>110</v>
      </c>
      <c r="B58" s="4">
        <v>1</v>
      </c>
      <c r="C58" s="4">
        <v>12</v>
      </c>
      <c r="D58" s="4">
        <v>12</v>
      </c>
      <c r="E58" s="4">
        <f t="shared" si="19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20"/>
        <v>1.3160000000000001</v>
      </c>
      <c r="J58" s="51">
        <f t="shared" si="21"/>
        <v>476.55960000000005</v>
      </c>
      <c r="K58" s="36"/>
      <c r="L58" s="41"/>
    </row>
    <row r="59" spans="1:12" x14ac:dyDescent="0.2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19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20"/>
        <v>1.3160000000000001</v>
      </c>
      <c r="J59" s="51">
        <f t="shared" si="21"/>
        <v>171.3194</v>
      </c>
      <c r="K59" s="36"/>
      <c r="L59" s="41"/>
    </row>
    <row r="60" spans="1:12" x14ac:dyDescent="0.2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19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20"/>
        <v>1.3160000000000001</v>
      </c>
      <c r="J60" s="51">
        <f t="shared" si="21"/>
        <v>75.755733333333339</v>
      </c>
      <c r="K60" s="36"/>
      <c r="L60" s="41"/>
    </row>
    <row r="61" spans="1:12" x14ac:dyDescent="0.2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19"/>
        <v>0.39050000000000001</v>
      </c>
      <c r="F61" s="4">
        <v>0</v>
      </c>
      <c r="G61" s="4">
        <v>0.2</v>
      </c>
      <c r="H61" s="38">
        <f t="shared" ref="H61:H62" si="32">G61*B61</f>
        <v>0.2</v>
      </c>
      <c r="I61" s="4">
        <f t="shared" si="20"/>
        <v>1.3160000000000001</v>
      </c>
      <c r="J61" s="51">
        <f t="shared" si="21"/>
        <v>300.72140000000002</v>
      </c>
      <c r="K61" s="36"/>
      <c r="L61" s="41"/>
    </row>
    <row r="62" spans="1:12" x14ac:dyDescent="0.2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19"/>
        <v>6.5500000000000003E-2</v>
      </c>
      <c r="F62" s="4">
        <v>2.33</v>
      </c>
      <c r="G62" s="4">
        <v>0.2</v>
      </c>
      <c r="H62" s="38">
        <f t="shared" si="32"/>
        <v>0.2</v>
      </c>
      <c r="I62" s="4">
        <f t="shared" si="20"/>
        <v>1.3160000000000001</v>
      </c>
      <c r="J62" s="51">
        <f t="shared" si="21"/>
        <v>158.67940000000002</v>
      </c>
      <c r="K62" s="36"/>
      <c r="L62" s="41"/>
    </row>
    <row r="63" spans="1:12" x14ac:dyDescent="0.2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19"/>
        <v>0.69269999999999998</v>
      </c>
      <c r="F63" s="4"/>
      <c r="G63" s="4">
        <v>0.2</v>
      </c>
      <c r="H63" s="4">
        <f>G63</f>
        <v>0.2</v>
      </c>
      <c r="I63" s="4">
        <f t="shared" si="20"/>
        <v>1.3160000000000001</v>
      </c>
      <c r="J63" s="51">
        <f t="shared" si="21"/>
        <v>501.26132000000001</v>
      </c>
      <c r="K63" s="36"/>
      <c r="L63" s="41"/>
    </row>
    <row r="64" spans="1:12" x14ac:dyDescent="0.2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19"/>
        <v>0.43099999999999999</v>
      </c>
      <c r="F64" s="4"/>
      <c r="G64" s="4">
        <v>0.1</v>
      </c>
      <c r="H64" s="4">
        <f>G64*B64</f>
        <v>0.2</v>
      </c>
      <c r="I64" s="4">
        <f t="shared" si="20"/>
        <v>1.3160000000000001</v>
      </c>
      <c r="J64" s="51">
        <f t="shared" si="21"/>
        <v>327.59719999999999</v>
      </c>
      <c r="K64" s="36"/>
      <c r="L64" s="41"/>
    </row>
    <row r="65" spans="1:34" x14ac:dyDescent="0.25">
      <c r="A65" s="48" t="s">
        <v>128</v>
      </c>
      <c r="B65" s="4">
        <v>1</v>
      </c>
      <c r="C65" s="4">
        <v>2.98</v>
      </c>
      <c r="D65" s="4">
        <f t="shared" ref="D65:D66" si="33">B65*C65</f>
        <v>2.98</v>
      </c>
      <c r="E65" s="4">
        <f t="shared" si="19"/>
        <v>0.14899999999999999</v>
      </c>
      <c r="F65" s="4"/>
      <c r="G65" s="4">
        <v>7.0000000000000007E-2</v>
      </c>
      <c r="H65" s="4">
        <f t="shared" ref="H65:H66" si="34">G65</f>
        <v>7.0000000000000007E-2</v>
      </c>
      <c r="I65" s="4">
        <f t="shared" si="20"/>
        <v>0.46060000000000006</v>
      </c>
      <c r="J65" s="51">
        <f t="shared" si="21"/>
        <v>113.43136</v>
      </c>
      <c r="K65" s="36"/>
      <c r="L65" s="41"/>
    </row>
    <row r="66" spans="1:34" x14ac:dyDescent="0.25">
      <c r="A66" s="48" t="s">
        <v>129</v>
      </c>
      <c r="B66" s="4">
        <v>1</v>
      </c>
      <c r="C66" s="4">
        <v>4.96</v>
      </c>
      <c r="D66" s="4">
        <f t="shared" si="33"/>
        <v>4.96</v>
      </c>
      <c r="E66" s="4">
        <f t="shared" si="19"/>
        <v>0.248</v>
      </c>
      <c r="F66" s="4"/>
      <c r="G66" s="4">
        <v>0.1</v>
      </c>
      <c r="H66" s="4">
        <f t="shared" si="34"/>
        <v>0.1</v>
      </c>
      <c r="I66" s="4">
        <f t="shared" si="20"/>
        <v>0.65800000000000003</v>
      </c>
      <c r="J66" s="51">
        <f t="shared" si="21"/>
        <v>185.36560000000003</v>
      </c>
      <c r="K66" s="36"/>
      <c r="L66" s="41"/>
    </row>
    <row r="67" spans="1:34" ht="26.25" x14ac:dyDescent="0.4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 t="shared" si="6"/>
        <v>-0.28122666666666873</v>
      </c>
    </row>
    <row r="68" spans="1:34" x14ac:dyDescent="0.25">
      <c r="A68" s="44" t="s">
        <v>116</v>
      </c>
      <c r="B68" s="4">
        <v>1</v>
      </c>
      <c r="C68" s="39">
        <v>4.2</v>
      </c>
      <c r="D68" s="39">
        <v>4.2</v>
      </c>
      <c r="E68" s="4">
        <f t="shared" si="19"/>
        <v>0.21000000000000002</v>
      </c>
      <c r="F68" s="4">
        <f>2.33/3</f>
        <v>0.77666666666666673</v>
      </c>
      <c r="G68" s="4">
        <v>0.2</v>
      </c>
      <c r="H68" s="40">
        <f t="shared" ref="H68" si="35">G68*B68</f>
        <v>0.2</v>
      </c>
      <c r="I68" s="4">
        <f t="shared" si="20"/>
        <v>1.3160000000000001</v>
      </c>
      <c r="J68" s="51">
        <f t="shared" si="21"/>
        <v>205.48426666666666</v>
      </c>
      <c r="K68" s="45"/>
      <c r="L68" s="41"/>
    </row>
    <row r="69" spans="1:34" x14ac:dyDescent="0.25">
      <c r="A69" s="48" t="s">
        <v>128</v>
      </c>
      <c r="B69" s="4">
        <v>1</v>
      </c>
      <c r="C69" s="4">
        <v>2.98</v>
      </c>
      <c r="D69" s="4">
        <f t="shared" ref="D69:D70" si="36">B69*C69</f>
        <v>2.98</v>
      </c>
      <c r="E69" s="4">
        <f t="shared" si="19"/>
        <v>0.14899999999999999</v>
      </c>
      <c r="F69" s="4"/>
      <c r="G69" s="4">
        <v>7.0000000000000007E-2</v>
      </c>
      <c r="H69" s="4">
        <f t="shared" ref="H69:H70" si="37">G69</f>
        <v>7.0000000000000007E-2</v>
      </c>
      <c r="I69" s="4">
        <f t="shared" si="20"/>
        <v>0.46060000000000006</v>
      </c>
      <c r="J69" s="51">
        <f t="shared" si="21"/>
        <v>113.43136</v>
      </c>
      <c r="K69" s="36"/>
      <c r="L69" s="41"/>
    </row>
    <row r="70" spans="1:34" x14ac:dyDescent="0.25">
      <c r="A70" s="48" t="s">
        <v>129</v>
      </c>
      <c r="B70" s="4">
        <v>1</v>
      </c>
      <c r="C70" s="4">
        <v>4.96</v>
      </c>
      <c r="D70" s="4">
        <f t="shared" si="36"/>
        <v>4.96</v>
      </c>
      <c r="E70" s="4">
        <f t="shared" si="19"/>
        <v>0.248</v>
      </c>
      <c r="F70" s="4"/>
      <c r="G70" s="4">
        <v>0.1</v>
      </c>
      <c r="H70" s="4">
        <f t="shared" si="37"/>
        <v>0.1</v>
      </c>
      <c r="I70" s="4">
        <f t="shared" si="20"/>
        <v>0.65800000000000003</v>
      </c>
      <c r="J70" s="51">
        <f t="shared" si="21"/>
        <v>185.36560000000003</v>
      </c>
      <c r="K70" s="36"/>
      <c r="L70" s="41"/>
    </row>
    <row r="71" spans="1:34" s="31" customFormat="1" ht="26.25" x14ac:dyDescent="0.4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2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 t="shared" ref="J73" si="38">(D73+E73+F73+I73)*$C$3</f>
        <v>163.79859999999999</v>
      </c>
      <c r="K73" s="36"/>
      <c r="L73" s="41"/>
    </row>
    <row r="74" spans="1:34" ht="26.25" x14ac:dyDescent="0.4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2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 t="shared" ref="E75" si="39">D75*0.05</f>
        <v>0.2155</v>
      </c>
      <c r="F75" s="4"/>
      <c r="G75" s="4">
        <v>0.1</v>
      </c>
      <c r="H75" s="4">
        <f>G75*B75</f>
        <v>0.1</v>
      </c>
      <c r="I75" s="4">
        <f t="shared" ref="I75" si="40">H75*$C$2</f>
        <v>0.65800000000000003</v>
      </c>
      <c r="J75" s="51">
        <f t="shared" ref="J75" si="41">(D75+E75+F75+I75)*$C$3</f>
        <v>163.79859999999999</v>
      </c>
      <c r="K75" s="36"/>
    </row>
    <row r="76" spans="1:34" ht="26.25" x14ac:dyDescent="0.4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2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 t="shared" ref="J77" si="42">(D77+E77+F77+I77)*$C$3</f>
        <v>163.79859999999999</v>
      </c>
      <c r="K77" s="36"/>
    </row>
    <row r="78" spans="1:34" ht="26.25" x14ac:dyDescent="0.4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2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 t="shared" ref="J79" si="43">(D79+E79+F79+I79)*$C$3</f>
        <v>327.59719999999999</v>
      </c>
      <c r="K79" s="36"/>
    </row>
    <row r="80" spans="1:34" ht="26.25" x14ac:dyDescent="0.4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25">
      <c r="A81" s="48" t="s">
        <v>128</v>
      </c>
      <c r="B81" s="4">
        <v>1</v>
      </c>
      <c r="C81" s="4">
        <v>2.98</v>
      </c>
      <c r="D81" s="4">
        <f t="shared" ref="D81" si="44"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 t="shared" ref="H81" si="45"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.25" x14ac:dyDescent="0.4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25">
      <c r="A83" s="48" t="s">
        <v>128</v>
      </c>
      <c r="B83" s="4">
        <v>1</v>
      </c>
      <c r="C83" s="4">
        <v>2.98</v>
      </c>
      <c r="D83" s="4">
        <f t="shared" ref="D83" si="46"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 t="shared" ref="H83" si="47"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.25" x14ac:dyDescent="0.4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2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19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20"/>
        <v>1.7108000000000001</v>
      </c>
      <c r="J85" s="51">
        <f t="shared" si="21"/>
        <v>291.61428000000006</v>
      </c>
      <c r="K85" s="34"/>
      <c r="L85" s="41"/>
    </row>
    <row r="86" spans="1:34" ht="26.25" x14ac:dyDescent="0.4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 t="shared" si="6"/>
        <v>0.19479999999995812</v>
      </c>
    </row>
    <row r="87" spans="1:34" x14ac:dyDescent="0.2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19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20"/>
        <v>1.3160000000000001</v>
      </c>
      <c r="J87" s="51">
        <f t="shared" si="21"/>
        <v>244.80520000000004</v>
      </c>
      <c r="K87" s="36"/>
      <c r="L87" s="41"/>
    </row>
    <row r="88" spans="1:34" ht="26.25" x14ac:dyDescent="0.4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 t="shared" si="6"/>
        <v>-9.8133333333350947E-2</v>
      </c>
    </row>
    <row r="89" spans="1:34" x14ac:dyDescent="0.2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19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20"/>
        <v>6.58</v>
      </c>
      <c r="J89" s="51">
        <f t="shared" si="21"/>
        <v>242.09813333333335</v>
      </c>
      <c r="K89" s="36"/>
      <c r="L89" s="41"/>
    </row>
    <row r="90" spans="1:34" ht="26.25" x14ac:dyDescent="0.4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48">K90-J90</f>
        <v>0.43039999999996326</v>
      </c>
    </row>
    <row r="91" spans="1:34" x14ac:dyDescent="0.25">
      <c r="A91" s="44" t="s">
        <v>116</v>
      </c>
      <c r="B91" s="4">
        <v>1</v>
      </c>
      <c r="C91" s="39">
        <v>4.2</v>
      </c>
      <c r="D91" s="39">
        <v>4.2</v>
      </c>
      <c r="E91" s="4">
        <f t="shared" si="19"/>
        <v>0.21000000000000002</v>
      </c>
      <c r="F91" s="4">
        <v>2.33</v>
      </c>
      <c r="G91" s="4">
        <v>0.2</v>
      </c>
      <c r="H91" s="40">
        <f t="shared" ref="H91" si="49">G91*B91</f>
        <v>0.2</v>
      </c>
      <c r="I91" s="4">
        <f t="shared" si="20"/>
        <v>1.3160000000000001</v>
      </c>
      <c r="J91" s="51">
        <f t="shared" si="21"/>
        <v>254.56960000000004</v>
      </c>
      <c r="K91" s="45"/>
      <c r="L91" s="41"/>
    </row>
    <row r="92" spans="1:34" s="31" customFormat="1" ht="26.25" x14ac:dyDescent="0.4">
      <c r="A92" s="31" t="s">
        <v>160</v>
      </c>
      <c r="J92" s="53">
        <f>J93</f>
        <v>814.70330000000001</v>
      </c>
      <c r="K92" s="31">
        <v>815</v>
      </c>
      <c r="L92" s="10">
        <f t="shared" si="48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19"/>
        <v>1.02275</v>
      </c>
      <c r="F93" s="4">
        <v>2.33</v>
      </c>
      <c r="G93" s="4">
        <v>0.3</v>
      </c>
      <c r="H93" s="4">
        <f>0.3*B93</f>
        <v>0.3</v>
      </c>
      <c r="I93" s="4">
        <f t="shared" si="20"/>
        <v>1.974</v>
      </c>
      <c r="J93" s="51">
        <f t="shared" si="21"/>
        <v>814.70330000000001</v>
      </c>
      <c r="L93" s="41"/>
    </row>
    <row r="94" spans="1:34" s="31" customFormat="1" ht="26.25" x14ac:dyDescent="0.4">
      <c r="A94" s="31" t="s">
        <v>23</v>
      </c>
      <c r="J94" s="53">
        <f>J95</f>
        <v>501.26132000000001</v>
      </c>
      <c r="K94" s="31">
        <v>501</v>
      </c>
      <c r="L94" s="10">
        <f t="shared" si="48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19"/>
        <v>0.69269999999999998</v>
      </c>
      <c r="F95">
        <v>0</v>
      </c>
      <c r="G95">
        <v>0.2</v>
      </c>
      <c r="H95">
        <f>G95</f>
        <v>0.2</v>
      </c>
      <c r="I95" s="4">
        <f t="shared" si="20"/>
        <v>1.3160000000000001</v>
      </c>
      <c r="J95" s="51">
        <f t="shared" si="21"/>
        <v>501.26132000000001</v>
      </c>
      <c r="K95" s="41"/>
      <c r="L95" s="41"/>
    </row>
    <row r="96" spans="1:34" s="31" customFormat="1" ht="26.25" x14ac:dyDescent="0.4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48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19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20"/>
        <v>1.974</v>
      </c>
      <c r="J97" s="51">
        <f t="shared" si="21"/>
        <v>613.40340000000003</v>
      </c>
      <c r="K97" s="36"/>
      <c r="L97" s="36"/>
    </row>
    <row r="98" spans="1:34" s="31" customFormat="1" ht="26.25" x14ac:dyDescent="0.4">
      <c r="A98" s="31" t="s">
        <v>136</v>
      </c>
      <c r="J98" s="53">
        <f>J99</f>
        <v>250.4932</v>
      </c>
      <c r="K98" s="31">
        <v>250</v>
      </c>
      <c r="L98" s="10">
        <f t="shared" si="48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 t="shared" ref="E99" si="50">D99*0.05</f>
        <v>0.22799999999999998</v>
      </c>
      <c r="F99" s="21">
        <f>2.33/2</f>
        <v>1.165</v>
      </c>
      <c r="G99" s="37">
        <v>0.3</v>
      </c>
      <c r="H99" s="38">
        <f t="shared" ref="H99" si="51">G99*B99</f>
        <v>0.3</v>
      </c>
      <c r="I99" s="4">
        <f t="shared" ref="I99" si="52">H99*$C$2</f>
        <v>1.974</v>
      </c>
      <c r="J99" s="51">
        <f t="shared" ref="J99" si="53"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18" customHeight="1" x14ac:dyDescent="0.3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35">
      <c r="A2" s="55" t="s">
        <v>14</v>
      </c>
      <c r="B2" s="4"/>
      <c r="C2" s="16">
        <v>6720</v>
      </c>
      <c r="D2" s="30" t="s">
        <v>141</v>
      </c>
    </row>
    <row r="3" spans="1:12" ht="18.75" x14ac:dyDescent="0.3">
      <c r="A3" s="55"/>
      <c r="B3" s="4"/>
      <c r="C3" s="16"/>
    </row>
    <row r="4" spans="1:12" ht="18.75" x14ac:dyDescent="0.3">
      <c r="A4" s="55" t="s">
        <v>12</v>
      </c>
      <c r="B4" s="4"/>
      <c r="C4" s="16">
        <v>2.9000000000000001E-2</v>
      </c>
    </row>
    <row r="5" spans="1:12" ht="21" customHeight="1" x14ac:dyDescent="0.45">
      <c r="A5" s="55"/>
      <c r="B5" s="4"/>
      <c r="C5" s="13"/>
    </row>
    <row r="6" spans="1:12" ht="37.5" x14ac:dyDescent="0.3">
      <c r="A6" s="56" t="s">
        <v>18</v>
      </c>
      <c r="C6" s="19"/>
    </row>
    <row r="7" spans="1:12" ht="25.5" customHeight="1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.25" x14ac:dyDescent="0.4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25">
      <c r="A9" s="62" t="s">
        <v>155</v>
      </c>
      <c r="B9" s="4">
        <v>1</v>
      </c>
      <c r="C9" s="4">
        <f>16000/2</f>
        <v>8000</v>
      </c>
      <c r="D9" s="4">
        <f t="shared" ref="D9" si="1"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 t="shared" ref="H9" si="2"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.25" x14ac:dyDescent="0.4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25">
      <c r="A11" s="62" t="s">
        <v>155</v>
      </c>
      <c r="B11" s="4">
        <v>1</v>
      </c>
      <c r="C11" s="4">
        <f>16000/2</f>
        <v>8000</v>
      </c>
      <c r="D11" s="4">
        <f t="shared" ref="D11" si="3">B11*C11</f>
        <v>8000</v>
      </c>
      <c r="E11" s="4">
        <f t="shared" ref="E11" si="4">D11*0.05</f>
        <v>400</v>
      </c>
      <c r="F11" s="4">
        <f>2500/8</f>
        <v>312.5</v>
      </c>
      <c r="G11" s="4">
        <f>0.2/2</f>
        <v>0.1</v>
      </c>
      <c r="H11" s="4">
        <f t="shared" ref="H11" si="5">G11</f>
        <v>0.1</v>
      </c>
      <c r="I11" s="4">
        <f t="shared" ref="I11" si="6">H11*$C$2</f>
        <v>672</v>
      </c>
      <c r="J11" s="51">
        <f t="shared" ref="J11" si="7">(D11+E11+F11+I11)*$C$4</f>
        <v>272.15050000000002</v>
      </c>
      <c r="K11" s="36"/>
      <c r="L11" s="41"/>
    </row>
    <row r="12" spans="1:12" ht="26.25" x14ac:dyDescent="0.4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25">
      <c r="A13" s="62" t="s">
        <v>102</v>
      </c>
      <c r="B13" s="5">
        <v>1</v>
      </c>
      <c r="C13" s="4">
        <f>11900/3</f>
        <v>3966.6666666666665</v>
      </c>
      <c r="D13" s="4">
        <f t="shared" ref="D13" si="8">B13*C13</f>
        <v>3966.6666666666665</v>
      </c>
      <c r="E13" s="4">
        <f t="shared" ref="E13" si="9"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.25" x14ac:dyDescent="0.4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25">
      <c r="A15" s="62" t="s">
        <v>102</v>
      </c>
      <c r="B15" s="5">
        <v>1</v>
      </c>
      <c r="C15" s="4">
        <f>11900/3</f>
        <v>3966.6666666666665</v>
      </c>
      <c r="D15" s="4">
        <f t="shared" ref="D15" si="10">B15*C15</f>
        <v>3966.6666666666665</v>
      </c>
      <c r="E15" s="4">
        <f t="shared" ref="E15" si="11"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.25" x14ac:dyDescent="0.4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 t="shared" ref="L16:L72" si="12">K16-J16</f>
        <v>3.0853999999999928</v>
      </c>
    </row>
    <row r="17" spans="1:34" x14ac:dyDescent="0.25">
      <c r="A17" s="62" t="s">
        <v>102</v>
      </c>
      <c r="B17" s="5">
        <v>1</v>
      </c>
      <c r="C17" s="4">
        <f>11900/3</f>
        <v>3966.6666666666665</v>
      </c>
      <c r="D17" s="4">
        <f t="shared" ref="D17" si="13">B17*C17</f>
        <v>3966.6666666666665</v>
      </c>
      <c r="E17" s="4">
        <f t="shared" ref="E17" si="14"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.25" x14ac:dyDescent="0.4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 t="shared" si="12"/>
        <v>4.1119999999999948</v>
      </c>
    </row>
    <row r="19" spans="1:34" s="35" customFormat="1" x14ac:dyDescent="0.25">
      <c r="A19" s="64" t="s">
        <v>129</v>
      </c>
      <c r="B19">
        <v>1</v>
      </c>
      <c r="C19">
        <f>16000/3</f>
        <v>5333.333333333333</v>
      </c>
      <c r="D19" s="44">
        <f t="shared" ref="D19" si="15">B19*C19</f>
        <v>5333.333333333333</v>
      </c>
      <c r="E19" s="44">
        <f t="shared" ref="E19" si="16">D19*0.05</f>
        <v>266.66666666666669</v>
      </c>
      <c r="F19" s="4">
        <v>0</v>
      </c>
      <c r="G19" s="4">
        <v>0.1</v>
      </c>
      <c r="H19" s="4">
        <f t="shared" ref="H19" si="17"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.25" x14ac:dyDescent="0.4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 t="shared" si="12"/>
        <v>-53.888000000000005</v>
      </c>
    </row>
    <row r="21" spans="1:34" s="35" customFormat="1" x14ac:dyDescent="0.25">
      <c r="A21" s="64" t="s">
        <v>129</v>
      </c>
      <c r="B21">
        <v>1</v>
      </c>
      <c r="C21">
        <f>16000/3</f>
        <v>5333.333333333333</v>
      </c>
      <c r="D21" s="44">
        <f t="shared" ref="D21" si="18">B21*C21</f>
        <v>5333.333333333333</v>
      </c>
      <c r="E21" s="44">
        <f t="shared" ref="E21" si="19">D21*0.05</f>
        <v>266.66666666666669</v>
      </c>
      <c r="F21" s="4">
        <v>0</v>
      </c>
      <c r="G21" s="4">
        <v>0.1</v>
      </c>
      <c r="H21" s="4">
        <f t="shared" ref="H21" si="20"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.25" x14ac:dyDescent="0.4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 t="shared" si="12"/>
        <v>18.282799999999952</v>
      </c>
    </row>
    <row r="23" spans="1:34" x14ac:dyDescent="0.25">
      <c r="A23" s="62" t="s">
        <v>102</v>
      </c>
      <c r="B23" s="66">
        <v>2</v>
      </c>
      <c r="C23" s="4">
        <f>11900/3</f>
        <v>3966.6666666666665</v>
      </c>
      <c r="D23" s="4">
        <f t="shared" ref="D23:D24" si="21">B23*C23</f>
        <v>7933.333333333333</v>
      </c>
      <c r="E23" s="4">
        <f t="shared" ref="E23:E24" si="22"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25">
      <c r="A24" s="64" t="s">
        <v>129</v>
      </c>
      <c r="B24">
        <v>1</v>
      </c>
      <c r="C24">
        <f>16000/3</f>
        <v>5333.333333333333</v>
      </c>
      <c r="D24" s="44">
        <f t="shared" si="21"/>
        <v>5333.333333333333</v>
      </c>
      <c r="E24" s="44">
        <f t="shared" si="22"/>
        <v>266.66666666666669</v>
      </c>
      <c r="F24" s="4">
        <v>0</v>
      </c>
      <c r="G24" s="4">
        <v>0.1</v>
      </c>
      <c r="H24" s="4">
        <f t="shared" ref="H24" si="23"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.25" x14ac:dyDescent="0.4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25">
      <c r="A26" s="62" t="s">
        <v>102</v>
      </c>
      <c r="B26" s="4">
        <v>1</v>
      </c>
      <c r="C26" s="4">
        <f>11900/3</f>
        <v>3966.6666666666665</v>
      </c>
      <c r="D26" s="4">
        <f t="shared" ref="D26" si="24">B26*C26</f>
        <v>3966.6666666666665</v>
      </c>
      <c r="E26" s="4">
        <f t="shared" ref="E26" si="25">D26*0.05</f>
        <v>198.33333333333334</v>
      </c>
      <c r="F26" s="4">
        <v>0</v>
      </c>
      <c r="G26" s="4">
        <f>0.51/3</f>
        <v>0.17</v>
      </c>
      <c r="H26" s="4">
        <f t="shared" ref="H26" si="26"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.25" x14ac:dyDescent="0.4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 t="shared" si="12"/>
        <v>17.718899999999962</v>
      </c>
    </row>
    <row r="28" spans="1:34" x14ac:dyDescent="0.2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 t="shared" ref="E28" si="27">D28*0.05</f>
        <v>222.5</v>
      </c>
      <c r="F28" s="4">
        <v>0</v>
      </c>
      <c r="G28" s="4">
        <v>0.2</v>
      </c>
      <c r="H28" s="40">
        <f t="shared" ref="H28" si="28">G28*B28</f>
        <v>0.2</v>
      </c>
      <c r="I28" s="4">
        <f t="shared" ref="I28" si="29">H28*$C$2</f>
        <v>1344</v>
      </c>
      <c r="J28" s="51">
        <f t="shared" ref="J28" si="30">(D28+E28+F28+I28)*$C$4</f>
        <v>174.4785</v>
      </c>
      <c r="K28" s="45"/>
      <c r="L28" s="41"/>
    </row>
    <row r="29" spans="1:34" x14ac:dyDescent="0.25">
      <c r="A29" s="62" t="s">
        <v>102</v>
      </c>
      <c r="B29" s="4">
        <v>1</v>
      </c>
      <c r="C29" s="4">
        <f>11900/3</f>
        <v>3966.6666666666665</v>
      </c>
      <c r="D29" s="4">
        <f t="shared" ref="D29:D30" si="31">B29*C29</f>
        <v>3966.6666666666665</v>
      </c>
      <c r="E29" s="4">
        <f t="shared" ref="E29:E30" si="32">D29*0.05</f>
        <v>198.33333333333334</v>
      </c>
      <c r="F29" s="4">
        <v>0</v>
      </c>
      <c r="G29" s="4">
        <f>0.51/3</f>
        <v>0.17</v>
      </c>
      <c r="H29" s="4">
        <f t="shared" ref="H29:H30" si="33"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25">
      <c r="A30" s="64" t="s">
        <v>129</v>
      </c>
      <c r="B30">
        <v>1</v>
      </c>
      <c r="C30">
        <f>16000/3</f>
        <v>5333.333333333333</v>
      </c>
      <c r="D30" s="44">
        <f t="shared" si="31"/>
        <v>5333.333333333333</v>
      </c>
      <c r="E30" s="44">
        <f t="shared" si="32"/>
        <v>266.66666666666669</v>
      </c>
      <c r="F30" s="4">
        <v>0</v>
      </c>
      <c r="G30" s="4">
        <v>0.1</v>
      </c>
      <c r="H30" s="4">
        <f t="shared" si="33"/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.25" x14ac:dyDescent="0.4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25">
      <c r="A32" s="5" t="s">
        <v>176</v>
      </c>
      <c r="B32" s="5">
        <v>1</v>
      </c>
      <c r="C32" s="5">
        <v>14500</v>
      </c>
      <c r="D32" s="4">
        <f t="shared" ref="D32" si="34"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.25" x14ac:dyDescent="0.4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 t="shared" si="12"/>
        <v>119.13619999999992</v>
      </c>
      <c r="AA33" t="s">
        <v>90</v>
      </c>
    </row>
    <row r="34" spans="1:27" s="35" customFormat="1" x14ac:dyDescent="0.25">
      <c r="A34" s="4" t="s">
        <v>127</v>
      </c>
      <c r="B34" s="4">
        <v>1</v>
      </c>
      <c r="C34" s="4">
        <v>9900</v>
      </c>
      <c r="D34" s="4">
        <f t="shared" ref="D34:D35" si="35">B34*C34</f>
        <v>9900</v>
      </c>
      <c r="E34" s="4">
        <f>D34*0.05</f>
        <v>495</v>
      </c>
      <c r="F34" s="4">
        <v>0</v>
      </c>
      <c r="G34" s="4">
        <v>0.39</v>
      </c>
      <c r="H34" s="4">
        <f t="shared" ref="H34:H38" si="36">G34*B34</f>
        <v>0.39</v>
      </c>
      <c r="I34" s="4">
        <f t="shared" ref="I34:I92" si="37">H34*$C$2</f>
        <v>2620.8000000000002</v>
      </c>
      <c r="J34" s="51">
        <f t="shared" ref="J34:J92" si="38">(D34+E34+F34+I34)*$C$4</f>
        <v>377.45819999999998</v>
      </c>
      <c r="K34" s="34"/>
      <c r="L34" s="41"/>
      <c r="M34"/>
      <c r="N34" s="34"/>
    </row>
    <row r="35" spans="1:27" s="35" customFormat="1" x14ac:dyDescent="0.25">
      <c r="A35" s="4" t="s">
        <v>172</v>
      </c>
      <c r="B35" s="4">
        <v>1</v>
      </c>
      <c r="C35" s="4">
        <v>3300</v>
      </c>
      <c r="D35" s="4">
        <f t="shared" si="35"/>
        <v>3300</v>
      </c>
      <c r="E35" s="4">
        <f>D35*0.05</f>
        <v>165</v>
      </c>
      <c r="F35" s="4">
        <v>0</v>
      </c>
      <c r="G35" s="4">
        <v>0.34</v>
      </c>
      <c r="H35" s="4">
        <f t="shared" si="36"/>
        <v>0.34</v>
      </c>
      <c r="I35" s="4">
        <f t="shared" si="37"/>
        <v>2284.8000000000002</v>
      </c>
      <c r="J35" s="51">
        <f t="shared" si="38"/>
        <v>166.74420000000001</v>
      </c>
      <c r="K35" s="34"/>
      <c r="L35" s="41"/>
      <c r="M35"/>
    </row>
    <row r="36" spans="1:27" s="35" customFormat="1" x14ac:dyDescent="0.25">
      <c r="A36" s="4" t="s">
        <v>173</v>
      </c>
      <c r="B36" s="4">
        <v>1</v>
      </c>
      <c r="C36" s="4">
        <v>2000</v>
      </c>
      <c r="D36" s="4">
        <f t="shared" ref="D36:D39" si="39">B36*C36</f>
        <v>2000</v>
      </c>
      <c r="E36" s="4">
        <f t="shared" ref="E36:E39" si="40">D36*0.05</f>
        <v>100</v>
      </c>
      <c r="F36" s="4">
        <v>0</v>
      </c>
      <c r="G36" s="4">
        <v>0.4</v>
      </c>
      <c r="H36" s="4">
        <f t="shared" si="36"/>
        <v>0.4</v>
      </c>
      <c r="I36" s="4">
        <f t="shared" ref="I36:I38" si="41">H36*$C$2</f>
        <v>2688</v>
      </c>
      <c r="J36" s="51">
        <f t="shared" ref="J36:J38" si="42">(D36+E36+F36+I36)*$C$4</f>
        <v>138.852</v>
      </c>
      <c r="K36" s="34"/>
      <c r="L36" s="41"/>
      <c r="M36"/>
    </row>
    <row r="37" spans="1:27" s="35" customFormat="1" x14ac:dyDescent="0.25">
      <c r="A37" s="4" t="s">
        <v>173</v>
      </c>
      <c r="B37" s="4">
        <v>1</v>
      </c>
      <c r="C37" s="4">
        <v>2000</v>
      </c>
      <c r="D37" s="4">
        <f t="shared" si="39"/>
        <v>2000</v>
      </c>
      <c r="E37" s="4">
        <f t="shared" si="40"/>
        <v>100</v>
      </c>
      <c r="F37" s="4">
        <v>0</v>
      </c>
      <c r="G37" s="4">
        <v>0.4</v>
      </c>
      <c r="H37" s="4">
        <f t="shared" si="36"/>
        <v>0.4</v>
      </c>
      <c r="I37" s="4">
        <f t="shared" si="41"/>
        <v>2688</v>
      </c>
      <c r="J37" s="51">
        <f t="shared" si="42"/>
        <v>138.852</v>
      </c>
      <c r="K37" s="34"/>
      <c r="L37" s="41"/>
      <c r="M37"/>
    </row>
    <row r="38" spans="1:27" s="35" customFormat="1" x14ac:dyDescent="0.25">
      <c r="A38" s="4" t="s">
        <v>174</v>
      </c>
      <c r="B38" s="4">
        <v>1</v>
      </c>
      <c r="C38" s="4">
        <v>9900</v>
      </c>
      <c r="D38" s="4">
        <f t="shared" si="39"/>
        <v>9900</v>
      </c>
      <c r="E38" s="4">
        <f t="shared" si="40"/>
        <v>495</v>
      </c>
      <c r="F38" s="4">
        <v>0</v>
      </c>
      <c r="G38" s="4">
        <v>1.03</v>
      </c>
      <c r="H38" s="4">
        <f t="shared" si="36"/>
        <v>1.03</v>
      </c>
      <c r="I38" s="4">
        <f t="shared" si="41"/>
        <v>6921.6</v>
      </c>
      <c r="J38" s="51">
        <f t="shared" si="42"/>
        <v>502.1814</v>
      </c>
      <c r="K38" s="34"/>
      <c r="L38" s="41"/>
      <c r="M38"/>
    </row>
    <row r="39" spans="1:27" s="35" customFormat="1" x14ac:dyDescent="0.25">
      <c r="A39" s="64" t="s">
        <v>129</v>
      </c>
      <c r="B39" s="66">
        <v>2</v>
      </c>
      <c r="C39" s="4">
        <f>16000/3</f>
        <v>5333.333333333333</v>
      </c>
      <c r="D39" s="44">
        <f t="shared" si="39"/>
        <v>10666.666666666666</v>
      </c>
      <c r="E39" s="44">
        <f t="shared" si="40"/>
        <v>533.33333333333337</v>
      </c>
      <c r="F39" s="4">
        <v>0</v>
      </c>
      <c r="G39" s="4">
        <v>0.1</v>
      </c>
      <c r="H39" s="4">
        <f>G39*B39</f>
        <v>0.2</v>
      </c>
      <c r="I39" s="4">
        <f>H39*$C$2</f>
        <v>1344</v>
      </c>
      <c r="J39" s="51">
        <f>(D39+E39+F39+I39)*$C$4</f>
        <v>363.77600000000001</v>
      </c>
      <c r="K39" s="34"/>
      <c r="L39" s="41"/>
    </row>
    <row r="40" spans="1:27" ht="26.25" x14ac:dyDescent="0.4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25">
      <c r="A41" s="4" t="s">
        <v>170</v>
      </c>
      <c r="B41" s="66">
        <v>2</v>
      </c>
      <c r="C41" s="5">
        <v>5400</v>
      </c>
      <c r="D41" s="4">
        <f t="shared" ref="D41:D43" si="43"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 t="shared" si="38"/>
        <v>406.81200000000001</v>
      </c>
      <c r="K41" s="36"/>
      <c r="L41" s="36"/>
    </row>
    <row r="42" spans="1:27" x14ac:dyDescent="0.25">
      <c r="A42" s="62" t="s">
        <v>102</v>
      </c>
      <c r="B42" s="4">
        <v>1</v>
      </c>
      <c r="C42" s="4">
        <f>11900/3</f>
        <v>3966.6666666666665</v>
      </c>
      <c r="D42" s="4">
        <f t="shared" si="43"/>
        <v>3966.6666666666665</v>
      </c>
      <c r="E42" s="4">
        <f t="shared" ref="E42" si="44">D42*0.05</f>
        <v>198.33333333333334</v>
      </c>
      <c r="F42" s="4">
        <v>0</v>
      </c>
      <c r="G42" s="4">
        <f>0.51/3</f>
        <v>0.17</v>
      </c>
      <c r="H42" s="4">
        <f t="shared" ref="H42:H43" si="45"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25">
      <c r="A43" s="4" t="s">
        <v>171</v>
      </c>
      <c r="B43" s="4">
        <v>1</v>
      </c>
      <c r="C43" s="4">
        <v>5700</v>
      </c>
      <c r="D43" s="4">
        <f t="shared" si="43"/>
        <v>5700</v>
      </c>
      <c r="E43" s="4">
        <f t="shared" ref="E43" si="46">D43*0.05</f>
        <v>285</v>
      </c>
      <c r="F43" s="4">
        <f>2500/4</f>
        <v>625</v>
      </c>
      <c r="G43" s="4">
        <v>0.3</v>
      </c>
      <c r="H43" s="4">
        <f t="shared" si="45"/>
        <v>0.3</v>
      </c>
      <c r="I43" s="4">
        <f t="shared" si="37"/>
        <v>2016</v>
      </c>
      <c r="J43" s="51">
        <f t="shared" si="38"/>
        <v>250.15400000000002</v>
      </c>
      <c r="K43" s="36"/>
      <c r="L43" s="36"/>
    </row>
    <row r="44" spans="1:27" ht="26.25" x14ac:dyDescent="0.4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 t="shared" si="12"/>
        <v>33.343999999999824</v>
      </c>
      <c r="M44" s="54"/>
    </row>
    <row r="45" spans="1:27" x14ac:dyDescent="0.25">
      <c r="A45" s="4" t="s">
        <v>167</v>
      </c>
      <c r="B45" s="4">
        <v>1</v>
      </c>
      <c r="C45" s="4">
        <v>9250</v>
      </c>
      <c r="D45" s="4">
        <f t="shared" ref="D45:D47" si="47"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 t="shared" si="37"/>
        <v>2688</v>
      </c>
      <c r="J45" s="51">
        <f t="shared" si="38"/>
        <v>432.11450000000002</v>
      </c>
      <c r="K45" s="36"/>
      <c r="L45" s="41"/>
    </row>
    <row r="46" spans="1:27" x14ac:dyDescent="0.25">
      <c r="A46" s="4" t="s">
        <v>156</v>
      </c>
      <c r="B46" s="4">
        <v>1</v>
      </c>
      <c r="C46" s="4">
        <v>5220</v>
      </c>
      <c r="D46" s="4">
        <f t="shared" si="47"/>
        <v>5220</v>
      </c>
      <c r="E46" s="4">
        <f t="shared" ref="E46:E48" si="48"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 t="shared" si="37"/>
        <v>1344</v>
      </c>
      <c r="J46" s="51">
        <f t="shared" si="38"/>
        <v>234.17500000000001</v>
      </c>
      <c r="K46" s="36"/>
      <c r="L46" s="41"/>
    </row>
    <row r="47" spans="1:27" s="35" customFormat="1" x14ac:dyDescent="0.25">
      <c r="A47" s="64" t="s">
        <v>129</v>
      </c>
      <c r="B47" s="4">
        <v>1</v>
      </c>
      <c r="C47" s="4">
        <f>16000/3</f>
        <v>5333.333333333333</v>
      </c>
      <c r="D47" s="44">
        <f t="shared" si="47"/>
        <v>5333.333333333333</v>
      </c>
      <c r="E47" s="44">
        <f t="shared" si="48"/>
        <v>266.66666666666669</v>
      </c>
      <c r="F47" s="4">
        <v>0</v>
      </c>
      <c r="G47" s="4">
        <v>0.1</v>
      </c>
      <c r="H47" s="4">
        <f t="shared" ref="H47" si="49"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2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 t="shared" si="48"/>
        <v>222.5</v>
      </c>
      <c r="F48" s="4">
        <v>0</v>
      </c>
      <c r="G48" s="4">
        <v>0.2</v>
      </c>
      <c r="H48" s="40">
        <f t="shared" ref="H48" si="50">G48*B48</f>
        <v>0.2</v>
      </c>
      <c r="I48" s="4">
        <f t="shared" ref="I48" si="51">H48*$C$2</f>
        <v>1344</v>
      </c>
      <c r="J48" s="51">
        <f t="shared" ref="J48" si="52">(D48+E48+F48+I48)*$C$4</f>
        <v>174.4785</v>
      </c>
      <c r="K48" s="45"/>
      <c r="L48" s="41"/>
    </row>
    <row r="49" spans="1:12" ht="26.25" x14ac:dyDescent="0.4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25">
      <c r="A50" s="4" t="s">
        <v>127</v>
      </c>
      <c r="B50" s="4">
        <v>1</v>
      </c>
      <c r="C50" s="4">
        <v>3300</v>
      </c>
      <c r="D50" s="4">
        <f t="shared" ref="D50:D54" si="53">B50*C50</f>
        <v>3300</v>
      </c>
      <c r="E50" s="4">
        <f t="shared" ref="E50" si="54">D50*0.05</f>
        <v>165</v>
      </c>
      <c r="F50" s="4">
        <v>0</v>
      </c>
      <c r="G50" s="4">
        <v>0.4</v>
      </c>
      <c r="H50" s="38">
        <f>G50*B50</f>
        <v>0.4</v>
      </c>
      <c r="I50" s="4">
        <f t="shared" si="37"/>
        <v>2688</v>
      </c>
      <c r="J50" s="51">
        <f t="shared" si="38"/>
        <v>178.43700000000001</v>
      </c>
      <c r="K50" s="36"/>
      <c r="L50" s="41"/>
    </row>
    <row r="51" spans="1:12" x14ac:dyDescent="0.25">
      <c r="A51" s="4" t="s">
        <v>166</v>
      </c>
      <c r="B51" s="4">
        <v>1</v>
      </c>
      <c r="C51" s="4">
        <v>10500</v>
      </c>
      <c r="D51" s="4">
        <f t="shared" si="53"/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 t="shared" si="37"/>
        <v>2016</v>
      </c>
      <c r="J51" s="51">
        <f t="shared" si="38"/>
        <v>450.68900000000002</v>
      </c>
      <c r="K51" s="36"/>
      <c r="L51" s="41"/>
    </row>
    <row r="52" spans="1:12" x14ac:dyDescent="0.25">
      <c r="A52" s="62" t="s">
        <v>155</v>
      </c>
      <c r="B52" s="4">
        <v>1</v>
      </c>
      <c r="C52" s="4">
        <f>16000/2</f>
        <v>8000</v>
      </c>
      <c r="D52" s="4">
        <f t="shared" si="53"/>
        <v>8000</v>
      </c>
      <c r="E52" s="4">
        <f t="shared" ref="E52" si="55">D52*0.05</f>
        <v>400</v>
      </c>
      <c r="F52" s="4">
        <f>2500/8</f>
        <v>312.5</v>
      </c>
      <c r="G52" s="4">
        <f>0.2/2</f>
        <v>0.1</v>
      </c>
      <c r="H52" s="4">
        <f t="shared" ref="H52" si="56">G52</f>
        <v>0.1</v>
      </c>
      <c r="I52" s="4">
        <f t="shared" si="37"/>
        <v>672</v>
      </c>
      <c r="J52" s="51">
        <f t="shared" si="38"/>
        <v>272.15050000000002</v>
      </c>
      <c r="K52" s="36"/>
      <c r="L52" s="41"/>
    </row>
    <row r="53" spans="1:12" x14ac:dyDescent="0.25">
      <c r="A53" s="62" t="s">
        <v>102</v>
      </c>
      <c r="B53" s="4">
        <v>1</v>
      </c>
      <c r="C53" s="4">
        <f>11900/3</f>
        <v>3966.6666666666665</v>
      </c>
      <c r="D53" s="4">
        <f t="shared" si="53"/>
        <v>3966.6666666666665</v>
      </c>
      <c r="E53" s="4">
        <f t="shared" ref="E53" si="57">D53*0.05</f>
        <v>198.33333333333334</v>
      </c>
      <c r="F53" s="4">
        <v>0</v>
      </c>
      <c r="G53" s="4">
        <f>0.51/3</f>
        <v>0.17</v>
      </c>
      <c r="H53" s="4">
        <f t="shared" ref="H53" si="58"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25">
      <c r="A54" s="64" t="s">
        <v>129</v>
      </c>
      <c r="B54">
        <v>1</v>
      </c>
      <c r="C54">
        <f>16000/3</f>
        <v>5333.333333333333</v>
      </c>
      <c r="D54" s="44">
        <f t="shared" si="53"/>
        <v>5333.333333333333</v>
      </c>
      <c r="E54" s="44">
        <f t="shared" ref="E54" si="59">D54*0.05</f>
        <v>266.66666666666669</v>
      </c>
      <c r="F54" s="4">
        <v>0</v>
      </c>
      <c r="G54" s="4">
        <v>0.1</v>
      </c>
      <c r="H54" s="4">
        <f t="shared" ref="H54" si="60"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.25" x14ac:dyDescent="0.4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 t="shared" si="12"/>
        <v>85.209799999999632</v>
      </c>
    </row>
    <row r="56" spans="1:12" x14ac:dyDescent="0.25">
      <c r="A56" s="4" t="s">
        <v>163</v>
      </c>
      <c r="B56" s="4">
        <v>1</v>
      </c>
      <c r="C56" s="4">
        <v>5400</v>
      </c>
      <c r="D56" s="4">
        <f t="shared" ref="D56:D59" si="61">B56*C56</f>
        <v>5400</v>
      </c>
      <c r="E56" s="4">
        <f t="shared" ref="E56" si="62">D56*0.05</f>
        <v>270</v>
      </c>
      <c r="F56" s="5">
        <v>2300</v>
      </c>
      <c r="G56" s="5">
        <v>0.3</v>
      </c>
      <c r="H56" s="38">
        <f t="shared" ref="H56:H59" si="63">G56*B56</f>
        <v>0.3</v>
      </c>
      <c r="I56" s="4">
        <f t="shared" si="37"/>
        <v>2016</v>
      </c>
      <c r="J56" s="51">
        <f t="shared" si="38"/>
        <v>289.59399999999999</v>
      </c>
      <c r="K56" s="36"/>
      <c r="L56" s="41"/>
    </row>
    <row r="57" spans="1:12" x14ac:dyDescent="0.25">
      <c r="A57" s="4" t="s">
        <v>67</v>
      </c>
      <c r="B57" s="4">
        <v>1</v>
      </c>
      <c r="C57" s="4">
        <v>15000</v>
      </c>
      <c r="D57" s="4">
        <f t="shared" si="61"/>
        <v>15000</v>
      </c>
      <c r="E57" s="4">
        <f>D57*0.05</f>
        <v>750</v>
      </c>
      <c r="F57" s="5">
        <v>0</v>
      </c>
      <c r="G57" s="5">
        <v>0.31</v>
      </c>
      <c r="H57" s="38">
        <f t="shared" si="63"/>
        <v>0.31</v>
      </c>
      <c r="I57" s="4">
        <f t="shared" si="37"/>
        <v>2083.1999999999998</v>
      </c>
      <c r="J57" s="51">
        <f t="shared" si="38"/>
        <v>517.16280000000006</v>
      </c>
      <c r="K57" s="36"/>
      <c r="L57" s="41"/>
    </row>
    <row r="58" spans="1:12" x14ac:dyDescent="0.25">
      <c r="A58" s="21" t="s">
        <v>161</v>
      </c>
      <c r="B58" s="21">
        <v>3</v>
      </c>
      <c r="C58" s="21">
        <v>4900</v>
      </c>
      <c r="D58" s="4">
        <f t="shared" si="61"/>
        <v>14700</v>
      </c>
      <c r="E58" s="4">
        <f>D58*0.05</f>
        <v>735</v>
      </c>
      <c r="F58" s="5">
        <f>2500/5</f>
        <v>500</v>
      </c>
      <c r="G58" s="5">
        <v>0.3</v>
      </c>
      <c r="H58" s="38">
        <f t="shared" si="63"/>
        <v>0.89999999999999991</v>
      </c>
      <c r="I58" s="4">
        <f t="shared" si="37"/>
        <v>6047.9999999999991</v>
      </c>
      <c r="J58" s="51">
        <f t="shared" si="38"/>
        <v>637.50700000000006</v>
      </c>
      <c r="K58" s="36"/>
      <c r="L58" s="41"/>
    </row>
    <row r="59" spans="1:12" x14ac:dyDescent="0.25">
      <c r="A59" s="4" t="s">
        <v>164</v>
      </c>
      <c r="B59" s="21">
        <v>1</v>
      </c>
      <c r="C59" s="21">
        <v>45600</v>
      </c>
      <c r="D59" s="4">
        <f t="shared" si="61"/>
        <v>45600</v>
      </c>
      <c r="E59" s="4">
        <f t="shared" ref="E59" si="64">D59*0.05</f>
        <v>2280</v>
      </c>
      <c r="F59" s="5">
        <v>0</v>
      </c>
      <c r="G59" s="5">
        <v>0.78</v>
      </c>
      <c r="H59" s="38">
        <f t="shared" si="63"/>
        <v>0.78</v>
      </c>
      <c r="I59" s="4">
        <f t="shared" si="37"/>
        <v>5241.6000000000004</v>
      </c>
      <c r="J59" s="51">
        <f t="shared" si="38"/>
        <v>1540.5264</v>
      </c>
      <c r="K59" s="36"/>
      <c r="L59" s="41"/>
    </row>
    <row r="60" spans="1:12" ht="31.5" x14ac:dyDescent="0.5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 t="shared" si="12"/>
        <v>37.204899999999725</v>
      </c>
    </row>
    <row r="61" spans="1:12" x14ac:dyDescent="0.25">
      <c r="A61" s="62" t="s">
        <v>155</v>
      </c>
      <c r="B61" s="4">
        <v>1</v>
      </c>
      <c r="C61" s="4">
        <f>16000/2</f>
        <v>8000</v>
      </c>
      <c r="D61" s="4">
        <f t="shared" ref="D61" si="65">B61*C61</f>
        <v>8000</v>
      </c>
      <c r="E61" s="4">
        <f t="shared" ref="E61" si="66">D61*0.05</f>
        <v>400</v>
      </c>
      <c r="F61" s="4">
        <f>2500/8</f>
        <v>312.5</v>
      </c>
      <c r="G61" s="4">
        <f>0.2/2</f>
        <v>0.1</v>
      </c>
      <c r="H61" s="4">
        <f t="shared" ref="H61" si="67">G61</f>
        <v>0.1</v>
      </c>
      <c r="I61" s="4">
        <f t="shared" ref="I61" si="68">H61*$C$2</f>
        <v>672</v>
      </c>
      <c r="J61" s="51">
        <f t="shared" ref="J61" si="69">(D61+E61+F61+I61)*$C$4</f>
        <v>272.15050000000002</v>
      </c>
      <c r="K61" s="36"/>
      <c r="L61" s="41"/>
    </row>
    <row r="62" spans="1:12" x14ac:dyDescent="0.25">
      <c r="A62" s="63" t="s">
        <v>161</v>
      </c>
      <c r="B62" s="21">
        <v>1</v>
      </c>
      <c r="C62" s="21">
        <v>4900</v>
      </c>
      <c r="D62" s="4">
        <f t="shared" ref="D62:D64" si="70"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 t="shared" si="37"/>
        <v>2016</v>
      </c>
      <c r="J62" s="51">
        <f t="shared" si="38"/>
        <v>222.16900000000001</v>
      </c>
      <c r="K62" s="36"/>
      <c r="L62" s="41"/>
    </row>
    <row r="63" spans="1:12" x14ac:dyDescent="0.25">
      <c r="A63" s="4" t="s">
        <v>67</v>
      </c>
      <c r="B63" s="4">
        <v>1</v>
      </c>
      <c r="C63" s="4">
        <v>15000</v>
      </c>
      <c r="D63" s="4">
        <f t="shared" si="70"/>
        <v>15000</v>
      </c>
      <c r="E63" s="4">
        <f t="shared" ref="E63:E64" si="71">D63*0.05</f>
        <v>750</v>
      </c>
      <c r="F63" s="5">
        <v>0</v>
      </c>
      <c r="G63" s="5">
        <v>0.31</v>
      </c>
      <c r="H63" s="38">
        <f>G63*B63</f>
        <v>0.31</v>
      </c>
      <c r="I63" s="4">
        <f t="shared" si="37"/>
        <v>2083.1999999999998</v>
      </c>
      <c r="J63" s="51">
        <f t="shared" si="38"/>
        <v>517.16280000000006</v>
      </c>
      <c r="K63" s="36"/>
      <c r="L63" s="41"/>
    </row>
    <row r="64" spans="1:12" x14ac:dyDescent="0.25">
      <c r="A64" s="4" t="s">
        <v>162</v>
      </c>
      <c r="B64" s="4">
        <v>1</v>
      </c>
      <c r="C64" s="4">
        <v>22000</v>
      </c>
      <c r="D64" s="4">
        <f t="shared" si="70"/>
        <v>22000</v>
      </c>
      <c r="E64" s="4">
        <f t="shared" si="71"/>
        <v>1100</v>
      </c>
      <c r="F64" s="5">
        <v>0</v>
      </c>
      <c r="G64" s="5">
        <v>0.31</v>
      </c>
      <c r="H64" s="38">
        <f t="shared" ref="H64" si="72">G64*B64</f>
        <v>0.31</v>
      </c>
      <c r="I64" s="4">
        <f t="shared" si="37"/>
        <v>2083.1999999999998</v>
      </c>
      <c r="J64" s="51">
        <f t="shared" si="38"/>
        <v>730.31280000000004</v>
      </c>
      <c r="K64" s="36"/>
      <c r="L64" s="41"/>
    </row>
    <row r="65" spans="1:13" ht="31.5" x14ac:dyDescent="0.5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25">
      <c r="A66" t="s">
        <v>159</v>
      </c>
      <c r="B66">
        <v>1</v>
      </c>
      <c r="C66">
        <v>9000</v>
      </c>
      <c r="D66" s="4">
        <f t="shared" ref="D66" si="73">B66*C66</f>
        <v>9000</v>
      </c>
      <c r="E66" s="4">
        <f t="shared" ref="E66:E90" si="74">D66*0.05</f>
        <v>450</v>
      </c>
      <c r="F66" s="4">
        <v>2500</v>
      </c>
      <c r="G66" s="4">
        <v>0.4</v>
      </c>
      <c r="H66" s="4">
        <f t="shared" ref="H66" si="75">G66</f>
        <v>0.4</v>
      </c>
      <c r="I66" s="4">
        <f t="shared" si="37"/>
        <v>2688</v>
      </c>
      <c r="J66" s="51">
        <f t="shared" si="38"/>
        <v>424.50200000000001</v>
      </c>
      <c r="K66" s="36"/>
      <c r="L66" s="41"/>
    </row>
    <row r="67" spans="1:13" ht="31.5" x14ac:dyDescent="0.5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25">
      <c r="A68" s="62" t="s">
        <v>102</v>
      </c>
      <c r="B68" s="4">
        <v>1</v>
      </c>
      <c r="C68" s="4">
        <f>11900/3</f>
        <v>3966.6666666666665</v>
      </c>
      <c r="D68" s="4">
        <f t="shared" ref="D68" si="76">B68*C68</f>
        <v>3966.6666666666665</v>
      </c>
      <c r="E68" s="4">
        <f t="shared" ref="E68" si="77">D68*0.05</f>
        <v>198.33333333333334</v>
      </c>
      <c r="F68" s="4">
        <v>0</v>
      </c>
      <c r="G68" s="4">
        <f>0.51/3</f>
        <v>0.17</v>
      </c>
      <c r="H68" s="4">
        <f t="shared" ref="H68" si="78"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25">
      <c r="A69" s="48" t="s">
        <v>129</v>
      </c>
      <c r="B69">
        <v>1</v>
      </c>
      <c r="C69">
        <f>16000/3</f>
        <v>5333.333333333333</v>
      </c>
      <c r="D69" s="4">
        <f t="shared" ref="D69" si="79">B69*C69</f>
        <v>5333.333333333333</v>
      </c>
      <c r="E69" s="4">
        <f t="shared" ref="E69" si="80">D69*0.05</f>
        <v>266.66666666666669</v>
      </c>
      <c r="F69" s="4">
        <v>0</v>
      </c>
      <c r="G69" s="4">
        <v>0.1</v>
      </c>
      <c r="H69" s="4">
        <f t="shared" ref="H69" si="81"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.5" x14ac:dyDescent="0.5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191</v>
      </c>
    </row>
    <row r="71" spans="1:13" x14ac:dyDescent="0.25">
      <c r="A71" t="s">
        <v>157</v>
      </c>
      <c r="B71">
        <v>1</v>
      </c>
      <c r="C71">
        <v>3500</v>
      </c>
      <c r="D71" s="4">
        <f>B71*C71</f>
        <v>3500</v>
      </c>
      <c r="E71" s="4">
        <f t="shared" si="74"/>
        <v>175</v>
      </c>
      <c r="F71" s="4">
        <v>2500</v>
      </c>
      <c r="G71" s="4">
        <v>0.2</v>
      </c>
      <c r="H71" s="38">
        <f>G71*B71</f>
        <v>0.2</v>
      </c>
      <c r="I71" s="4">
        <f t="shared" si="37"/>
        <v>1344</v>
      </c>
      <c r="J71" s="51">
        <f t="shared" si="38"/>
        <v>218.05100000000002</v>
      </c>
      <c r="K71" s="36"/>
      <c r="L71" s="41"/>
    </row>
    <row r="72" spans="1:13" ht="31.5" x14ac:dyDescent="0.5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 t="shared" si="12"/>
        <v>34.120733333333419</v>
      </c>
    </row>
    <row r="73" spans="1:13" x14ac:dyDescent="0.25">
      <c r="A73" s="41" t="s">
        <v>153</v>
      </c>
      <c r="B73">
        <v>1</v>
      </c>
      <c r="C73">
        <v>15800</v>
      </c>
      <c r="D73" s="4">
        <f>C73</f>
        <v>15800</v>
      </c>
      <c r="E73" s="4">
        <f t="shared" si="74"/>
        <v>790</v>
      </c>
      <c r="F73" s="4">
        <v>0</v>
      </c>
      <c r="G73" s="38">
        <v>0.4</v>
      </c>
      <c r="H73" s="38">
        <f>G73*B73</f>
        <v>0.4</v>
      </c>
      <c r="I73" s="4">
        <f t="shared" si="37"/>
        <v>2688</v>
      </c>
      <c r="J73" s="51">
        <f t="shared" si="38"/>
        <v>559.06200000000001</v>
      </c>
      <c r="K73" s="36"/>
      <c r="L73" s="41"/>
    </row>
    <row r="74" spans="1:13" s="35" customFormat="1" x14ac:dyDescent="0.25">
      <c r="A74" s="67" t="s">
        <v>178</v>
      </c>
      <c r="B74" s="66">
        <v>2</v>
      </c>
      <c r="C74" s="4">
        <f>9600/3</f>
        <v>3200</v>
      </c>
      <c r="D74" s="4">
        <f t="shared" ref="D74" si="82">B74*C74</f>
        <v>6400</v>
      </c>
      <c r="E74" s="4">
        <f t="shared" si="74"/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25">
      <c r="A75" s="62" t="s">
        <v>102</v>
      </c>
      <c r="B75" s="4">
        <v>1</v>
      </c>
      <c r="C75" s="4">
        <f>11900/3</f>
        <v>3966.6666666666665</v>
      </c>
      <c r="D75" s="4">
        <f t="shared" ref="D75:D76" si="83">B75*C75</f>
        <v>3966.6666666666665</v>
      </c>
      <c r="E75" s="4">
        <f t="shared" si="74"/>
        <v>198.33333333333334</v>
      </c>
      <c r="F75" s="4">
        <v>0</v>
      </c>
      <c r="G75" s="4">
        <f>0.51/3</f>
        <v>0.17</v>
      </c>
      <c r="H75" s="4">
        <f t="shared" ref="H75:H76" si="84"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25">
      <c r="A76" s="64" t="s">
        <v>129</v>
      </c>
      <c r="B76">
        <v>1</v>
      </c>
      <c r="C76">
        <f>16000/3</f>
        <v>5333.333333333333</v>
      </c>
      <c r="D76" s="44">
        <f t="shared" si="83"/>
        <v>5333.333333333333</v>
      </c>
      <c r="E76" s="44">
        <f t="shared" si="74"/>
        <v>266.66666666666669</v>
      </c>
      <c r="F76" s="4">
        <v>0</v>
      </c>
      <c r="G76" s="4">
        <v>0.1</v>
      </c>
      <c r="H76" s="4">
        <f t="shared" si="84"/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.5" x14ac:dyDescent="0.5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25">
      <c r="A78" s="4" t="s">
        <v>154</v>
      </c>
      <c r="B78" s="4">
        <v>1</v>
      </c>
      <c r="C78" s="4">
        <v>9900</v>
      </c>
      <c r="D78" s="4">
        <f t="shared" ref="D78:D79" si="85">B78*C78</f>
        <v>9900</v>
      </c>
      <c r="E78" s="4">
        <f>D78*0.05</f>
        <v>495</v>
      </c>
      <c r="F78" s="4">
        <v>0</v>
      </c>
      <c r="G78" s="4">
        <v>1.03</v>
      </c>
      <c r="H78" s="40">
        <f t="shared" ref="H78" si="86">G78*B78</f>
        <v>1.03</v>
      </c>
      <c r="I78" s="4">
        <f>H78*$C$2</f>
        <v>6921.6</v>
      </c>
      <c r="J78" s="51">
        <f>(D78+E78+F78+I78)*$C$4</f>
        <v>502.1814</v>
      </c>
      <c r="K78" s="45"/>
      <c r="L78" s="41"/>
    </row>
    <row r="79" spans="1:13" x14ac:dyDescent="0.25">
      <c r="A79" s="62" t="s">
        <v>102</v>
      </c>
      <c r="B79" s="4">
        <v>1</v>
      </c>
      <c r="C79" s="4">
        <f>11900/3</f>
        <v>3966.6666666666665</v>
      </c>
      <c r="D79" s="4">
        <f t="shared" si="85"/>
        <v>3966.6666666666665</v>
      </c>
      <c r="E79" s="4">
        <f t="shared" ref="E79" si="87">D79*0.05</f>
        <v>198.33333333333334</v>
      </c>
      <c r="F79" s="4">
        <v>0</v>
      </c>
      <c r="G79" s="4">
        <f>0.51/3</f>
        <v>0.17</v>
      </c>
      <c r="H79" s="4">
        <f t="shared" ref="H79" si="88">G79</f>
        <v>0.17</v>
      </c>
      <c r="I79" s="4">
        <f>H79*$C$2</f>
        <v>1142.4000000000001</v>
      </c>
      <c r="J79" s="51">
        <f>(D79+E79+F79+I79)*$C$4</f>
        <v>153.91460000000001</v>
      </c>
      <c r="K79" s="36"/>
      <c r="L79" s="41"/>
    </row>
    <row r="80" spans="1:13" x14ac:dyDescent="0.25">
      <c r="A80" s="62" t="s">
        <v>155</v>
      </c>
      <c r="B80" s="4">
        <v>1</v>
      </c>
      <c r="C80" s="4">
        <f>16000/2</f>
        <v>8000</v>
      </c>
      <c r="D80" s="4">
        <f t="shared" ref="D80:D83" si="89">B80*C80</f>
        <v>8000</v>
      </c>
      <c r="E80" s="4">
        <f t="shared" ref="E80:E83" si="90">D80*0.05</f>
        <v>400</v>
      </c>
      <c r="F80" s="4">
        <f>2500/8</f>
        <v>312.5</v>
      </c>
      <c r="G80" s="4">
        <f>0.2/2</f>
        <v>0.1</v>
      </c>
      <c r="H80" s="4">
        <f t="shared" ref="H80:H83" si="91">G80</f>
        <v>0.1</v>
      </c>
      <c r="I80" s="4">
        <f t="shared" ref="I80:I83" si="92">H80*$C$2</f>
        <v>672</v>
      </c>
      <c r="J80" s="51">
        <f t="shared" ref="J80:J83" si="93">(D80+E80+F80+I80)*$C$4</f>
        <v>272.15050000000002</v>
      </c>
      <c r="K80" s="36"/>
      <c r="L80" s="41"/>
    </row>
    <row r="81" spans="1:34" s="35" customFormat="1" x14ac:dyDescent="0.25">
      <c r="A81" s="64" t="s">
        <v>129</v>
      </c>
      <c r="B81">
        <v>1</v>
      </c>
      <c r="C81">
        <f>16000/3</f>
        <v>5333.333333333333</v>
      </c>
      <c r="D81" s="44">
        <f t="shared" si="89"/>
        <v>5333.333333333333</v>
      </c>
      <c r="E81" s="44">
        <f t="shared" si="90"/>
        <v>266.66666666666669</v>
      </c>
      <c r="F81" s="4">
        <v>0</v>
      </c>
      <c r="G81" s="4">
        <v>0.1</v>
      </c>
      <c r="H81" s="4">
        <f t="shared" si="91"/>
        <v>0.1</v>
      </c>
      <c r="I81" s="4">
        <f>H81*$C$2</f>
        <v>672</v>
      </c>
      <c r="J81" s="51">
        <f>(D81+E81+F81+I81)*$C$4</f>
        <v>181.88800000000001</v>
      </c>
      <c r="K81" s="34"/>
      <c r="L81" s="41"/>
    </row>
    <row r="82" spans="1:34" x14ac:dyDescent="0.25">
      <c r="A82" s="4" t="s">
        <v>107</v>
      </c>
      <c r="B82" s="4">
        <v>1</v>
      </c>
      <c r="C82" s="4">
        <v>5990</v>
      </c>
      <c r="D82" s="4">
        <f t="shared" ref="D82" si="94">B82*C82</f>
        <v>5990</v>
      </c>
      <c r="E82" s="4">
        <f t="shared" ref="E82" si="95">D82*0.05</f>
        <v>299.5</v>
      </c>
      <c r="F82" s="4">
        <v>2500</v>
      </c>
      <c r="G82" s="4">
        <v>0.2</v>
      </c>
      <c r="H82" s="4">
        <f t="shared" ref="H82" si="96">G82</f>
        <v>0.2</v>
      </c>
      <c r="I82" s="4">
        <f t="shared" si="92"/>
        <v>1344</v>
      </c>
      <c r="J82" s="51">
        <f t="shared" ref="J82" si="97">(D82+E82+F82+I82)*$C$4</f>
        <v>293.87150000000003</v>
      </c>
      <c r="K82" s="36"/>
      <c r="L82" s="41"/>
    </row>
    <row r="83" spans="1:34" x14ac:dyDescent="0.25">
      <c r="A83" s="4" t="s">
        <v>156</v>
      </c>
      <c r="B83" s="4">
        <v>1</v>
      </c>
      <c r="C83" s="4">
        <v>5220</v>
      </c>
      <c r="D83" s="4">
        <f t="shared" si="89"/>
        <v>5220</v>
      </c>
      <c r="E83" s="4">
        <f t="shared" si="90"/>
        <v>261</v>
      </c>
      <c r="F83" s="4">
        <f>2500/2</f>
        <v>1250</v>
      </c>
      <c r="G83" s="4">
        <v>0.2</v>
      </c>
      <c r="H83" s="4">
        <f t="shared" si="91"/>
        <v>0.2</v>
      </c>
      <c r="I83" s="4">
        <f t="shared" si="92"/>
        <v>1344</v>
      </c>
      <c r="J83" s="51">
        <f t="shared" si="93"/>
        <v>234.17500000000001</v>
      </c>
      <c r="K83" s="36"/>
      <c r="L83" s="41"/>
    </row>
    <row r="84" spans="1:34" ht="31.5" x14ac:dyDescent="0.5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 t="shared" ref="L84:L100" si="98">K84-J84</f>
        <v>15.043000000000006</v>
      </c>
    </row>
    <row r="85" spans="1:34" x14ac:dyDescent="0.25">
      <c r="A85" s="61" t="s">
        <v>152</v>
      </c>
      <c r="B85">
        <v>1</v>
      </c>
      <c r="C85">
        <v>8900</v>
      </c>
      <c r="D85" s="4">
        <f>B85*C85</f>
        <v>8900</v>
      </c>
      <c r="E85" s="4">
        <f t="shared" ref="E85" si="99">D85*0.05</f>
        <v>445</v>
      </c>
      <c r="F85" s="4">
        <v>0</v>
      </c>
      <c r="G85" s="4">
        <v>0.4</v>
      </c>
      <c r="H85" s="40">
        <f t="shared" ref="H85" si="100">G85*B85</f>
        <v>0.4</v>
      </c>
      <c r="I85" s="4">
        <f t="shared" si="37"/>
        <v>2688</v>
      </c>
      <c r="J85" s="51">
        <f t="shared" si="38"/>
        <v>348.95699999999999</v>
      </c>
      <c r="K85" s="45"/>
      <c r="L85" s="41"/>
    </row>
    <row r="86" spans="1:34" s="31" customFormat="1" ht="31.5" x14ac:dyDescent="0.5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 t="shared" si="98"/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t="s">
        <v>150</v>
      </c>
      <c r="B87">
        <v>1</v>
      </c>
      <c r="C87">
        <v>9900</v>
      </c>
      <c r="D87" s="4">
        <f>B87*C87</f>
        <v>9900</v>
      </c>
      <c r="E87" s="4">
        <f t="shared" ref="E87" si="101">D87*0.05</f>
        <v>495</v>
      </c>
      <c r="F87" s="4">
        <v>2500</v>
      </c>
      <c r="G87" s="4">
        <v>0.2</v>
      </c>
      <c r="H87" s="4">
        <f>G87</f>
        <v>0.2</v>
      </c>
      <c r="I87" s="4">
        <f t="shared" si="37"/>
        <v>1344</v>
      </c>
      <c r="J87" s="51">
        <f t="shared" si="38"/>
        <v>412.93100000000004</v>
      </c>
      <c r="L87" s="41"/>
    </row>
    <row r="88" spans="1:34" s="31" customFormat="1" ht="31.5" x14ac:dyDescent="0.5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 t="shared" si="98"/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t="s">
        <v>97</v>
      </c>
      <c r="B89">
        <v>1</v>
      </c>
      <c r="C89">
        <v>3300</v>
      </c>
      <c r="D89">
        <f>C89</f>
        <v>3300</v>
      </c>
      <c r="E89" s="4">
        <f t="shared" si="74"/>
        <v>165</v>
      </c>
      <c r="F89">
        <v>2500</v>
      </c>
      <c r="G89">
        <v>0.3</v>
      </c>
      <c r="H89">
        <f>G89</f>
        <v>0.3</v>
      </c>
      <c r="I89" s="4">
        <f t="shared" si="37"/>
        <v>2016</v>
      </c>
      <c r="J89" s="51">
        <f t="shared" si="38"/>
        <v>231.44900000000001</v>
      </c>
      <c r="K89" s="41"/>
      <c r="L89" s="41"/>
    </row>
    <row r="90" spans="1:34" s="35" customFormat="1" x14ac:dyDescent="0.25">
      <c r="A90" s="67" t="s">
        <v>129</v>
      </c>
      <c r="B90" s="4">
        <v>1</v>
      </c>
      <c r="C90" s="4">
        <f>16000/3</f>
        <v>5333.333333333333</v>
      </c>
      <c r="D90" s="4">
        <f t="shared" ref="D90" si="102">B90*C90</f>
        <v>5333.333333333333</v>
      </c>
      <c r="E90" s="4">
        <f t="shared" si="74"/>
        <v>266.66666666666669</v>
      </c>
      <c r="F90" s="4">
        <v>0</v>
      </c>
      <c r="G90" s="4">
        <v>0.1</v>
      </c>
      <c r="H90" s="4">
        <f t="shared" ref="H90" si="103"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.5" x14ac:dyDescent="0.5">
      <c r="A91" s="59" t="s">
        <v>131</v>
      </c>
      <c r="J91" s="53">
        <f>SUM(J92:J96)</f>
        <v>989.42006666666657</v>
      </c>
      <c r="K91" s="31">
        <v>1027</v>
      </c>
      <c r="L91" s="10">
        <f t="shared" si="98"/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 t="shared" si="37"/>
        <v>3225.6</v>
      </c>
      <c r="J92" s="51">
        <f t="shared" si="38"/>
        <v>213.31240000000003</v>
      </c>
      <c r="K92" s="36"/>
      <c r="L92" s="36"/>
    </row>
    <row r="93" spans="1:34" s="35" customFormat="1" x14ac:dyDescent="0.25">
      <c r="A93" s="67" t="s">
        <v>129</v>
      </c>
      <c r="B93" s="4">
        <v>1</v>
      </c>
      <c r="C93" s="4">
        <f>16000/3</f>
        <v>5333.333333333333</v>
      </c>
      <c r="D93" s="4">
        <f t="shared" ref="D93" si="104">B93*C93</f>
        <v>5333.333333333333</v>
      </c>
      <c r="E93" s="4">
        <f t="shared" ref="E93:E96" si="105">D93*0.05</f>
        <v>266.66666666666669</v>
      </c>
      <c r="F93" s="4">
        <v>0</v>
      </c>
      <c r="G93" s="4">
        <v>0.1</v>
      </c>
      <c r="H93" s="4">
        <f t="shared" ref="H93" si="106"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25">
      <c r="A94" s="67" t="s">
        <v>178</v>
      </c>
      <c r="B94" s="4">
        <v>1</v>
      </c>
      <c r="C94" s="4">
        <f>9600/3</f>
        <v>3200</v>
      </c>
      <c r="D94" s="4">
        <f t="shared" ref="D94" si="107">B94*C94</f>
        <v>3200</v>
      </c>
      <c r="E94" s="4">
        <f t="shared" ref="E94" si="108">D94*0.05</f>
        <v>160</v>
      </c>
      <c r="F94" s="4">
        <f>2500/3</f>
        <v>833.33333333333337</v>
      </c>
      <c r="G94" s="4">
        <f>0.4/3</f>
        <v>0.13333333333333333</v>
      </c>
      <c r="H94" s="4">
        <f t="shared" ref="H94" si="109"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2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 t="shared" si="105"/>
        <v>222.5</v>
      </c>
      <c r="F95" s="4">
        <v>0</v>
      </c>
      <c r="G95" s="4">
        <v>0.2</v>
      </c>
      <c r="H95" s="40">
        <f t="shared" ref="H95" si="110">G95*B95</f>
        <v>0.2</v>
      </c>
      <c r="I95" s="4">
        <f t="shared" ref="I95:I96" si="111">H95*$C$2</f>
        <v>1344</v>
      </c>
      <c r="J95" s="51">
        <f t="shared" ref="J95:J96" si="112">(D95+E95+F95+I95)*$C$4</f>
        <v>174.4785</v>
      </c>
      <c r="K95" s="45"/>
      <c r="L95" s="41"/>
    </row>
    <row r="96" spans="1:34" x14ac:dyDescent="0.25">
      <c r="A96" s="62" t="s">
        <v>155</v>
      </c>
      <c r="B96" s="4">
        <v>1</v>
      </c>
      <c r="C96" s="4">
        <f>16000/2</f>
        <v>8000</v>
      </c>
      <c r="D96" s="4">
        <f t="shared" ref="D96" si="113">B96*C96</f>
        <v>8000</v>
      </c>
      <c r="E96" s="4">
        <f t="shared" si="105"/>
        <v>400</v>
      </c>
      <c r="F96" s="4">
        <f>2500/8</f>
        <v>312.5</v>
      </c>
      <c r="G96" s="4">
        <f>0.2/2</f>
        <v>0.1</v>
      </c>
      <c r="H96" s="4">
        <f t="shared" ref="H96" si="114">G96</f>
        <v>0.1</v>
      </c>
      <c r="I96" s="4">
        <f t="shared" si="111"/>
        <v>672</v>
      </c>
      <c r="J96" s="51">
        <f t="shared" si="112"/>
        <v>272.15050000000002</v>
      </c>
      <c r="K96" s="36"/>
      <c r="L96" s="41"/>
    </row>
    <row r="97" spans="1:34" s="31" customFormat="1" ht="31.5" x14ac:dyDescent="0.5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217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2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216</v>
      </c>
      <c r="L99" s="41"/>
    </row>
    <row r="100" spans="1:34" s="31" customFormat="1" ht="31.5" x14ac:dyDescent="0.5">
      <c r="A100" s="57" t="s">
        <v>145</v>
      </c>
      <c r="J100" s="53">
        <f>J101</f>
        <v>235.87150000000003</v>
      </c>
      <c r="K100" s="31">
        <v>243</v>
      </c>
      <c r="L100" s="10">
        <f t="shared" si="98"/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 t="shared" ref="E101" si="115">D101*0.05</f>
        <v>299.5</v>
      </c>
      <c r="F101" s="4">
        <f>2500/5</f>
        <v>500</v>
      </c>
      <c r="G101" s="4">
        <v>0.2</v>
      </c>
      <c r="H101" s="4">
        <f t="shared" ref="H101" si="116">G101*B101</f>
        <v>0.2</v>
      </c>
      <c r="I101" s="4">
        <f t="shared" ref="I101" si="117">H101*$C$2</f>
        <v>1344</v>
      </c>
      <c r="J101" s="51">
        <f t="shared" ref="J101" si="118"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220</v>
      </c>
      <c r="B1" s="4"/>
      <c r="C1" s="15">
        <v>41478</v>
      </c>
      <c r="D1" s="30"/>
    </row>
    <row r="2" spans="1:13" ht="21" x14ac:dyDescent="0.35">
      <c r="A2" s="55" t="s">
        <v>219</v>
      </c>
      <c r="B2" s="4"/>
      <c r="C2" s="16">
        <v>6840</v>
      </c>
      <c r="D2" s="30"/>
    </row>
    <row r="3" spans="1:13" ht="21" x14ac:dyDescent="0.35">
      <c r="A3" s="55"/>
      <c r="B3" s="4"/>
      <c r="C3" s="16"/>
      <c r="D3" s="30"/>
    </row>
    <row r="4" spans="1:13" ht="18.75" x14ac:dyDescent="0.3">
      <c r="A4" s="55" t="s">
        <v>218</v>
      </c>
      <c r="B4" s="4"/>
      <c r="C4" s="16">
        <v>2.9530000000000001E-2</v>
      </c>
    </row>
    <row r="5" spans="1:13" ht="28.5" x14ac:dyDescent="0.45">
      <c r="A5" s="55"/>
      <c r="B5" s="4"/>
      <c r="C5" s="13"/>
    </row>
    <row r="6" spans="1:13" ht="37.5" x14ac:dyDescent="0.3">
      <c r="A6" s="56" t="s">
        <v>18</v>
      </c>
      <c r="C6" s="19"/>
    </row>
    <row r="7" spans="1:13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.25" x14ac:dyDescent="0.4">
      <c r="A8" s="1" t="s">
        <v>192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 t="shared" ref="L8:L12" si="0">K8-J8</f>
        <v>-2.7871300000000048</v>
      </c>
    </row>
    <row r="9" spans="1:13" x14ac:dyDescent="0.25">
      <c r="A9" s="67" t="s">
        <v>128</v>
      </c>
      <c r="B9" s="4">
        <v>1</v>
      </c>
      <c r="C9" s="4">
        <f>9900/3*B9</f>
        <v>3300</v>
      </c>
      <c r="D9" s="4">
        <f t="shared" ref="D9" si="1"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.25" x14ac:dyDescent="0.4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236</v>
      </c>
    </row>
    <row r="11" spans="1:13" x14ac:dyDescent="0.25">
      <c r="A11" s="3" t="s">
        <v>57</v>
      </c>
      <c r="B11" s="4">
        <v>1</v>
      </c>
      <c r="C11" s="4">
        <v>9800</v>
      </c>
      <c r="D11" s="4">
        <f t="shared" ref="D11" si="2">B11*C11</f>
        <v>9800</v>
      </c>
      <c r="E11" s="4">
        <f t="shared" ref="E11" si="3">D11*0.05</f>
        <v>490</v>
      </c>
      <c r="F11" s="4">
        <v>2500</v>
      </c>
      <c r="G11" s="4">
        <v>0.3</v>
      </c>
      <c r="H11" s="4">
        <f t="shared" ref="H11:H53" si="4">G11</f>
        <v>0.3</v>
      </c>
      <c r="I11" s="4">
        <f t="shared" ref="I11" si="5">H11*$C$2</f>
        <v>2052</v>
      </c>
      <c r="J11" s="51">
        <f t="shared" ref="J11" si="6">(D11+E11+F11+I11)*$C$4</f>
        <v>438.28426000000002</v>
      </c>
      <c r="K11" s="36"/>
      <c r="L11" s="41"/>
    </row>
    <row r="12" spans="1:13" ht="26.25" x14ac:dyDescent="0.4">
      <c r="A12" s="1" t="s">
        <v>193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 t="shared" si="0"/>
        <v>-2.7871300000000048</v>
      </c>
    </row>
    <row r="13" spans="1:13" x14ac:dyDescent="0.25">
      <c r="A13" s="67" t="s">
        <v>128</v>
      </c>
      <c r="B13" s="4">
        <v>1</v>
      </c>
      <c r="C13" s="4">
        <f>9900/3*B13</f>
        <v>3300</v>
      </c>
      <c r="D13" s="4">
        <f t="shared" ref="D13" si="7">B13*C13</f>
        <v>3300</v>
      </c>
      <c r="E13" s="4">
        <f t="shared" ref="E13" si="8">D13*0.05</f>
        <v>165</v>
      </c>
      <c r="F13" s="4">
        <v>0</v>
      </c>
      <c r="G13" s="4">
        <f>0.2/3</f>
        <v>6.6666666666666666E-2</v>
      </c>
      <c r="H13" s="4">
        <f t="shared" si="4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.25" x14ac:dyDescent="0.4">
      <c r="A14" s="1" t="s">
        <v>194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221</v>
      </c>
    </row>
    <row r="15" spans="1:13" x14ac:dyDescent="0.25">
      <c r="A15" s="80" t="s">
        <v>195</v>
      </c>
      <c r="B15" s="18">
        <v>1</v>
      </c>
      <c r="C15" s="18">
        <v>9900</v>
      </c>
      <c r="D15" s="18">
        <f t="shared" ref="D15" si="9">B15*C15</f>
        <v>9900</v>
      </c>
      <c r="E15" s="18">
        <f t="shared" ref="E15" si="10">D15*0.05</f>
        <v>495</v>
      </c>
      <c r="F15" s="18">
        <f>2500/2</f>
        <v>1250</v>
      </c>
      <c r="G15" s="18">
        <v>0.4</v>
      </c>
      <c r="H15" s="18">
        <f t="shared" si="4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.25" x14ac:dyDescent="0.4">
      <c r="A16" s="1" t="s">
        <v>196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 t="shared" ref="L16:L51" si="11">K16-J16</f>
        <v>-19.37063999999998</v>
      </c>
    </row>
    <row r="17" spans="1:34" s="35" customFormat="1" ht="30" x14ac:dyDescent="0.25">
      <c r="A17" s="3" t="s">
        <v>197</v>
      </c>
      <c r="B17" s="71">
        <v>2</v>
      </c>
      <c r="C17" s="4">
        <v>12000</v>
      </c>
      <c r="D17" s="44">
        <f t="shared" ref="D17" si="12">B17*C17</f>
        <v>24000</v>
      </c>
      <c r="E17" s="44">
        <f t="shared" ref="E17" si="13">D17*0.05</f>
        <v>1200</v>
      </c>
      <c r="F17" s="4">
        <v>2500</v>
      </c>
      <c r="G17" s="4">
        <f>0.35*B17</f>
        <v>0.7</v>
      </c>
      <c r="H17" s="4">
        <f t="shared" si="4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 t="shared" si="11"/>
        <v>-43.368190000000027</v>
      </c>
    </row>
    <row r="19" spans="1:34" s="35" customFormat="1" x14ac:dyDescent="0.25">
      <c r="A19" s="3" t="s">
        <v>198</v>
      </c>
      <c r="B19" s="4">
        <v>1</v>
      </c>
      <c r="C19" s="4">
        <v>7100</v>
      </c>
      <c r="D19" s="44">
        <f t="shared" ref="D19" si="14">B19*C19</f>
        <v>7100</v>
      </c>
      <c r="E19" s="44">
        <f t="shared" ref="E19" si="15">D19*0.05</f>
        <v>355</v>
      </c>
      <c r="F19" s="4">
        <v>2500</v>
      </c>
      <c r="G19" s="4">
        <v>0.2</v>
      </c>
      <c r="H19" s="4">
        <f t="shared" si="4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.25" x14ac:dyDescent="0.4">
      <c r="A20" s="1" t="s">
        <v>199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25">
      <c r="A21" s="3" t="s">
        <v>200</v>
      </c>
      <c r="B21" s="4">
        <v>1</v>
      </c>
      <c r="C21" s="4">
        <v>11400</v>
      </c>
      <c r="D21" s="4">
        <f t="shared" ref="D21" si="16">B21*C21</f>
        <v>11400</v>
      </c>
      <c r="E21" s="4">
        <f t="shared" ref="E21" si="17">D21*0.05</f>
        <v>570</v>
      </c>
      <c r="F21" s="4">
        <v>0</v>
      </c>
      <c r="G21" s="4">
        <v>0.2</v>
      </c>
      <c r="H21" s="4">
        <f t="shared" si="4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.25" x14ac:dyDescent="0.4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5" x14ac:dyDescent="0.25">
      <c r="A23" s="3" t="s">
        <v>201</v>
      </c>
      <c r="B23" s="71">
        <v>2</v>
      </c>
      <c r="C23" s="4">
        <v>6500</v>
      </c>
      <c r="D23" s="4">
        <f t="shared" ref="D23" si="18">B23*C23</f>
        <v>13000</v>
      </c>
      <c r="E23" s="4">
        <f t="shared" ref="E23" si="19">D23*0.05</f>
        <v>650</v>
      </c>
      <c r="F23" s="4">
        <v>2500</v>
      </c>
      <c r="G23" s="4">
        <v>0.26</v>
      </c>
      <c r="H23" s="4">
        <f t="shared" si="4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.25" x14ac:dyDescent="0.4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 t="shared" si="11"/>
        <v>-1.2328300000000354</v>
      </c>
    </row>
    <row r="25" spans="1:34" x14ac:dyDescent="0.2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 t="shared" ref="E25:E26" si="20">D25*0.05</f>
        <v>600</v>
      </c>
      <c r="F25" s="4">
        <v>0</v>
      </c>
      <c r="G25" s="4">
        <v>0.2</v>
      </c>
      <c r="H25" s="4">
        <f t="shared" si="4"/>
        <v>0.2</v>
      </c>
      <c r="I25" s="4">
        <f t="shared" ref="I25" si="21">H25*$C$2</f>
        <v>1368</v>
      </c>
      <c r="J25" s="51">
        <f t="shared" ref="J25" si="22">(D25+E25+F25+I25)*$C$4</f>
        <v>412.47504000000004</v>
      </c>
      <c r="K25" s="45"/>
      <c r="L25" s="41"/>
    </row>
    <row r="26" spans="1:34" x14ac:dyDescent="0.25">
      <c r="A26" s="3" t="s">
        <v>49</v>
      </c>
      <c r="B26" s="4">
        <v>1</v>
      </c>
      <c r="C26" s="4">
        <v>5500</v>
      </c>
      <c r="D26" s="4">
        <f t="shared" ref="D26" si="23">B26*C26</f>
        <v>5500</v>
      </c>
      <c r="E26" s="4">
        <f t="shared" si="20"/>
        <v>275</v>
      </c>
      <c r="F26" s="4">
        <v>2500</v>
      </c>
      <c r="G26" s="4">
        <v>0.2</v>
      </c>
      <c r="H26" s="4">
        <f t="shared" si="4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.25" x14ac:dyDescent="0.4">
      <c r="A27" s="1" t="s">
        <v>202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223</v>
      </c>
    </row>
    <row r="28" spans="1:34" s="35" customFormat="1" x14ac:dyDescent="0.25">
      <c r="A28" s="80" t="s">
        <v>195</v>
      </c>
      <c r="B28" s="18">
        <v>1</v>
      </c>
      <c r="C28" s="18">
        <v>9900</v>
      </c>
      <c r="D28" s="18">
        <f t="shared" ref="D28" si="24"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2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 t="shared" ref="E29" si="25"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.25" x14ac:dyDescent="0.4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 t="shared" si="11"/>
        <v>-13.828690000000051</v>
      </c>
      <c r="AA30" t="s">
        <v>90</v>
      </c>
    </row>
    <row r="31" spans="1:34" s="35" customFormat="1" x14ac:dyDescent="0.25">
      <c r="A31" s="3" t="s">
        <v>113</v>
      </c>
      <c r="B31" s="4">
        <v>1</v>
      </c>
      <c r="C31" s="4">
        <v>12000</v>
      </c>
      <c r="D31" s="4">
        <f t="shared" ref="D31:D33" si="26">B31*C31</f>
        <v>12000</v>
      </c>
      <c r="E31" s="4">
        <f>D31*0.05</f>
        <v>600</v>
      </c>
      <c r="F31" s="4">
        <v>0</v>
      </c>
      <c r="G31" s="4">
        <v>0.2</v>
      </c>
      <c r="H31" s="4">
        <f t="shared" si="4"/>
        <v>0.2</v>
      </c>
      <c r="I31" s="4">
        <f t="shared" ref="I31:I61" si="27">H31*$C$2</f>
        <v>1368</v>
      </c>
      <c r="J31" s="51">
        <f t="shared" ref="J31:J61" si="28">(D31+E31+F31+I31)*$C$4</f>
        <v>412.47504000000004</v>
      </c>
      <c r="K31" s="34"/>
      <c r="L31" s="41"/>
      <c r="M31"/>
    </row>
    <row r="32" spans="1:34" s="35" customFormat="1" x14ac:dyDescent="0.25">
      <c r="A32" s="67" t="s">
        <v>128</v>
      </c>
      <c r="B32" s="4">
        <v>1</v>
      </c>
      <c r="C32" s="4">
        <f>9900/3*B32</f>
        <v>3300</v>
      </c>
      <c r="D32" s="4">
        <f t="shared" si="26"/>
        <v>3300</v>
      </c>
      <c r="E32" s="4">
        <f t="shared" ref="E32:E33" si="29">D32*0.05</f>
        <v>165</v>
      </c>
      <c r="F32" s="4">
        <v>0</v>
      </c>
      <c r="G32" s="4">
        <f>0.2/3</f>
        <v>6.6666666666666666E-2</v>
      </c>
      <c r="H32" s="4">
        <f t="shared" si="4"/>
        <v>6.6666666666666666E-2</v>
      </c>
      <c r="I32" s="4">
        <f t="shared" si="27"/>
        <v>456</v>
      </c>
      <c r="J32" s="51">
        <f t="shared" si="28"/>
        <v>115.78713</v>
      </c>
      <c r="K32" s="34"/>
      <c r="L32" s="41"/>
      <c r="M32"/>
    </row>
    <row r="33" spans="1:13" s="35" customFormat="1" ht="13.9" customHeight="1" x14ac:dyDescent="0.25">
      <c r="A33" s="48" t="s">
        <v>129</v>
      </c>
      <c r="B33" s="4">
        <v>1</v>
      </c>
      <c r="C33" s="4">
        <f>16000/3</f>
        <v>5333.333333333333</v>
      </c>
      <c r="D33" s="4">
        <f t="shared" si="26"/>
        <v>5333.333333333333</v>
      </c>
      <c r="E33" s="4">
        <f t="shared" si="29"/>
        <v>266.66666666666669</v>
      </c>
      <c r="F33" s="4">
        <v>0</v>
      </c>
      <c r="G33" s="4">
        <f>0.3/3</f>
        <v>9.9999999999999992E-2</v>
      </c>
      <c r="H33" s="4">
        <f t="shared" si="4"/>
        <v>9.9999999999999992E-2</v>
      </c>
      <c r="I33" s="4">
        <f t="shared" si="27"/>
        <v>683.99999999999989</v>
      </c>
      <c r="J33" s="51">
        <f t="shared" si="28"/>
        <v>185.56652</v>
      </c>
      <c r="K33" s="34"/>
      <c r="L33" s="41"/>
      <c r="M33"/>
    </row>
    <row r="34" spans="1:13" ht="26.25" x14ac:dyDescent="0.4">
      <c r="A34" s="1" t="s">
        <v>203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 t="shared" si="11"/>
        <v>-6.4610700000000634</v>
      </c>
      <c r="M34" s="54" t="s">
        <v>222</v>
      </c>
    </row>
    <row r="35" spans="1:13" x14ac:dyDescent="0.25">
      <c r="A35" s="3" t="s">
        <v>204</v>
      </c>
      <c r="B35" s="4">
        <v>1</v>
      </c>
      <c r="C35" s="4">
        <v>8500</v>
      </c>
      <c r="D35" s="4">
        <f t="shared" ref="D35:D36" si="30">B35*C35</f>
        <v>8500</v>
      </c>
      <c r="E35" s="4">
        <f t="shared" ref="E35:E37" si="31">D35*0.05</f>
        <v>425</v>
      </c>
      <c r="F35" s="71">
        <v>2500</v>
      </c>
      <c r="G35" s="4">
        <v>0.2</v>
      </c>
      <c r="H35" s="4">
        <f t="shared" si="4"/>
        <v>0.2</v>
      </c>
      <c r="I35" s="4">
        <f t="shared" si="27"/>
        <v>1368</v>
      </c>
      <c r="J35" s="51">
        <f t="shared" si="28"/>
        <v>377.77728999999999</v>
      </c>
      <c r="K35" s="36"/>
      <c r="L35" s="41"/>
    </row>
    <row r="36" spans="1:13" s="35" customFormat="1" x14ac:dyDescent="0.25">
      <c r="A36" s="3" t="s">
        <v>49</v>
      </c>
      <c r="B36" s="4">
        <v>1</v>
      </c>
      <c r="C36" s="4">
        <v>8400</v>
      </c>
      <c r="D36" s="44">
        <f t="shared" si="30"/>
        <v>8400</v>
      </c>
      <c r="E36" s="44">
        <f t="shared" si="31"/>
        <v>420</v>
      </c>
      <c r="F36" s="81">
        <v>0</v>
      </c>
      <c r="G36" s="4">
        <v>0.2</v>
      </c>
      <c r="H36" s="4">
        <f t="shared" si="4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25">
      <c r="A37" s="3" t="s">
        <v>204</v>
      </c>
      <c r="B37" s="4">
        <v>1</v>
      </c>
      <c r="C37" s="4">
        <v>5400</v>
      </c>
      <c r="D37" s="4">
        <f>B37*C37</f>
        <v>5400</v>
      </c>
      <c r="E37" s="4">
        <f t="shared" si="31"/>
        <v>270</v>
      </c>
      <c r="F37" s="81">
        <v>0</v>
      </c>
      <c r="G37" s="4">
        <v>0.2</v>
      </c>
      <c r="H37" s="4">
        <f t="shared" si="4"/>
        <v>0.2</v>
      </c>
      <c r="I37" s="4">
        <f t="shared" ref="I37" si="32">H37*$C$2</f>
        <v>1368</v>
      </c>
      <c r="J37" s="51">
        <f t="shared" ref="J37" si="33">(D37+E37+F37+I37)*$C$4</f>
        <v>207.83214000000001</v>
      </c>
      <c r="K37" s="45"/>
      <c r="L37" s="41"/>
    </row>
    <row r="38" spans="1:13" ht="26.25" x14ac:dyDescent="0.4">
      <c r="A38" s="1" t="s">
        <v>205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25">
      <c r="A39" s="3" t="s">
        <v>206</v>
      </c>
      <c r="B39" s="71">
        <v>2</v>
      </c>
      <c r="C39" s="4">
        <v>11640</v>
      </c>
      <c r="D39" s="4">
        <f t="shared" ref="D39:D43" si="34">B39*C39</f>
        <v>23280</v>
      </c>
      <c r="E39" s="4">
        <f t="shared" ref="E39" si="35">D39*0.05</f>
        <v>1164</v>
      </c>
      <c r="F39" s="4">
        <v>2500</v>
      </c>
      <c r="G39" s="4">
        <v>0.3</v>
      </c>
      <c r="H39" s="4">
        <f>G39*B39</f>
        <v>0.6</v>
      </c>
      <c r="I39" s="4">
        <f t="shared" si="27"/>
        <v>4104</v>
      </c>
      <c r="J39" s="51">
        <f t="shared" si="28"/>
        <v>916.84744000000001</v>
      </c>
      <c r="K39" s="36"/>
      <c r="L39" s="41"/>
    </row>
    <row r="40" spans="1:13" x14ac:dyDescent="0.25">
      <c r="A40" s="3" t="s">
        <v>67</v>
      </c>
      <c r="B40" s="4">
        <v>1</v>
      </c>
      <c r="C40" s="4">
        <v>6800</v>
      </c>
      <c r="D40" s="4">
        <f t="shared" si="34"/>
        <v>6800</v>
      </c>
      <c r="E40" s="4">
        <f>D40*0.05</f>
        <v>340</v>
      </c>
      <c r="F40" s="4">
        <v>2500</v>
      </c>
      <c r="G40" s="4">
        <v>0.2</v>
      </c>
      <c r="H40" s="4">
        <f t="shared" si="4"/>
        <v>0.2</v>
      </c>
      <c r="I40" s="4">
        <f t="shared" si="27"/>
        <v>1368</v>
      </c>
      <c r="J40" s="51">
        <f t="shared" si="28"/>
        <v>325.06623999999999</v>
      </c>
      <c r="K40" s="36"/>
      <c r="L40" s="41"/>
    </row>
    <row r="41" spans="1:13" x14ac:dyDescent="0.25">
      <c r="A41" s="3" t="s">
        <v>107</v>
      </c>
      <c r="B41" s="4">
        <v>1</v>
      </c>
      <c r="C41" s="4">
        <v>5990</v>
      </c>
      <c r="D41" s="4">
        <f t="shared" si="34"/>
        <v>5990</v>
      </c>
      <c r="E41" s="4">
        <f t="shared" ref="E41:E43" si="36">D41*0.05</f>
        <v>299.5</v>
      </c>
      <c r="F41" s="4">
        <f>2500/5</f>
        <v>500</v>
      </c>
      <c r="G41" s="4">
        <v>0.2</v>
      </c>
      <c r="H41" s="4">
        <f t="shared" si="4"/>
        <v>0.2</v>
      </c>
      <c r="I41" s="4">
        <f t="shared" si="27"/>
        <v>1368</v>
      </c>
      <c r="J41" s="51">
        <f t="shared" si="28"/>
        <v>240.890975</v>
      </c>
      <c r="K41" s="36"/>
      <c r="L41" s="41"/>
    </row>
    <row r="42" spans="1:13" x14ac:dyDescent="0.25">
      <c r="A42" s="67" t="s">
        <v>128</v>
      </c>
      <c r="B42" s="4">
        <v>1</v>
      </c>
      <c r="C42" s="4">
        <f>9900/3*B42</f>
        <v>3300</v>
      </c>
      <c r="D42" s="4">
        <f t="shared" si="34"/>
        <v>3300</v>
      </c>
      <c r="E42" s="4">
        <f t="shared" si="36"/>
        <v>165</v>
      </c>
      <c r="F42" s="4">
        <v>0</v>
      </c>
      <c r="G42" s="4">
        <f>0.2/3</f>
        <v>6.6666666666666666E-2</v>
      </c>
      <c r="H42" s="4">
        <f t="shared" si="4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25">
      <c r="A43" s="48" t="s">
        <v>129</v>
      </c>
      <c r="B43" s="4">
        <v>1</v>
      </c>
      <c r="C43" s="4">
        <f>16000/3</f>
        <v>5333.333333333333</v>
      </c>
      <c r="D43" s="44">
        <f t="shared" si="34"/>
        <v>5333.333333333333</v>
      </c>
      <c r="E43" s="44">
        <f t="shared" si="36"/>
        <v>266.66666666666669</v>
      </c>
      <c r="F43" s="4">
        <v>0</v>
      </c>
      <c r="G43" s="4">
        <f>0.3/3</f>
        <v>9.9999999999999992E-2</v>
      </c>
      <c r="H43" s="4">
        <f t="shared" si="4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.25" x14ac:dyDescent="0.4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 t="shared" si="11"/>
        <v>-13.622083999999973</v>
      </c>
    </row>
    <row r="45" spans="1:13" x14ac:dyDescent="0.25">
      <c r="A45" s="3" t="s">
        <v>172</v>
      </c>
      <c r="B45" s="71">
        <v>2</v>
      </c>
      <c r="C45" s="4">
        <v>2310</v>
      </c>
      <c r="D45" s="4">
        <f t="shared" ref="D45:D47" si="37">B45*C45</f>
        <v>4620</v>
      </c>
      <c r="E45" s="4">
        <f t="shared" ref="E45" si="38">D45*0.05</f>
        <v>231</v>
      </c>
      <c r="F45" s="4">
        <v>0</v>
      </c>
      <c r="G45" s="4">
        <v>0.2</v>
      </c>
      <c r="H45" s="4">
        <f>G45*B45</f>
        <v>0.4</v>
      </c>
      <c r="I45" s="4">
        <f t="shared" si="27"/>
        <v>2736</v>
      </c>
      <c r="J45" s="51">
        <f t="shared" si="28"/>
        <v>224.04411000000002</v>
      </c>
      <c r="K45" s="36"/>
      <c r="L45" s="41"/>
    </row>
    <row r="46" spans="1:13" x14ac:dyDescent="0.25">
      <c r="A46" s="3" t="s">
        <v>172</v>
      </c>
      <c r="B46" s="4">
        <v>1</v>
      </c>
      <c r="C46" s="4">
        <v>4000</v>
      </c>
      <c r="D46" s="4">
        <f t="shared" si="37"/>
        <v>4000</v>
      </c>
      <c r="E46" s="4">
        <f>D46*0.05</f>
        <v>200</v>
      </c>
      <c r="F46" s="4">
        <v>2500</v>
      </c>
      <c r="G46" s="4">
        <v>0.2</v>
      </c>
      <c r="H46" s="4">
        <f t="shared" si="4"/>
        <v>0.2</v>
      </c>
      <c r="I46" s="4">
        <f t="shared" si="27"/>
        <v>1368</v>
      </c>
      <c r="J46" s="51">
        <f t="shared" si="28"/>
        <v>238.24804</v>
      </c>
      <c r="K46" s="36"/>
      <c r="L46" s="41"/>
    </row>
    <row r="47" spans="1:13" x14ac:dyDescent="0.25">
      <c r="A47" s="48" t="s">
        <v>102</v>
      </c>
      <c r="B47" s="4">
        <v>1</v>
      </c>
      <c r="C47" s="4">
        <f>11900/3</f>
        <v>3966.6666666666665</v>
      </c>
      <c r="D47" s="4">
        <f t="shared" si="37"/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4"/>
        <v>0.17</v>
      </c>
      <c r="I47" s="4">
        <f t="shared" si="27"/>
        <v>1162.8000000000002</v>
      </c>
      <c r="J47" s="51">
        <f t="shared" si="28"/>
        <v>157.32993400000001</v>
      </c>
      <c r="K47" s="36"/>
      <c r="L47" s="41"/>
    </row>
    <row r="48" spans="1:13" ht="26.25" x14ac:dyDescent="0.4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 t="shared" si="11"/>
        <v>-7.6781050000000164</v>
      </c>
    </row>
    <row r="49" spans="1:34" x14ac:dyDescent="0.25">
      <c r="A49" s="3" t="s">
        <v>107</v>
      </c>
      <c r="B49" s="4">
        <v>1</v>
      </c>
      <c r="C49" s="4">
        <v>5990</v>
      </c>
      <c r="D49" s="4">
        <f t="shared" ref="D49:D50" si="39">B49*C49</f>
        <v>5990</v>
      </c>
      <c r="E49" s="4">
        <f t="shared" ref="E49" si="40">D49*0.05</f>
        <v>299.5</v>
      </c>
      <c r="F49" s="4">
        <f>2500/5</f>
        <v>500</v>
      </c>
      <c r="G49" s="4">
        <v>0.2</v>
      </c>
      <c r="H49" s="4">
        <f t="shared" si="4"/>
        <v>0.2</v>
      </c>
      <c r="I49" s="4">
        <f t="shared" ref="I49" si="41">H49*$C$2</f>
        <v>1368</v>
      </c>
      <c r="J49" s="51">
        <f t="shared" ref="J49" si="42">(D49+E49+F49+I49)*$C$4</f>
        <v>240.890975</v>
      </c>
      <c r="K49" s="36"/>
      <c r="L49" s="41"/>
    </row>
    <row r="50" spans="1:34" x14ac:dyDescent="0.25">
      <c r="A50" s="67" t="s">
        <v>128</v>
      </c>
      <c r="B50" s="4">
        <v>1</v>
      </c>
      <c r="C50" s="4">
        <f>9900/3*B50</f>
        <v>3300</v>
      </c>
      <c r="D50" s="4">
        <f t="shared" si="39"/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4"/>
        <v>6.6666666666666666E-2</v>
      </c>
      <c r="I50" s="4">
        <f t="shared" si="27"/>
        <v>456</v>
      </c>
      <c r="J50" s="51">
        <f t="shared" si="28"/>
        <v>115.78713</v>
      </c>
      <c r="K50" s="36"/>
      <c r="L50" s="41"/>
    </row>
    <row r="51" spans="1:34" ht="26.25" x14ac:dyDescent="0.4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 t="shared" si="11"/>
        <v>-99.862169999999878</v>
      </c>
    </row>
    <row r="52" spans="1:34" x14ac:dyDescent="0.2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 t="shared" ref="E52:E54" si="43">D52*0.05</f>
        <v>500</v>
      </c>
      <c r="F52" s="4">
        <v>2500</v>
      </c>
      <c r="G52" s="4">
        <v>0.4</v>
      </c>
      <c r="H52" s="4">
        <f t="shared" si="4"/>
        <v>0.4</v>
      </c>
      <c r="I52" s="4">
        <f t="shared" si="27"/>
        <v>2736</v>
      </c>
      <c r="J52" s="51">
        <f t="shared" si="28"/>
        <v>464.68407999999999</v>
      </c>
      <c r="K52" s="36"/>
      <c r="L52" s="41"/>
    </row>
    <row r="53" spans="1:34" s="35" customFormat="1" x14ac:dyDescent="0.25">
      <c r="A53" s="3" t="s">
        <v>57</v>
      </c>
      <c r="B53" s="4">
        <v>1</v>
      </c>
      <c r="C53" s="4">
        <v>9510</v>
      </c>
      <c r="D53" s="4">
        <f t="shared" ref="D53:D54" si="44">B53*C53</f>
        <v>9510</v>
      </c>
      <c r="E53" s="4">
        <f t="shared" si="43"/>
        <v>475.5</v>
      </c>
      <c r="F53" s="4">
        <v>2500</v>
      </c>
      <c r="G53" s="4">
        <v>0.3</v>
      </c>
      <c r="H53" s="4">
        <f t="shared" si="4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25">
      <c r="A54" s="3" t="s">
        <v>207</v>
      </c>
      <c r="B54" s="4">
        <v>1</v>
      </c>
      <c r="C54" s="4">
        <v>5950</v>
      </c>
      <c r="D54" s="4">
        <f t="shared" si="44"/>
        <v>5950</v>
      </c>
      <c r="E54" s="4">
        <f t="shared" si="43"/>
        <v>297.5</v>
      </c>
      <c r="F54" s="4">
        <v>0</v>
      </c>
      <c r="G54" s="4">
        <v>0.2</v>
      </c>
      <c r="H54" s="4">
        <f t="shared" ref="H54:H70" si="45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.25" x14ac:dyDescent="0.4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25">
      <c r="A56" s="3" t="s">
        <v>208</v>
      </c>
      <c r="B56" s="4">
        <v>1</v>
      </c>
      <c r="C56" s="4">
        <v>10500</v>
      </c>
      <c r="D56" s="4">
        <f t="shared" ref="D56:D59" si="46">B56*C56</f>
        <v>10500</v>
      </c>
      <c r="E56" s="4">
        <f t="shared" ref="E56:E59" si="47">D56*0.05</f>
        <v>525</v>
      </c>
      <c r="F56" s="4">
        <v>0</v>
      </c>
      <c r="G56" s="4">
        <v>0.2</v>
      </c>
      <c r="H56" s="4">
        <f t="shared" si="45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25">
      <c r="A57" s="3" t="s">
        <v>209</v>
      </c>
      <c r="B57" s="4">
        <v>1</v>
      </c>
      <c r="C57" s="4">
        <v>6000</v>
      </c>
      <c r="D57" s="4">
        <f t="shared" si="46"/>
        <v>6000</v>
      </c>
      <c r="E57" s="4">
        <f t="shared" si="47"/>
        <v>300</v>
      </c>
      <c r="F57" s="4">
        <v>2500</v>
      </c>
      <c r="G57" s="4">
        <v>0.2</v>
      </c>
      <c r="H57" s="4">
        <f t="shared" si="45"/>
        <v>0.2</v>
      </c>
      <c r="I57" s="4">
        <f t="shared" ref="I57:I59" si="48">H57*$C$2</f>
        <v>1368</v>
      </c>
      <c r="J57" s="51">
        <f t="shared" ref="J57" si="49">(D57+E57+F57+I57)*$C$4</f>
        <v>300.26103999999998</v>
      </c>
      <c r="K57" s="36"/>
      <c r="L57" s="41"/>
    </row>
    <row r="58" spans="1:34" s="35" customFormat="1" x14ac:dyDescent="0.25">
      <c r="A58" s="3" t="s">
        <v>210</v>
      </c>
      <c r="B58" s="71">
        <v>2</v>
      </c>
      <c r="C58" s="4">
        <v>3770</v>
      </c>
      <c r="D58" s="44">
        <f t="shared" si="46"/>
        <v>7540</v>
      </c>
      <c r="E58" s="44">
        <f t="shared" si="47"/>
        <v>377</v>
      </c>
      <c r="F58" s="4">
        <v>2500</v>
      </c>
      <c r="G58" s="4">
        <f>0.2*B58</f>
        <v>0.4</v>
      </c>
      <c r="H58" s="4">
        <f t="shared" si="45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25">
      <c r="A59" s="67" t="s">
        <v>128</v>
      </c>
      <c r="B59" s="4">
        <v>1</v>
      </c>
      <c r="C59" s="4">
        <f>9900/3*B59</f>
        <v>3300</v>
      </c>
      <c r="D59" s="4">
        <f t="shared" si="46"/>
        <v>3300</v>
      </c>
      <c r="E59" s="4">
        <f t="shared" si="47"/>
        <v>165</v>
      </c>
      <c r="F59" s="4">
        <v>0</v>
      </c>
      <c r="G59" s="4">
        <f>0.2/3</f>
        <v>6.6666666666666666E-2</v>
      </c>
      <c r="H59" s="4">
        <f t="shared" si="45"/>
        <v>6.6666666666666666E-2</v>
      </c>
      <c r="I59" s="4">
        <f t="shared" si="48"/>
        <v>456</v>
      </c>
      <c r="J59" s="51">
        <f t="shared" ref="J59" si="50">(D59+E59+F59+I59)*$C$4</f>
        <v>115.78713</v>
      </c>
      <c r="K59" s="36"/>
      <c r="L59" s="41"/>
    </row>
    <row r="60" spans="1:34" s="31" customFormat="1" ht="26.25" x14ac:dyDescent="0.4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 t="shared" ref="L60" si="51"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3" t="s">
        <v>211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45"/>
        <v>0.3</v>
      </c>
      <c r="I61" s="4">
        <f t="shared" si="27"/>
        <v>2052</v>
      </c>
      <c r="J61" s="51">
        <f t="shared" si="28"/>
        <v>249.14461</v>
      </c>
      <c r="K61" s="36"/>
      <c r="L61" s="36"/>
    </row>
    <row r="62" spans="1:34" s="35" customFormat="1" x14ac:dyDescent="0.25">
      <c r="A62" s="3" t="s">
        <v>212</v>
      </c>
      <c r="B62" s="4">
        <v>1</v>
      </c>
      <c r="C62" s="4">
        <v>3490</v>
      </c>
      <c r="D62" s="4">
        <f t="shared" ref="D62:D63" si="52">B62*C62</f>
        <v>3490</v>
      </c>
      <c r="E62" s="4">
        <f t="shared" ref="E62:E70" si="53">D62*0.05</f>
        <v>174.5</v>
      </c>
      <c r="F62" s="81">
        <v>0</v>
      </c>
      <c r="G62" s="4">
        <v>0.3</v>
      </c>
      <c r="H62" s="4">
        <f t="shared" si="45"/>
        <v>0.3</v>
      </c>
      <c r="I62" s="4">
        <f>H62*$C$2</f>
        <v>2052</v>
      </c>
      <c r="J62" s="51">
        <f>(D62+E62+F62+I62)*$C$4</f>
        <v>168.808245</v>
      </c>
      <c r="K62" s="34"/>
      <c r="L62" s="41"/>
    </row>
    <row r="63" spans="1:34" s="35" customFormat="1" x14ac:dyDescent="0.25">
      <c r="A63" s="3" t="s">
        <v>212</v>
      </c>
      <c r="B63" s="4">
        <v>1</v>
      </c>
      <c r="C63" s="4">
        <v>3470</v>
      </c>
      <c r="D63" s="4">
        <f t="shared" si="52"/>
        <v>3470</v>
      </c>
      <c r="E63" s="4">
        <f t="shared" si="53"/>
        <v>173.5</v>
      </c>
      <c r="F63" s="81">
        <v>0</v>
      </c>
      <c r="G63" s="4">
        <v>0.3</v>
      </c>
      <c r="H63" s="4">
        <f t="shared" si="45"/>
        <v>0.3</v>
      </c>
      <c r="I63" s="4">
        <f>H63*$C$2</f>
        <v>2052</v>
      </c>
      <c r="J63" s="51">
        <f>(D63+E63+F63+I63)*$C$4</f>
        <v>168.18811500000001</v>
      </c>
      <c r="K63" s="34"/>
      <c r="L63" s="41"/>
    </row>
    <row r="64" spans="1:34" s="35" customFormat="1" x14ac:dyDescent="0.25">
      <c r="A64" s="3" t="s">
        <v>212</v>
      </c>
      <c r="B64" s="4">
        <v>1</v>
      </c>
      <c r="C64" s="4">
        <v>3490</v>
      </c>
      <c r="D64" s="4">
        <f t="shared" ref="D64:D68" si="54">B64*C64</f>
        <v>3490</v>
      </c>
      <c r="E64" s="4">
        <f t="shared" ref="E64:E68" si="55">D64*0.05</f>
        <v>174.5</v>
      </c>
      <c r="F64" s="81">
        <v>0</v>
      </c>
      <c r="G64" s="4">
        <v>0.3</v>
      </c>
      <c r="H64" s="4">
        <f t="shared" si="45"/>
        <v>0.3</v>
      </c>
      <c r="I64" s="4">
        <f t="shared" ref="I64:I68" si="56">H64*$C$2</f>
        <v>2052</v>
      </c>
      <c r="J64" s="51">
        <f t="shared" ref="J64:J68" si="57">(D64+E64+F64+I64)*$C$4</f>
        <v>168.808245</v>
      </c>
      <c r="K64" s="34"/>
      <c r="L64" s="41"/>
    </row>
    <row r="65" spans="1:12" s="35" customFormat="1" x14ac:dyDescent="0.25">
      <c r="A65" s="3" t="s">
        <v>212</v>
      </c>
      <c r="B65" s="4">
        <v>1</v>
      </c>
      <c r="C65" s="4">
        <v>3470</v>
      </c>
      <c r="D65" s="4">
        <f t="shared" si="54"/>
        <v>3470</v>
      </c>
      <c r="E65" s="4">
        <f t="shared" si="55"/>
        <v>173.5</v>
      </c>
      <c r="F65" s="81">
        <v>0</v>
      </c>
      <c r="G65" s="4">
        <v>0.3</v>
      </c>
      <c r="H65" s="4">
        <f t="shared" si="45"/>
        <v>0.3</v>
      </c>
      <c r="I65" s="4">
        <f t="shared" si="56"/>
        <v>2052</v>
      </c>
      <c r="J65" s="51">
        <f t="shared" si="57"/>
        <v>168.18811500000001</v>
      </c>
      <c r="K65" s="34"/>
      <c r="L65" s="41"/>
    </row>
    <row r="66" spans="1:12" s="35" customFormat="1" x14ac:dyDescent="0.25">
      <c r="A66" s="3" t="s">
        <v>212</v>
      </c>
      <c r="B66" s="4">
        <v>1</v>
      </c>
      <c r="C66" s="4">
        <v>3470</v>
      </c>
      <c r="D66" s="4">
        <f t="shared" si="54"/>
        <v>3470</v>
      </c>
      <c r="E66" s="4">
        <f t="shared" si="55"/>
        <v>173.5</v>
      </c>
      <c r="F66" s="81">
        <v>0</v>
      </c>
      <c r="G66" s="4">
        <v>0.3</v>
      </c>
      <c r="H66" s="4">
        <f t="shared" si="45"/>
        <v>0.3</v>
      </c>
      <c r="I66" s="4">
        <f t="shared" si="56"/>
        <v>2052</v>
      </c>
      <c r="J66" s="51">
        <f t="shared" si="57"/>
        <v>168.18811500000001</v>
      </c>
      <c r="K66" s="34"/>
      <c r="L66" s="41"/>
    </row>
    <row r="67" spans="1:12" s="35" customFormat="1" x14ac:dyDescent="0.25">
      <c r="A67" s="3" t="s">
        <v>212</v>
      </c>
      <c r="B67" s="4">
        <v>1</v>
      </c>
      <c r="C67" s="4">
        <v>3470</v>
      </c>
      <c r="D67" s="4">
        <f t="shared" si="54"/>
        <v>3470</v>
      </c>
      <c r="E67" s="4">
        <f t="shared" si="55"/>
        <v>173.5</v>
      </c>
      <c r="F67" s="81">
        <v>0</v>
      </c>
      <c r="G67" s="4">
        <v>0.3</v>
      </c>
      <c r="H67" s="4">
        <f t="shared" si="45"/>
        <v>0.3</v>
      </c>
      <c r="I67" s="4">
        <f t="shared" si="56"/>
        <v>2052</v>
      </c>
      <c r="J67" s="51">
        <f t="shared" si="57"/>
        <v>168.18811500000001</v>
      </c>
      <c r="K67" s="34"/>
      <c r="L67" s="41"/>
    </row>
    <row r="68" spans="1:12" s="35" customFormat="1" x14ac:dyDescent="0.25">
      <c r="A68" s="3" t="s">
        <v>212</v>
      </c>
      <c r="B68" s="4">
        <v>1</v>
      </c>
      <c r="C68" s="4">
        <v>3490</v>
      </c>
      <c r="D68" s="4">
        <f t="shared" si="54"/>
        <v>3490</v>
      </c>
      <c r="E68" s="4">
        <f t="shared" si="55"/>
        <v>174.5</v>
      </c>
      <c r="F68" s="81">
        <v>0</v>
      </c>
      <c r="G68" s="4">
        <v>0.3</v>
      </c>
      <c r="H68" s="4">
        <f t="shared" si="45"/>
        <v>0.3</v>
      </c>
      <c r="I68" s="4">
        <f t="shared" si="56"/>
        <v>2052</v>
      </c>
      <c r="J68" s="51">
        <f t="shared" si="57"/>
        <v>168.808245</v>
      </c>
      <c r="K68" s="34"/>
      <c r="L68" s="41"/>
    </row>
    <row r="69" spans="1:12" x14ac:dyDescent="0.25">
      <c r="A69" s="73" t="s">
        <v>162</v>
      </c>
      <c r="B69" s="4">
        <v>1</v>
      </c>
      <c r="C69" s="21">
        <v>12900</v>
      </c>
      <c r="D69" s="4">
        <f>B69*C69</f>
        <v>12900</v>
      </c>
      <c r="E69" s="4">
        <f t="shared" si="53"/>
        <v>645</v>
      </c>
      <c r="F69" s="4">
        <f>2500/3</f>
        <v>833.33333333333337</v>
      </c>
      <c r="G69" s="4">
        <v>0.5</v>
      </c>
      <c r="H69" s="4">
        <f t="shared" si="45"/>
        <v>0.5</v>
      </c>
      <c r="I69" s="4">
        <f t="shared" ref="I69" si="58">H69*$C$2</f>
        <v>3420</v>
      </c>
      <c r="J69" s="51">
        <f t="shared" ref="J69" si="59">(D69+E69+F69+I69)*$C$4</f>
        <v>525.58478333333346</v>
      </c>
      <c r="K69" s="34"/>
      <c r="L69" s="41"/>
    </row>
    <row r="70" spans="1:12" x14ac:dyDescent="0.2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3"/>
        <v>595</v>
      </c>
      <c r="F70" s="4">
        <v>0</v>
      </c>
      <c r="G70" s="4">
        <f>0.51</f>
        <v>0.51</v>
      </c>
      <c r="H70" s="4">
        <f t="shared" si="45"/>
        <v>0.51</v>
      </c>
      <c r="I70" s="4">
        <f>H70*$C$2</f>
        <v>3488.4</v>
      </c>
      <c r="J70" s="51">
        <f>(D70+E70+F70+I70)*$C$4</f>
        <v>471.989802</v>
      </c>
      <c r="K70" s="34"/>
      <c r="L70" s="41"/>
    </row>
    <row r="71" spans="1:12" x14ac:dyDescent="0.25">
      <c r="D71" s="75"/>
      <c r="E71" s="76"/>
    </row>
    <row r="72" spans="1:12" x14ac:dyDescent="0.25">
      <c r="E72" s="75"/>
    </row>
    <row r="73" spans="1:12" x14ac:dyDescent="0.2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220</v>
      </c>
      <c r="B1" s="4"/>
      <c r="C1" s="15">
        <v>41507</v>
      </c>
      <c r="D1" s="30"/>
    </row>
    <row r="2" spans="1:13" ht="21" x14ac:dyDescent="0.35">
      <c r="A2" s="55" t="s">
        <v>219</v>
      </c>
      <c r="B2" s="4"/>
      <c r="C2" s="16">
        <v>6760</v>
      </c>
      <c r="D2" s="30" t="s">
        <v>224</v>
      </c>
    </row>
    <row r="3" spans="1:13" ht="21" x14ac:dyDescent="0.35">
      <c r="A3" s="55" t="s">
        <v>218</v>
      </c>
      <c r="B3" s="4"/>
      <c r="C3" s="16">
        <v>3.0099999999999998E-2</v>
      </c>
      <c r="D3" s="30" t="s">
        <v>225</v>
      </c>
    </row>
    <row r="4" spans="1:13" ht="26.45" customHeight="1" x14ac:dyDescent="0.3">
      <c r="A4" s="56"/>
      <c r="C4" s="19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 t="shared" ref="L6:L8" si="0">K6-J6</f>
        <v>4.4403500000000236</v>
      </c>
    </row>
    <row r="7" spans="1:13" x14ac:dyDescent="0.25">
      <c r="A7" t="s">
        <v>57</v>
      </c>
      <c r="B7" s="21">
        <v>1</v>
      </c>
      <c r="C7" s="4">
        <v>7970</v>
      </c>
      <c r="D7" s="4">
        <f t="shared" ref="D7" si="1"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.25" x14ac:dyDescent="0.4">
      <c r="A8" s="31" t="s">
        <v>226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 t="shared" si="0"/>
        <v>378</v>
      </c>
    </row>
    <row r="9" spans="1:13" x14ac:dyDescent="0.25">
      <c r="A9" s="83" t="s">
        <v>239</v>
      </c>
      <c r="B9" s="4">
        <v>1</v>
      </c>
      <c r="C9" s="4">
        <v>7400</v>
      </c>
      <c r="D9" s="4">
        <f t="shared" ref="D9" si="2">B9*C9</f>
        <v>7400</v>
      </c>
      <c r="E9" s="4">
        <f t="shared" ref="E9" si="3">D9*0.05</f>
        <v>370</v>
      </c>
      <c r="F9" s="4">
        <v>833.33</v>
      </c>
      <c r="G9" s="4">
        <v>0.6</v>
      </c>
      <c r="H9" s="4">
        <f t="shared" ref="H9:H25" si="4">G9</f>
        <v>0.6</v>
      </c>
      <c r="I9" s="4">
        <f t="shared" ref="I9" si="5">H9*$C$2</f>
        <v>4056</v>
      </c>
      <c r="J9" s="51">
        <v>0</v>
      </c>
      <c r="K9" s="36"/>
      <c r="L9" s="41"/>
    </row>
    <row r="10" spans="1:13" ht="26.25" x14ac:dyDescent="0.4">
      <c r="A10" s="1" t="s">
        <v>231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238</v>
      </c>
    </row>
    <row r="11" spans="1:13" x14ac:dyDescent="0.25">
      <c r="A11" s="18" t="s">
        <v>237</v>
      </c>
      <c r="B11" s="4">
        <v>1</v>
      </c>
      <c r="C11" s="4">
        <v>1700</v>
      </c>
      <c r="D11" s="4">
        <f t="shared" ref="D11" si="6">B11*C11</f>
        <v>1700</v>
      </c>
      <c r="E11" s="4">
        <f t="shared" ref="E11" si="7">D11*0.05</f>
        <v>85</v>
      </c>
      <c r="F11" s="4">
        <v>2500</v>
      </c>
      <c r="G11" s="71">
        <v>0.5</v>
      </c>
      <c r="H11" s="4">
        <f t="shared" si="4"/>
        <v>0.5</v>
      </c>
      <c r="I11" s="4">
        <f>H11*$C$2</f>
        <v>3380</v>
      </c>
      <c r="J11" s="51">
        <v>0</v>
      </c>
      <c r="K11" s="36"/>
      <c r="L11" s="41"/>
    </row>
    <row r="12" spans="1:13" ht="26.25" x14ac:dyDescent="0.4">
      <c r="A12" s="1" t="s">
        <v>232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8">K12-J12</f>
        <v>-6.3693999999999846</v>
      </c>
    </row>
    <row r="13" spans="1:13" s="35" customFormat="1" x14ac:dyDescent="0.25">
      <c r="A13" s="4" t="s">
        <v>67</v>
      </c>
      <c r="B13" s="4">
        <v>1</v>
      </c>
      <c r="C13" s="4">
        <v>9800</v>
      </c>
      <c r="D13" s="44">
        <f t="shared" ref="D13" si="9">B13*C13</f>
        <v>9800</v>
      </c>
      <c r="E13" s="44">
        <f t="shared" ref="E13" si="10">D13*0.05</f>
        <v>490</v>
      </c>
      <c r="F13">
        <v>2500</v>
      </c>
      <c r="G13">
        <v>0.4</v>
      </c>
      <c r="H13" s="4">
        <f t="shared" si="4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.25" x14ac:dyDescent="0.4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8"/>
        <v>0.10071999999991021</v>
      </c>
    </row>
    <row r="15" spans="1:13" s="35" customFormat="1" x14ac:dyDescent="0.25">
      <c r="A15" s="4" t="s">
        <v>233</v>
      </c>
      <c r="B15" s="21">
        <v>1</v>
      </c>
      <c r="C15" s="21">
        <v>45600</v>
      </c>
      <c r="D15" s="44">
        <f t="shared" ref="D15" si="11">B15*C15</f>
        <v>45600</v>
      </c>
      <c r="E15" s="44">
        <f t="shared" ref="E15" si="12">D15*0.05</f>
        <v>2280</v>
      </c>
      <c r="F15" s="4">
        <v>0</v>
      </c>
      <c r="G15" s="21">
        <v>0.78</v>
      </c>
      <c r="H15" s="4">
        <f t="shared" si="4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.25" x14ac:dyDescent="0.4">
      <c r="A16" s="1" t="s">
        <v>196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25">
      <c r="A17" s="4" t="s">
        <v>234</v>
      </c>
      <c r="B17" s="5">
        <v>1</v>
      </c>
      <c r="C17" s="4">
        <v>12000</v>
      </c>
      <c r="D17" s="4">
        <f t="shared" ref="D17" si="13">B17*C17</f>
        <v>12000</v>
      </c>
      <c r="E17" s="4">
        <f t="shared" ref="E17" si="14">D17*0.05</f>
        <v>600</v>
      </c>
      <c r="F17" s="4">
        <v>2500</v>
      </c>
      <c r="G17" s="4">
        <v>0.35</v>
      </c>
      <c r="H17" s="4">
        <f t="shared" si="4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8"/>
        <v>-6.690400000000011</v>
      </c>
    </row>
    <row r="19" spans="1:12" x14ac:dyDescent="0.25">
      <c r="A19" s="4" t="s">
        <v>227</v>
      </c>
      <c r="B19" s="4">
        <v>1</v>
      </c>
      <c r="C19" s="4">
        <v>3000</v>
      </c>
      <c r="D19" s="4">
        <f>B19*C19</f>
        <v>3000</v>
      </c>
      <c r="E19" s="4">
        <f t="shared" ref="E19:E20" si="15">D19*0.05</f>
        <v>150</v>
      </c>
      <c r="F19" s="4">
        <v>2500</v>
      </c>
      <c r="G19" s="4">
        <v>0.2</v>
      </c>
      <c r="H19" s="4">
        <f t="shared" si="4"/>
        <v>0.2</v>
      </c>
      <c r="I19" s="4">
        <f t="shared" ref="I19" si="16">H19*$C$2</f>
        <v>1352</v>
      </c>
      <c r="J19" s="51">
        <f t="shared" ref="J19" si="17">(D19+E19+F19+I19)*$C$3</f>
        <v>210.7602</v>
      </c>
      <c r="K19" s="45"/>
      <c r="L19" s="41"/>
    </row>
    <row r="20" spans="1:12" x14ac:dyDescent="0.25">
      <c r="A20" s="4" t="s">
        <v>228</v>
      </c>
      <c r="B20" s="4">
        <v>1</v>
      </c>
      <c r="C20" s="4">
        <v>7000</v>
      </c>
      <c r="D20" s="4">
        <f t="shared" ref="D20" si="18">B20*C20</f>
        <v>7000</v>
      </c>
      <c r="E20" s="4">
        <f t="shared" si="15"/>
        <v>350</v>
      </c>
      <c r="F20" s="4">
        <v>0</v>
      </c>
      <c r="G20" s="4">
        <v>0.2</v>
      </c>
      <c r="H20" s="4">
        <f t="shared" si="4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.25" x14ac:dyDescent="0.4">
      <c r="A21" s="31" t="s">
        <v>203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25">
      <c r="A22" s="4" t="s">
        <v>229</v>
      </c>
      <c r="B22" s="4">
        <v>2</v>
      </c>
      <c r="C22" s="4">
        <v>8500</v>
      </c>
      <c r="D22" s="4">
        <f t="shared" ref="D22:D25" si="19">B22*C22</f>
        <v>17000</v>
      </c>
      <c r="E22" s="4">
        <f t="shared" ref="E22" si="20">D22*0.05</f>
        <v>850</v>
      </c>
      <c r="F22" s="4">
        <v>2500</v>
      </c>
      <c r="G22" s="4">
        <v>0.2</v>
      </c>
      <c r="H22" s="4">
        <f>G22*B22</f>
        <v>0.4</v>
      </c>
      <c r="I22" s="4">
        <f t="shared" ref="I22:I24" si="21">H22*$C$2</f>
        <v>2704</v>
      </c>
      <c r="J22" s="51">
        <f>(D22+E22+F22+I22)*$C$3</f>
        <v>693.92539999999997</v>
      </c>
      <c r="K22" s="36"/>
      <c r="L22" s="41"/>
    </row>
    <row r="23" spans="1:12" x14ac:dyDescent="0.25">
      <c r="A23" s="4" t="s">
        <v>230</v>
      </c>
      <c r="B23" s="4">
        <v>1</v>
      </c>
      <c r="C23" s="4">
        <v>10430</v>
      </c>
      <c r="D23" s="4">
        <f t="shared" si="19"/>
        <v>10430</v>
      </c>
      <c r="E23" s="4">
        <f>D23*0.05</f>
        <v>521.5</v>
      </c>
      <c r="F23" s="4">
        <v>2500</v>
      </c>
      <c r="G23" s="4">
        <v>0.2</v>
      </c>
      <c r="H23" s="4">
        <f t="shared" si="4"/>
        <v>0.2</v>
      </c>
      <c r="I23" s="4">
        <f t="shared" si="21"/>
        <v>1352</v>
      </c>
      <c r="J23" s="51">
        <f>(D23+E23+F23+I23)*$C$3</f>
        <v>445.58534999999995</v>
      </c>
      <c r="K23" s="36"/>
      <c r="L23" s="41"/>
    </row>
    <row r="24" spans="1:12" x14ac:dyDescent="0.25">
      <c r="A24" s="4" t="s">
        <v>200</v>
      </c>
      <c r="B24" s="4">
        <v>1</v>
      </c>
      <c r="C24" s="4">
        <v>18400</v>
      </c>
      <c r="D24" s="4">
        <f t="shared" si="19"/>
        <v>18400</v>
      </c>
      <c r="E24" s="4">
        <f t="shared" ref="E24:E25" si="22">D24*0.05</f>
        <v>920</v>
      </c>
      <c r="F24" s="4">
        <v>0</v>
      </c>
      <c r="G24" s="4">
        <v>0.2</v>
      </c>
      <c r="H24" s="4">
        <f t="shared" si="4"/>
        <v>0.2</v>
      </c>
      <c r="I24" s="4">
        <f t="shared" si="21"/>
        <v>1352</v>
      </c>
      <c r="J24" s="51">
        <f>(D24+E24+F24+I24)*$C$3</f>
        <v>622.22719999999993</v>
      </c>
      <c r="K24" s="36"/>
      <c r="L24" s="41"/>
    </row>
    <row r="25" spans="1:12" x14ac:dyDescent="0.25">
      <c r="A25" s="4" t="s">
        <v>200</v>
      </c>
      <c r="B25" s="4">
        <v>1</v>
      </c>
      <c r="C25" s="4">
        <v>3700</v>
      </c>
      <c r="D25" s="4">
        <f t="shared" si="19"/>
        <v>3700</v>
      </c>
      <c r="E25" s="4">
        <f t="shared" si="22"/>
        <v>185</v>
      </c>
      <c r="F25" s="4">
        <v>2500</v>
      </c>
      <c r="G25" s="4">
        <v>0.2</v>
      </c>
      <c r="H25" s="4">
        <f t="shared" si="4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7109375" customWidth="1"/>
    <col min="11" max="11" width="14.140625" customWidth="1"/>
    <col min="12" max="12" width="10.85546875" customWidth="1"/>
  </cols>
  <sheetData>
    <row r="1" spans="1:13" ht="21" x14ac:dyDescent="0.35">
      <c r="A1" s="55" t="s">
        <v>220</v>
      </c>
      <c r="B1" s="4"/>
      <c r="C1" s="15">
        <v>41558</v>
      </c>
      <c r="D1" s="30"/>
    </row>
    <row r="2" spans="1:13" ht="38.25" x14ac:dyDescent="0.35">
      <c r="A2" s="55" t="s">
        <v>240</v>
      </c>
      <c r="B2" s="4"/>
      <c r="C2" s="16">
        <v>6480</v>
      </c>
      <c r="D2" s="30"/>
    </row>
    <row r="3" spans="1:13" ht="21" x14ac:dyDescent="0.35">
      <c r="A3" s="55" t="s">
        <v>241</v>
      </c>
      <c r="B3" s="4"/>
      <c r="C3" s="16">
        <v>3.1E-2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226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 t="shared" ref="L6:L8" si="0">K6-J6</f>
        <v>-380.53133333333335</v>
      </c>
    </row>
    <row r="7" spans="1:13" x14ac:dyDescent="0.25">
      <c r="A7" s="35" t="s">
        <v>242</v>
      </c>
      <c r="B7" s="4">
        <v>1</v>
      </c>
      <c r="C7" s="4">
        <v>7400</v>
      </c>
      <c r="D7" s="4">
        <f t="shared" ref="D7" si="1"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.25" x14ac:dyDescent="0.4">
      <c r="A8" s="31" t="s">
        <v>269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 t="shared" si="0"/>
        <v>-5.2999999999883585E-2</v>
      </c>
    </row>
    <row r="9" spans="1:13" x14ac:dyDescent="0.25">
      <c r="A9" t="s">
        <v>229</v>
      </c>
      <c r="B9">
        <v>3</v>
      </c>
      <c r="C9">
        <v>8500</v>
      </c>
      <c r="D9" s="4">
        <f t="shared" ref="D9" si="2">B9*C9</f>
        <v>25500</v>
      </c>
      <c r="E9" s="4">
        <f t="shared" ref="E9" si="3">D9*0.05</f>
        <v>1275</v>
      </c>
      <c r="F9">
        <v>2500</v>
      </c>
      <c r="G9">
        <v>0.2</v>
      </c>
      <c r="H9" s="4">
        <f>G9*B9</f>
        <v>0.60000000000000009</v>
      </c>
      <c r="I9" s="4">
        <f t="shared" ref="I9" si="4">H9*$C$2</f>
        <v>3888.0000000000005</v>
      </c>
      <c r="J9" s="51">
        <f>(D9+E9+F9+I9)*$C$3</f>
        <v>1028.0529999999999</v>
      </c>
      <c r="K9" s="6"/>
      <c r="L9" s="17"/>
    </row>
    <row r="10" spans="1:13" ht="26.25" x14ac:dyDescent="0.4">
      <c r="A10" s="31" t="s">
        <v>243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25">
      <c r="A11" s="84" t="s">
        <v>244</v>
      </c>
      <c r="B11" s="4">
        <v>1</v>
      </c>
      <c r="C11" s="4">
        <v>5250</v>
      </c>
      <c r="D11" s="4">
        <f t="shared" ref="D11" si="5">B11*C11</f>
        <v>5250</v>
      </c>
      <c r="E11" s="4">
        <f t="shared" ref="E11" si="6">D11*0.05</f>
        <v>262.5</v>
      </c>
      <c r="F11" s="4">
        <v>2500</v>
      </c>
      <c r="G11" s="4">
        <v>0.3</v>
      </c>
      <c r="H11" s="4">
        <f t="shared" ref="H11:H41" si="7"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.25" x14ac:dyDescent="0.4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 t="shared" ref="L12:L22" si="8">K12-J12</f>
        <v>-5.1536666666667088</v>
      </c>
    </row>
    <row r="13" spans="1:13" s="35" customFormat="1" x14ac:dyDescent="0.25">
      <c r="A13" s="3" t="s">
        <v>245</v>
      </c>
      <c r="B13" s="4">
        <v>1</v>
      </c>
      <c r="C13" s="4">
        <f>14200/2</f>
        <v>7100</v>
      </c>
      <c r="D13" s="44">
        <f t="shared" ref="D13" si="9">B13*C13</f>
        <v>7100</v>
      </c>
      <c r="E13" s="44">
        <f t="shared" ref="E13" si="10">D13*0.05</f>
        <v>355</v>
      </c>
      <c r="F13" s="4">
        <f>2500/6</f>
        <v>416.66666666666669</v>
      </c>
      <c r="G13" s="4">
        <f>0.3/2</f>
        <v>0.15</v>
      </c>
      <c r="H13" s="4">
        <f t="shared" si="7"/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.25" x14ac:dyDescent="0.4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 t="shared" si="8"/>
        <v>-14.76833333333343</v>
      </c>
    </row>
    <row r="15" spans="1:13" s="35" customFormat="1" x14ac:dyDescent="0.25">
      <c r="A15" s="3" t="s">
        <v>246</v>
      </c>
      <c r="B15" s="4">
        <v>5</v>
      </c>
      <c r="C15" s="4">
        <f>14200/2</f>
        <v>7100</v>
      </c>
      <c r="D15" s="44">
        <f>B15*C15</f>
        <v>35500</v>
      </c>
      <c r="E15" s="44">
        <f t="shared" ref="E15" si="11"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.25" x14ac:dyDescent="0.4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 t="shared" ref="L16" si="12">K16-J16</f>
        <v>0.36239999999997963</v>
      </c>
    </row>
    <row r="17" spans="1:12" s="35" customFormat="1" ht="19.899999999999999" customHeight="1" x14ac:dyDescent="0.25">
      <c r="A17" s="3" t="s">
        <v>247</v>
      </c>
      <c r="B17" s="4">
        <v>2</v>
      </c>
      <c r="C17" s="4">
        <v>23000</v>
      </c>
      <c r="D17" s="44">
        <f t="shared" ref="D17" si="13">B17*C17</f>
        <v>46000</v>
      </c>
      <c r="E17" s="44">
        <f t="shared" ref="E17" si="14"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.25" x14ac:dyDescent="0.4">
      <c r="A18" s="1" t="s">
        <v>248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25">
      <c r="A19" s="84" t="s">
        <v>249</v>
      </c>
      <c r="B19" s="4">
        <v>1</v>
      </c>
      <c r="C19" s="4">
        <f>9900/3</f>
        <v>3300</v>
      </c>
      <c r="D19" s="4">
        <f t="shared" ref="D19" si="15">B19*C19</f>
        <v>3300</v>
      </c>
      <c r="E19" s="4">
        <f t="shared" ref="E19" si="16">D19*0.05</f>
        <v>165</v>
      </c>
      <c r="F19" s="4">
        <f>2500/6</f>
        <v>416.66666666666669</v>
      </c>
      <c r="G19" s="4">
        <f>0.42/3</f>
        <v>0.13999999999999999</v>
      </c>
      <c r="H19" s="4">
        <f t="shared" si="7"/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.25" x14ac:dyDescent="0.4">
      <c r="A20" s="1" t="s">
        <v>250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 t="shared" ref="L20" si="17">K20-J20</f>
        <v>-31.68433333333337</v>
      </c>
    </row>
    <row r="21" spans="1:12" s="35" customFormat="1" x14ac:dyDescent="0.25">
      <c r="A21" s="84" t="s">
        <v>251</v>
      </c>
      <c r="B21" s="4">
        <v>1</v>
      </c>
      <c r="C21" s="4">
        <v>8500</v>
      </c>
      <c r="D21" s="44">
        <f t="shared" ref="D21" si="18">B21*C21</f>
        <v>8500</v>
      </c>
      <c r="E21" s="44">
        <f t="shared" ref="E21" si="19">D21*0.05</f>
        <v>425</v>
      </c>
      <c r="F21" s="4">
        <f>2500/3</f>
        <v>833.33333333333337</v>
      </c>
      <c r="G21" s="4">
        <v>0.2</v>
      </c>
      <c r="H21" s="4">
        <f t="shared" ref="H21" si="20"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.25" x14ac:dyDescent="0.4">
      <c r="A22" s="1" t="s">
        <v>252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 t="shared" si="8"/>
        <v>0.30279999999993379</v>
      </c>
    </row>
    <row r="23" spans="1:12" x14ac:dyDescent="0.25">
      <c r="A23" s="84" t="s">
        <v>253</v>
      </c>
      <c r="B23" s="4">
        <v>1</v>
      </c>
      <c r="C23" s="4">
        <v>3800</v>
      </c>
      <c r="D23" s="4">
        <f>B23*C23</f>
        <v>3800</v>
      </c>
      <c r="E23" s="4">
        <f t="shared" ref="E23:E24" si="21">D23*0.05</f>
        <v>190</v>
      </c>
      <c r="F23" s="4">
        <v>2500</v>
      </c>
      <c r="G23" s="4">
        <v>0.3</v>
      </c>
      <c r="H23" s="4">
        <f t="shared" si="7"/>
        <v>0.3</v>
      </c>
      <c r="I23" s="4">
        <f t="shared" ref="I23" si="22">H23*$C$2</f>
        <v>1944</v>
      </c>
      <c r="J23" s="51">
        <f t="shared" ref="J23" si="23">(D23+E23+F23+I23)*$C$3</f>
        <v>261.45400000000001</v>
      </c>
      <c r="K23" s="6"/>
      <c r="L23" s="17"/>
    </row>
    <row r="24" spans="1:12" x14ac:dyDescent="0.25">
      <c r="A24" s="84" t="s">
        <v>254</v>
      </c>
      <c r="B24" s="4">
        <v>1</v>
      </c>
      <c r="C24" s="4">
        <v>18000</v>
      </c>
      <c r="D24" s="4">
        <f t="shared" ref="D24" si="24">B24*C24</f>
        <v>18000</v>
      </c>
      <c r="E24" s="4">
        <f t="shared" si="21"/>
        <v>900</v>
      </c>
      <c r="F24" s="4">
        <v>0</v>
      </c>
      <c r="G24" s="4">
        <v>0.39</v>
      </c>
      <c r="H24" s="4">
        <f t="shared" si="7"/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.25" x14ac:dyDescent="0.4">
      <c r="A25" s="1" t="s">
        <v>255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25">
      <c r="A26" s="84" t="s">
        <v>166</v>
      </c>
      <c r="B26" s="4">
        <v>1</v>
      </c>
      <c r="C26" s="4">
        <v>9900</v>
      </c>
      <c r="D26" s="4">
        <f t="shared" ref="D26:D28" si="25">B26*C26</f>
        <v>9900</v>
      </c>
      <c r="E26" s="4">
        <f t="shared" ref="E26" si="26">D26*0.05</f>
        <v>495</v>
      </c>
      <c r="F26" s="4">
        <v>2500</v>
      </c>
      <c r="G26" s="4">
        <v>0.3</v>
      </c>
      <c r="H26" s="4">
        <f>G26*B26</f>
        <v>0.3</v>
      </c>
      <c r="I26" s="4">
        <f t="shared" ref="I26:I28" si="27">H26*$C$2</f>
        <v>1944</v>
      </c>
      <c r="J26" s="51">
        <f>(D26+E26+F26+I26)*$C$3</f>
        <v>460.00900000000001</v>
      </c>
      <c r="K26" s="6"/>
      <c r="L26" s="17"/>
    </row>
    <row r="27" spans="1:12" x14ac:dyDescent="0.25">
      <c r="A27" s="84" t="s">
        <v>256</v>
      </c>
      <c r="B27" s="4">
        <v>1</v>
      </c>
      <c r="C27" s="4">
        <v>9800</v>
      </c>
      <c r="D27" s="4">
        <f t="shared" si="25"/>
        <v>9800</v>
      </c>
      <c r="E27" s="4">
        <f>D27*0.05</f>
        <v>490</v>
      </c>
      <c r="F27" s="4">
        <v>2500</v>
      </c>
      <c r="G27" s="4">
        <v>0.47</v>
      </c>
      <c r="H27" s="4">
        <f t="shared" ref="H27:H28" si="28">G27</f>
        <v>0.47</v>
      </c>
      <c r="I27" s="4">
        <f t="shared" si="27"/>
        <v>3045.6</v>
      </c>
      <c r="J27" s="51">
        <f>(D27+E27+F27+I27)*$C$3</f>
        <v>490.90359999999998</v>
      </c>
      <c r="K27" s="6"/>
      <c r="L27" s="17"/>
    </row>
    <row r="28" spans="1:12" x14ac:dyDescent="0.25">
      <c r="A28" s="84" t="s">
        <v>257</v>
      </c>
      <c r="B28" s="4">
        <v>1</v>
      </c>
      <c r="C28" s="4">
        <v>7000</v>
      </c>
      <c r="D28" s="4">
        <f t="shared" si="25"/>
        <v>7000</v>
      </c>
      <c r="E28" s="4">
        <f t="shared" ref="E28" si="29">D28*0.05</f>
        <v>350</v>
      </c>
      <c r="F28" s="4">
        <v>0</v>
      </c>
      <c r="G28" s="4">
        <v>0.3</v>
      </c>
      <c r="H28" s="4">
        <f t="shared" si="28"/>
        <v>0.3</v>
      </c>
      <c r="I28" s="4">
        <f t="shared" si="27"/>
        <v>1944</v>
      </c>
      <c r="J28" s="51">
        <f>(D28+E28+F28+I28)*$C$3</f>
        <v>288.11399999999998</v>
      </c>
      <c r="K28" s="6"/>
      <c r="L28" s="17"/>
    </row>
    <row r="29" spans="1:12" ht="26.25" x14ac:dyDescent="0.4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25">
      <c r="A30" s="84" t="s">
        <v>258</v>
      </c>
      <c r="B30" s="4">
        <v>1</v>
      </c>
      <c r="C30" s="4">
        <v>7800</v>
      </c>
      <c r="D30" s="4">
        <f t="shared" ref="D30:D32" si="30">B30*C30</f>
        <v>7800</v>
      </c>
      <c r="E30" s="4">
        <f t="shared" ref="E30" si="31">D30*0.05</f>
        <v>390</v>
      </c>
      <c r="F30" s="4">
        <v>2500</v>
      </c>
      <c r="G30" s="4">
        <v>0.2</v>
      </c>
      <c r="H30" s="4">
        <f>G30*B30</f>
        <v>0.2</v>
      </c>
      <c r="I30" s="4">
        <f t="shared" ref="I30:I32" si="32">H30*$C$2</f>
        <v>1296</v>
      </c>
      <c r="J30" s="51">
        <f>(D30+E30+F30+I30)*$C$3</f>
        <v>371.56599999999997</v>
      </c>
      <c r="K30" s="6"/>
      <c r="L30" s="17"/>
    </row>
    <row r="31" spans="1:12" x14ac:dyDescent="0.25">
      <c r="A31" s="84" t="s">
        <v>259</v>
      </c>
      <c r="B31" s="4">
        <v>1</v>
      </c>
      <c r="C31" s="4">
        <v>12800</v>
      </c>
      <c r="D31" s="4">
        <f t="shared" si="30"/>
        <v>12800</v>
      </c>
      <c r="E31" s="4">
        <f>D31*0.05</f>
        <v>640</v>
      </c>
      <c r="F31" s="4">
        <v>2500</v>
      </c>
      <c r="G31" s="4">
        <v>0.2</v>
      </c>
      <c r="H31" s="4">
        <f t="shared" ref="H31:H32" si="33">G31</f>
        <v>0.2</v>
      </c>
      <c r="I31" s="4">
        <f t="shared" si="32"/>
        <v>1296</v>
      </c>
      <c r="J31" s="51">
        <f>(D31+E31+F31+I31)*$C$3</f>
        <v>534.31600000000003</v>
      </c>
      <c r="K31" s="6"/>
      <c r="L31" s="17"/>
    </row>
    <row r="32" spans="1:12" x14ac:dyDescent="0.25">
      <c r="A32" s="84" t="s">
        <v>260</v>
      </c>
      <c r="B32" s="4">
        <v>1</v>
      </c>
      <c r="C32" s="4">
        <v>11400</v>
      </c>
      <c r="D32" s="4">
        <f t="shared" si="30"/>
        <v>11400</v>
      </c>
      <c r="E32" s="4">
        <f t="shared" ref="E32" si="34">D32*0.05</f>
        <v>570</v>
      </c>
      <c r="F32" s="4">
        <v>0</v>
      </c>
      <c r="G32" s="4">
        <v>0.2</v>
      </c>
      <c r="H32" s="4">
        <f t="shared" si="33"/>
        <v>0.2</v>
      </c>
      <c r="I32" s="4">
        <f t="shared" si="32"/>
        <v>1296</v>
      </c>
      <c r="J32" s="51">
        <f>(D32+E32+F32+I32)*$C$3</f>
        <v>411.24599999999998</v>
      </c>
      <c r="K32" s="6"/>
      <c r="L32" s="17"/>
    </row>
    <row r="33" spans="1:12" ht="26.25" x14ac:dyDescent="0.4">
      <c r="A33" s="85" t="s">
        <v>261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25">
      <c r="A34" s="3" t="s">
        <v>262</v>
      </c>
      <c r="B34" s="5">
        <v>1</v>
      </c>
      <c r="C34" s="4">
        <v>6000</v>
      </c>
      <c r="D34" s="4">
        <f t="shared" ref="D34:D36" si="35">B34*C34</f>
        <v>6000</v>
      </c>
      <c r="E34" s="4">
        <f t="shared" ref="E34" si="36">D34*0.05</f>
        <v>300</v>
      </c>
      <c r="F34" s="4">
        <v>2500</v>
      </c>
      <c r="G34" s="4">
        <v>0.3</v>
      </c>
      <c r="H34" s="4">
        <f>G34*B34</f>
        <v>0.3</v>
      </c>
      <c r="I34" s="4">
        <f t="shared" ref="I34:I36" si="37">H34*$C$2</f>
        <v>1944</v>
      </c>
      <c r="J34" s="51">
        <f>(D34+E34+F34+I34)*$C$3</f>
        <v>333.06400000000002</v>
      </c>
      <c r="K34" s="6"/>
      <c r="L34" s="17"/>
    </row>
    <row r="35" spans="1:12" x14ac:dyDescent="0.25">
      <c r="A35" s="3" t="s">
        <v>263</v>
      </c>
      <c r="B35" s="4">
        <v>1</v>
      </c>
      <c r="C35" s="4">
        <v>10900</v>
      </c>
      <c r="D35" s="4">
        <f t="shared" si="35"/>
        <v>10900</v>
      </c>
      <c r="E35" s="4">
        <f>D35*0.05</f>
        <v>545</v>
      </c>
      <c r="F35" s="4">
        <v>2500</v>
      </c>
      <c r="G35" s="4">
        <v>0.2</v>
      </c>
      <c r="H35" s="4">
        <f t="shared" ref="H35:H36" si="38">G35</f>
        <v>0.2</v>
      </c>
      <c r="I35" s="4">
        <f t="shared" si="37"/>
        <v>1296</v>
      </c>
      <c r="J35" s="51">
        <f>(D35+E35+F35+I35)*$C$3</f>
        <v>472.471</v>
      </c>
      <c r="K35" s="6"/>
      <c r="L35" s="17"/>
    </row>
    <row r="36" spans="1:12" x14ac:dyDescent="0.25">
      <c r="A36" s="3" t="s">
        <v>264</v>
      </c>
      <c r="B36" s="5">
        <v>1</v>
      </c>
      <c r="C36" s="4">
        <v>12000</v>
      </c>
      <c r="D36" s="4">
        <f t="shared" si="35"/>
        <v>12000</v>
      </c>
      <c r="E36" s="4">
        <f t="shared" ref="E36" si="39">D36*0.05</f>
        <v>600</v>
      </c>
      <c r="F36" s="4">
        <v>2500</v>
      </c>
      <c r="G36" s="4">
        <f>0.35</f>
        <v>0.35</v>
      </c>
      <c r="H36" s="4">
        <f t="shared" si="38"/>
        <v>0.35</v>
      </c>
      <c r="I36" s="4">
        <f t="shared" si="37"/>
        <v>2268</v>
      </c>
      <c r="J36" s="51">
        <f>(D36+E36+F36+I36)*$C$3</f>
        <v>538.40800000000002</v>
      </c>
      <c r="K36" s="6"/>
      <c r="L36" s="17"/>
    </row>
    <row r="37" spans="1:12" ht="26.25" x14ac:dyDescent="0.4">
      <c r="A37" s="1" t="s">
        <v>268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25">
      <c r="A38" s="84" t="s">
        <v>265</v>
      </c>
      <c r="B38" s="4">
        <v>2</v>
      </c>
      <c r="C38" s="4">
        <v>6000</v>
      </c>
      <c r="D38" s="4">
        <f t="shared" ref="D38:D41" si="40">B38*C38</f>
        <v>12000</v>
      </c>
      <c r="E38" s="4">
        <f t="shared" ref="E38" si="41">D38*0.05</f>
        <v>600</v>
      </c>
      <c r="F38" s="4">
        <v>0</v>
      </c>
      <c r="G38" s="4">
        <v>0.2</v>
      </c>
      <c r="H38" s="4">
        <f>G38*B38</f>
        <v>0.4</v>
      </c>
      <c r="I38" s="4">
        <f t="shared" ref="I38:I40" si="42">H38*$C$2</f>
        <v>2592</v>
      </c>
      <c r="J38" s="51">
        <f>(D38+E38+F38+I38)*$C$3</f>
        <v>470.952</v>
      </c>
      <c r="K38" s="6"/>
      <c r="L38" s="17"/>
    </row>
    <row r="39" spans="1:12" x14ac:dyDescent="0.25">
      <c r="A39" s="84" t="s">
        <v>266</v>
      </c>
      <c r="B39" s="4">
        <v>1</v>
      </c>
      <c r="C39" s="4">
        <v>7000</v>
      </c>
      <c r="D39" s="4">
        <f t="shared" si="40"/>
        <v>7000</v>
      </c>
      <c r="E39" s="4">
        <f>D39*0.05</f>
        <v>350</v>
      </c>
      <c r="F39" s="4">
        <v>0</v>
      </c>
      <c r="G39" s="4">
        <v>0.2</v>
      </c>
      <c r="H39" s="4">
        <f t="shared" si="7"/>
        <v>0.2</v>
      </c>
      <c r="I39" s="4">
        <f t="shared" si="42"/>
        <v>1296</v>
      </c>
      <c r="J39" s="51">
        <f>(D39+E39+F39+I39)*$C$3</f>
        <v>268.02600000000001</v>
      </c>
      <c r="K39" s="6"/>
      <c r="L39" s="17"/>
    </row>
    <row r="40" spans="1:12" x14ac:dyDescent="0.25">
      <c r="A40" s="84" t="s">
        <v>162</v>
      </c>
      <c r="B40" s="4">
        <v>1</v>
      </c>
      <c r="C40" s="4">
        <v>15000</v>
      </c>
      <c r="D40" s="4">
        <f t="shared" si="40"/>
        <v>15000</v>
      </c>
      <c r="E40" s="4">
        <f t="shared" ref="E40:E41" si="43">D40*0.05</f>
        <v>750</v>
      </c>
      <c r="F40" s="4">
        <v>0</v>
      </c>
      <c r="G40" s="4">
        <v>0.5</v>
      </c>
      <c r="H40" s="4">
        <f t="shared" si="7"/>
        <v>0.5</v>
      </c>
      <c r="I40" s="4">
        <f t="shared" si="42"/>
        <v>3240</v>
      </c>
      <c r="J40" s="51">
        <f>(D40+E40+F40+I40)*$C$3</f>
        <v>588.68999999999994</v>
      </c>
      <c r="K40" s="6"/>
      <c r="L40" s="17"/>
    </row>
    <row r="41" spans="1:12" x14ac:dyDescent="0.25">
      <c r="A41" s="84" t="s">
        <v>262</v>
      </c>
      <c r="B41" s="4">
        <v>1</v>
      </c>
      <c r="C41" s="4">
        <v>12000</v>
      </c>
      <c r="D41" s="4">
        <f t="shared" si="40"/>
        <v>12000</v>
      </c>
      <c r="E41" s="4">
        <f t="shared" si="43"/>
        <v>600</v>
      </c>
      <c r="F41" s="4">
        <v>0</v>
      </c>
      <c r="G41" s="4">
        <v>0.3</v>
      </c>
      <c r="H41" s="4">
        <f t="shared" si="7"/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25">
      <c r="A42" s="84" t="s">
        <v>267</v>
      </c>
      <c r="B42" s="4">
        <v>1</v>
      </c>
      <c r="C42" s="4">
        <v>14000</v>
      </c>
      <c r="D42" s="4">
        <f t="shared" ref="D42" si="44">B42*C42</f>
        <v>14000</v>
      </c>
      <c r="E42" s="4">
        <f t="shared" ref="E42" si="45">D42*0.05</f>
        <v>700</v>
      </c>
      <c r="F42" s="4">
        <v>0</v>
      </c>
      <c r="G42" s="4">
        <v>0.41</v>
      </c>
      <c r="H42" s="4">
        <f t="shared" ref="H42" si="46">G42</f>
        <v>0.41</v>
      </c>
      <c r="I42" s="4">
        <f t="shared" ref="I42" si="47"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28515625" customWidth="1"/>
    <col min="11" max="11" width="10" customWidth="1"/>
    <col min="12" max="12" width="10.85546875" customWidth="1"/>
  </cols>
  <sheetData>
    <row r="1" spans="1:13" ht="21" x14ac:dyDescent="0.35">
      <c r="A1" s="55" t="s">
        <v>220</v>
      </c>
      <c r="B1" s="4"/>
      <c r="C1" s="15">
        <v>41565</v>
      </c>
      <c r="D1" s="30"/>
    </row>
    <row r="2" spans="1:13" ht="38.25" x14ac:dyDescent="0.35">
      <c r="A2" s="55" t="s">
        <v>240</v>
      </c>
      <c r="B2" s="4"/>
      <c r="C2" s="16">
        <v>6630</v>
      </c>
      <c r="D2" s="30"/>
    </row>
    <row r="3" spans="1:13" ht="21" x14ac:dyDescent="0.35">
      <c r="A3" s="55" t="s">
        <v>241</v>
      </c>
      <c r="B3" s="4"/>
      <c r="C3" s="16">
        <v>3.0099999999999998E-2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 t="shared" ref="L6:L8" si="0">K6-J6</f>
        <v>-7.1540999999999713</v>
      </c>
    </row>
    <row r="7" spans="1:13" x14ac:dyDescent="0.25">
      <c r="A7" s="4" t="s">
        <v>200</v>
      </c>
      <c r="B7" s="4">
        <v>1</v>
      </c>
      <c r="C7" s="4">
        <f>10440+3800</f>
        <v>14240</v>
      </c>
      <c r="D7" s="4">
        <f t="shared" ref="D7" si="1"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.5" x14ac:dyDescent="0.5">
      <c r="A8" s="87" t="s">
        <v>192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 t="shared" si="0"/>
        <v>1.1292000000000257</v>
      </c>
    </row>
    <row r="9" spans="1:13" x14ac:dyDescent="0.25">
      <c r="A9" s="4" t="s">
        <v>278</v>
      </c>
      <c r="B9" s="4">
        <v>1</v>
      </c>
      <c r="C9" s="4">
        <f>29800/2</f>
        <v>14900</v>
      </c>
      <c r="D9" s="4">
        <f t="shared" ref="D9" si="2">B9*C9</f>
        <v>14900</v>
      </c>
      <c r="E9" s="4">
        <f t="shared" ref="E9" si="3">D9*0.05</f>
        <v>745</v>
      </c>
      <c r="F9" s="4">
        <v>0</v>
      </c>
      <c r="G9" s="4">
        <f>0.1</f>
        <v>0.1</v>
      </c>
      <c r="H9" s="4">
        <f>G9*B9</f>
        <v>0.1</v>
      </c>
      <c r="I9" s="4">
        <f t="shared" ref="I9" si="4">H9*$C$2</f>
        <v>663</v>
      </c>
      <c r="J9" s="51">
        <f>(D9+E9+F9+I9)*$C$3</f>
        <v>490.87079999999997</v>
      </c>
      <c r="K9" s="6"/>
      <c r="L9" s="17"/>
    </row>
    <row r="10" spans="1:13" ht="26.25" x14ac:dyDescent="0.4">
      <c r="A10" s="1" t="s">
        <v>272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25">
      <c r="A11" s="4" t="s">
        <v>67</v>
      </c>
      <c r="B11" s="4">
        <v>1</v>
      </c>
      <c r="C11" s="4">
        <v>15000</v>
      </c>
      <c r="D11" s="4">
        <f t="shared" ref="D11" si="5">B11*C11</f>
        <v>15000</v>
      </c>
      <c r="E11" s="4">
        <f t="shared" ref="E11" si="6">D11*0.05</f>
        <v>750</v>
      </c>
      <c r="F11" s="4">
        <v>0</v>
      </c>
      <c r="G11" s="4">
        <v>0.2</v>
      </c>
      <c r="H11" s="4">
        <f t="shared" ref="H11:H23" si="7"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.25" x14ac:dyDescent="0.4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25">
      <c r="A13" s="4" t="s">
        <v>67</v>
      </c>
      <c r="B13" s="4">
        <v>1</v>
      </c>
      <c r="C13" s="4">
        <v>15000</v>
      </c>
      <c r="D13" s="4">
        <f t="shared" ref="D13:D15" si="8">B13*C13</f>
        <v>15000</v>
      </c>
      <c r="E13" s="4">
        <f t="shared" ref="E13" si="9">D13*0.05</f>
        <v>750</v>
      </c>
      <c r="F13" s="4">
        <v>0</v>
      </c>
      <c r="G13" s="4">
        <v>0.2</v>
      </c>
      <c r="H13" s="4">
        <f>G13*B13</f>
        <v>0.2</v>
      </c>
      <c r="I13" s="4">
        <f t="shared" ref="I13:I15" si="10">H13*$C$2</f>
        <v>1326</v>
      </c>
      <c r="J13" s="51">
        <f>(D13+E13+F13+I13)*$C$3</f>
        <v>513.98759999999993</v>
      </c>
      <c r="K13" s="6"/>
      <c r="L13" s="17"/>
    </row>
    <row r="14" spans="1:13" x14ac:dyDescent="0.25">
      <c r="A14" s="4" t="s">
        <v>172</v>
      </c>
      <c r="B14" s="4">
        <v>2</v>
      </c>
      <c r="C14" s="4">
        <v>3300</v>
      </c>
      <c r="D14" s="4">
        <f t="shared" si="8"/>
        <v>6600</v>
      </c>
      <c r="E14" s="4">
        <f>D14*0.05</f>
        <v>330</v>
      </c>
      <c r="F14" s="4">
        <v>0</v>
      </c>
      <c r="G14" s="4">
        <f>0.2</f>
        <v>0.2</v>
      </c>
      <c r="H14" s="4">
        <f t="shared" ref="H14:H15" si="11">G14</f>
        <v>0.2</v>
      </c>
      <c r="I14" s="4">
        <f t="shared" si="10"/>
        <v>1326</v>
      </c>
      <c r="J14" s="51">
        <f>(D14+E14+F14+I14)*$C$3</f>
        <v>248.50559999999999</v>
      </c>
      <c r="K14" s="6"/>
      <c r="L14" s="17"/>
    </row>
    <row r="15" spans="1:13" x14ac:dyDescent="0.25">
      <c r="A15" s="4" t="s">
        <v>273</v>
      </c>
      <c r="B15" s="5">
        <v>1</v>
      </c>
      <c r="C15" s="5">
        <v>3300</v>
      </c>
      <c r="D15" s="4">
        <f t="shared" si="8"/>
        <v>3300</v>
      </c>
      <c r="E15" s="4">
        <f t="shared" ref="E15" si="12">D15*0.05</f>
        <v>165</v>
      </c>
      <c r="F15" s="5">
        <f>2500/3</f>
        <v>833.33333333333337</v>
      </c>
      <c r="G15" s="5">
        <v>0.74</v>
      </c>
      <c r="H15" s="4">
        <f t="shared" si="11"/>
        <v>0.74</v>
      </c>
      <c r="I15" s="4">
        <f t="shared" si="10"/>
        <v>4906.2</v>
      </c>
      <c r="J15" s="51">
        <f>(D15+E15+F15+I15)*$C$3</f>
        <v>277.05645333333331</v>
      </c>
      <c r="K15" s="6"/>
      <c r="L15" s="17"/>
    </row>
    <row r="16" spans="1:13" ht="26.25" x14ac:dyDescent="0.4">
      <c r="A16" s="1" t="s">
        <v>255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282</v>
      </c>
    </row>
    <row r="17" spans="1:12" x14ac:dyDescent="0.25">
      <c r="A17" s="4" t="s">
        <v>279</v>
      </c>
      <c r="B17" s="4">
        <v>1</v>
      </c>
      <c r="C17" s="4">
        <f>2000+2300</f>
        <v>4300</v>
      </c>
      <c r="D17" s="4">
        <f t="shared" ref="D17:D18" si="13">B17*C17</f>
        <v>4300</v>
      </c>
      <c r="E17" s="4">
        <f t="shared" ref="E17" si="14">D17*0.05</f>
        <v>215</v>
      </c>
      <c r="F17" s="4">
        <v>2500</v>
      </c>
      <c r="G17" s="4">
        <v>0.2</v>
      </c>
      <c r="H17" s="4">
        <f>G17*B17</f>
        <v>0.2</v>
      </c>
      <c r="I17" s="4">
        <f t="shared" ref="I17:I18" si="15">H17*$C$2</f>
        <v>1326</v>
      </c>
      <c r="J17" s="51">
        <f>(D17+E17+F17+I17)*$C$3</f>
        <v>251.0641</v>
      </c>
      <c r="K17" s="6"/>
      <c r="L17" s="17"/>
    </row>
    <row r="18" spans="1:12" x14ac:dyDescent="0.25">
      <c r="A18" s="18" t="s">
        <v>280</v>
      </c>
      <c r="B18" s="5">
        <v>1</v>
      </c>
      <c r="C18" s="5">
        <v>6500</v>
      </c>
      <c r="D18" s="4">
        <f t="shared" si="13"/>
        <v>6500</v>
      </c>
      <c r="E18" s="4">
        <f>D18*0.05</f>
        <v>325</v>
      </c>
      <c r="F18" s="5">
        <v>0</v>
      </c>
      <c r="G18" s="5">
        <v>0.6</v>
      </c>
      <c r="H18" s="4">
        <f t="shared" ref="H18" si="16">G18</f>
        <v>0.6</v>
      </c>
      <c r="I18" s="4">
        <f t="shared" si="15"/>
        <v>3978</v>
      </c>
      <c r="J18" s="51"/>
      <c r="K18" s="6"/>
      <c r="L18" s="17"/>
    </row>
    <row r="19" spans="1:12" ht="26.25" x14ac:dyDescent="0.4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25">
      <c r="A20" s="4" t="s">
        <v>274</v>
      </c>
      <c r="B20" s="4">
        <v>1</v>
      </c>
      <c r="C20" s="4">
        <v>4400</v>
      </c>
      <c r="D20" s="4">
        <f t="shared" ref="D20:D23" si="17">B20*C20</f>
        <v>4400</v>
      </c>
      <c r="E20" s="4">
        <f t="shared" ref="E20" si="18">D20*0.05</f>
        <v>220</v>
      </c>
      <c r="F20" s="4">
        <v>2500</v>
      </c>
      <c r="G20" s="4">
        <v>0.2</v>
      </c>
      <c r="H20" s="4">
        <f>G20*B20</f>
        <v>0.2</v>
      </c>
      <c r="I20" s="4">
        <f t="shared" ref="I20:I22" si="19">H20*$C$2</f>
        <v>1326</v>
      </c>
      <c r="J20" s="51">
        <f>(D20+E20+F20+I20)*$C$3</f>
        <v>254.22459999999998</v>
      </c>
      <c r="K20" s="6"/>
      <c r="L20" s="17"/>
    </row>
    <row r="21" spans="1:12" x14ac:dyDescent="0.25">
      <c r="A21" s="4" t="s">
        <v>275</v>
      </c>
      <c r="B21" s="4">
        <v>1</v>
      </c>
      <c r="C21" s="4">
        <v>3000</v>
      </c>
      <c r="D21" s="4">
        <f t="shared" si="17"/>
        <v>3000</v>
      </c>
      <c r="E21" s="4">
        <f>D21*0.05</f>
        <v>150</v>
      </c>
      <c r="F21" s="89">
        <v>0</v>
      </c>
      <c r="G21" s="4">
        <v>0.2</v>
      </c>
      <c r="H21" s="4">
        <f t="shared" si="7"/>
        <v>0.2</v>
      </c>
      <c r="I21" s="4">
        <f t="shared" si="19"/>
        <v>1326</v>
      </c>
      <c r="J21" s="51">
        <f>(D21+E21+F21+I21)*$C$3</f>
        <v>134.7276</v>
      </c>
      <c r="K21" s="6"/>
      <c r="L21" s="17"/>
    </row>
    <row r="22" spans="1:12" x14ac:dyDescent="0.25">
      <c r="A22" s="4" t="s">
        <v>276</v>
      </c>
      <c r="B22" s="5">
        <v>1</v>
      </c>
      <c r="C22" s="5">
        <v>6300</v>
      </c>
      <c r="D22" s="4">
        <f t="shared" si="17"/>
        <v>6300</v>
      </c>
      <c r="E22" s="4">
        <f t="shared" ref="E22:E23" si="20">D22*0.05</f>
        <v>315</v>
      </c>
      <c r="F22" s="89">
        <v>0</v>
      </c>
      <c r="G22" s="4">
        <v>0.2</v>
      </c>
      <c r="H22" s="4">
        <f t="shared" si="7"/>
        <v>0.2</v>
      </c>
      <c r="I22" s="4">
        <f t="shared" si="19"/>
        <v>1326</v>
      </c>
      <c r="J22" s="51">
        <f>(D22+E22+F22+I22)*$C$3</f>
        <v>239.02409999999998</v>
      </c>
      <c r="K22" s="6"/>
      <c r="L22" s="17"/>
    </row>
    <row r="23" spans="1:12" x14ac:dyDescent="0.25">
      <c r="A23" s="4" t="s">
        <v>277</v>
      </c>
      <c r="B23" s="5">
        <v>1</v>
      </c>
      <c r="C23" s="5">
        <v>7600</v>
      </c>
      <c r="D23" s="4">
        <f t="shared" si="17"/>
        <v>7600</v>
      </c>
      <c r="E23" s="4">
        <f t="shared" si="20"/>
        <v>380</v>
      </c>
      <c r="F23" s="89">
        <v>0</v>
      </c>
      <c r="G23" s="4">
        <v>0.2</v>
      </c>
      <c r="H23" s="4">
        <f t="shared" si="7"/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2015-11-14T17:52:09Z</dcterms:modified>
</cp:coreProperties>
</file>