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145" yWindow="60" windowWidth="20730" windowHeight="11760" activeTab="6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52511"/>
</workbook>
</file>

<file path=xl/calcChain.xml><?xml version="1.0" encoding="utf-8"?>
<calcChain xmlns="http://schemas.openxmlformats.org/spreadsheetml/2006/main">
  <c r="I7" i="7" l="1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6" i="7"/>
  <c r="F41" i="7"/>
  <c r="F42" i="7"/>
  <c r="G42" i="7" s="1"/>
  <c r="F43" i="7"/>
  <c r="G28" i="7"/>
  <c r="L28" i="7" s="1"/>
  <c r="N28" i="7" s="1"/>
  <c r="G29" i="7"/>
  <c r="L29" i="7" s="1"/>
  <c r="N29" i="7" s="1"/>
  <c r="G30" i="7"/>
  <c r="G31" i="7"/>
  <c r="L31" i="7" s="1"/>
  <c r="N31" i="7" s="1"/>
  <c r="G32" i="7"/>
  <c r="L32" i="7" s="1"/>
  <c r="N32" i="7" s="1"/>
  <c r="G39" i="7"/>
  <c r="L39" i="7" s="1"/>
  <c r="N39" i="7" s="1"/>
  <c r="F40" i="7"/>
  <c r="G40" i="7"/>
  <c r="L40" i="7" s="1"/>
  <c r="N40" i="7" s="1"/>
  <c r="M9" i="7"/>
  <c r="O17" i="6"/>
  <c r="F9" i="7"/>
  <c r="G7" i="7"/>
  <c r="L7" i="7" s="1"/>
  <c r="N7" i="7" s="1"/>
  <c r="G8" i="7"/>
  <c r="L8" i="7" s="1"/>
  <c r="N8" i="7" s="1"/>
  <c r="G9" i="7"/>
  <c r="G10" i="7"/>
  <c r="G11" i="7"/>
  <c r="L11" i="7" s="1"/>
  <c r="N11" i="7" s="1"/>
  <c r="G12" i="7"/>
  <c r="L12" i="7" s="1"/>
  <c r="N12" i="7" s="1"/>
  <c r="G13" i="7"/>
  <c r="G14" i="7"/>
  <c r="G15" i="7"/>
  <c r="L15" i="7" s="1"/>
  <c r="N15" i="7" s="1"/>
  <c r="G16" i="7"/>
  <c r="G17" i="7"/>
  <c r="L17" i="7" s="1"/>
  <c r="N17" i="7" s="1"/>
  <c r="G18" i="7"/>
  <c r="G19" i="7"/>
  <c r="G20" i="7"/>
  <c r="L20" i="7" s="1"/>
  <c r="N20" i="7" s="1"/>
  <c r="G21" i="7"/>
  <c r="G22" i="7"/>
  <c r="L22" i="7" s="1"/>
  <c r="N22" i="7" s="1"/>
  <c r="G23" i="7"/>
  <c r="L23" i="7" s="1"/>
  <c r="N23" i="7" s="1"/>
  <c r="G24" i="7"/>
  <c r="L24" i="7" s="1"/>
  <c r="N24" i="7" s="1"/>
  <c r="G25" i="7"/>
  <c r="G26" i="7"/>
  <c r="G27" i="7"/>
  <c r="L27" i="7" s="1"/>
  <c r="N27" i="7" s="1"/>
  <c r="L41" i="7" l="1"/>
  <c r="N41" i="7" s="1"/>
  <c r="L42" i="7"/>
  <c r="N42" i="7" s="1"/>
  <c r="G41" i="7"/>
  <c r="L30" i="7"/>
  <c r="N30" i="7" s="1"/>
  <c r="G43" i="7"/>
  <c r="L43" i="7" s="1"/>
  <c r="N43" i="7" s="1"/>
  <c r="G33" i="7"/>
  <c r="L33" i="7" s="1"/>
  <c r="N33" i="7" s="1"/>
  <c r="G34" i="7"/>
  <c r="L34" i="7" s="1"/>
  <c r="N34" i="7" s="1"/>
  <c r="G35" i="7"/>
  <c r="L35" i="7" s="1"/>
  <c r="N35" i="7" s="1"/>
  <c r="G36" i="7"/>
  <c r="L36" i="7" s="1"/>
  <c r="N36" i="7" s="1"/>
  <c r="G37" i="7"/>
  <c r="L37" i="7" s="1"/>
  <c r="N37" i="7" s="1"/>
  <c r="G38" i="7"/>
  <c r="L38" i="7" s="1"/>
  <c r="N38" i="7" s="1"/>
  <c r="L21" i="7"/>
  <c r="N21" i="7" s="1"/>
  <c r="L26" i="7"/>
  <c r="N26" i="7" s="1"/>
  <c r="G6" i="7"/>
  <c r="L6" i="7" s="1"/>
  <c r="N6" i="7" s="1"/>
  <c r="L9" i="7"/>
  <c r="N9" i="7" s="1"/>
  <c r="L13" i="7"/>
  <c r="N13" i="7" s="1"/>
  <c r="L16" i="7"/>
  <c r="N16" i="7" s="1"/>
  <c r="L18" i="7"/>
  <c r="N18" i="7" s="1"/>
  <c r="L25" i="7"/>
  <c r="N25" i="7" s="1"/>
  <c r="L10" i="7"/>
  <c r="N10" i="7" s="1"/>
  <c r="L14" i="7"/>
  <c r="N14" i="7" s="1"/>
  <c r="L19" i="7"/>
  <c r="N19" i="7" s="1"/>
  <c r="M12" i="6"/>
  <c r="M13" i="6"/>
  <c r="M26" i="6"/>
  <c r="M22" i="6"/>
  <c r="M28" i="6"/>
  <c r="M27" i="6"/>
  <c r="M11" i="6"/>
  <c r="M15" i="6"/>
  <c r="M7" i="6"/>
  <c r="M10" i="6"/>
  <c r="M25" i="6"/>
  <c r="M19" i="6"/>
  <c r="M8" i="6"/>
  <c r="M21" i="6"/>
  <c r="M23" i="6"/>
  <c r="M16" i="6"/>
  <c r="M24" i="6"/>
  <c r="M14" i="6"/>
  <c r="M18" i="6"/>
  <c r="J16" i="6"/>
  <c r="J26" i="6"/>
  <c r="J22" i="6"/>
  <c r="F28" i="6" l="1"/>
  <c r="G28" i="6" s="1"/>
  <c r="L28" i="6" s="1"/>
  <c r="N28" i="6" s="1"/>
  <c r="F22" i="6"/>
  <c r="G22" i="6" s="1"/>
  <c r="G21" i="6"/>
  <c r="L21" i="6" s="1"/>
  <c r="F20" i="6"/>
  <c r="G20" i="6" s="1"/>
  <c r="F26" i="6"/>
  <c r="G26" i="6" s="1"/>
  <c r="G25" i="6"/>
  <c r="F24" i="6"/>
  <c r="G24" i="6" l="1"/>
  <c r="L24" i="6" s="1"/>
  <c r="N24" i="6" s="1"/>
  <c r="L20" i="6"/>
  <c r="N20" i="6" s="1"/>
  <c r="N21" i="6"/>
  <c r="L22" i="6"/>
  <c r="N22" i="6" s="1"/>
  <c r="L25" i="6"/>
  <c r="N25" i="6" s="1"/>
  <c r="L26" i="6"/>
  <c r="N26" i="6" s="1"/>
  <c r="F27" i="6" l="1"/>
  <c r="G27" i="6" s="1"/>
  <c r="L27" i="6" s="1"/>
  <c r="N27" i="6" s="1"/>
  <c r="G23" i="6"/>
  <c r="L23" i="6" s="1"/>
  <c r="N23" i="6" s="1"/>
  <c r="F19" i="6"/>
  <c r="G19" i="6" s="1"/>
  <c r="L19" i="6" s="1"/>
  <c r="N19" i="6" s="1"/>
  <c r="G18" i="6"/>
  <c r="L18" i="6" s="1"/>
  <c r="N18" i="6" s="1"/>
  <c r="F17" i="6"/>
  <c r="F16" i="6"/>
  <c r="G17" i="6" l="1"/>
  <c r="L17" i="6" s="1"/>
  <c r="N17" i="6" s="1"/>
  <c r="G16" i="6"/>
  <c r="L16" i="6" s="1"/>
  <c r="N16" i="6" s="1"/>
  <c r="G9" i="6" l="1"/>
  <c r="L9" i="6" s="1"/>
  <c r="N9" i="6" s="1"/>
  <c r="F10" i="6"/>
  <c r="F11" i="6"/>
  <c r="G11" i="6" s="1"/>
  <c r="L11" i="6" s="1"/>
  <c r="N11" i="6" s="1"/>
  <c r="F12" i="6"/>
  <c r="G12" i="6" s="1"/>
  <c r="L12" i="6" s="1"/>
  <c r="N12" i="6" s="1"/>
  <c r="F13" i="6"/>
  <c r="G13" i="6" s="1"/>
  <c r="L13" i="6" s="1"/>
  <c r="N13" i="6" s="1"/>
  <c r="F14" i="6"/>
  <c r="G14" i="6" s="1"/>
  <c r="F15" i="6"/>
  <c r="G15" i="6" s="1"/>
  <c r="F7" i="6"/>
  <c r="G8" i="6"/>
  <c r="P34" i="4"/>
  <c r="M26" i="2"/>
  <c r="M34" i="5"/>
  <c r="M22" i="5"/>
  <c r="M18" i="5"/>
  <c r="M17" i="5"/>
  <c r="M21" i="5"/>
  <c r="M10" i="5"/>
  <c r="M27" i="5"/>
  <c r="M16" i="5"/>
  <c r="M9" i="5"/>
  <c r="G10" i="6" l="1"/>
  <c r="L10" i="6" s="1"/>
  <c r="N10" i="6" s="1"/>
  <c r="L8" i="6"/>
  <c r="N8" i="6" s="1"/>
  <c r="G7" i="6"/>
  <c r="L7" i="6" s="1"/>
  <c r="N7" i="6" s="1"/>
  <c r="L14" i="6"/>
  <c r="N14" i="6" s="1"/>
  <c r="L15" i="6"/>
  <c r="N15" i="6" s="1"/>
  <c r="M29" i="5"/>
  <c r="M25" i="5"/>
  <c r="M24" i="5"/>
  <c r="M11" i="5"/>
  <c r="M32" i="5"/>
  <c r="M19" i="5"/>
  <c r="M26" i="5"/>
  <c r="M30" i="5"/>
  <c r="M23" i="5" l="1"/>
  <c r="M7" i="5"/>
  <c r="M12" i="5"/>
  <c r="M15" i="5"/>
  <c r="M28" i="5" l="1"/>
  <c r="M33" i="5"/>
  <c r="M31" i="5"/>
  <c r="M8" i="5"/>
  <c r="M20" i="5"/>
  <c r="M13" i="5"/>
  <c r="H13" i="5"/>
  <c r="H12" i="5"/>
  <c r="H11" i="5"/>
  <c r="H10" i="5"/>
  <c r="H9" i="5"/>
  <c r="H8" i="5"/>
  <c r="H7" i="5"/>
  <c r="J30" i="5"/>
  <c r="J31" i="5"/>
  <c r="J32" i="5"/>
  <c r="J29" i="5"/>
  <c r="G9" i="5" l="1"/>
  <c r="G10" i="5"/>
  <c r="G13" i="5"/>
  <c r="L9" i="5"/>
  <c r="G11" i="5"/>
  <c r="G12" i="5"/>
  <c r="F14" i="5"/>
  <c r="F15" i="5"/>
  <c r="F16" i="5"/>
  <c r="G16" i="5" s="1"/>
  <c r="L16" i="5" s="1"/>
  <c r="F17" i="5"/>
  <c r="G17" i="5" s="1"/>
  <c r="L17" i="5" s="1"/>
  <c r="F18" i="5"/>
  <c r="F19" i="5"/>
  <c r="F20" i="5"/>
  <c r="G20" i="5" s="1"/>
  <c r="L20" i="5" s="1"/>
  <c r="F21" i="5"/>
  <c r="G21" i="5" s="1"/>
  <c r="F22" i="5"/>
  <c r="F23" i="5"/>
  <c r="F24" i="5"/>
  <c r="G24" i="5" s="1"/>
  <c r="L24" i="5" s="1"/>
  <c r="F25" i="5"/>
  <c r="F26" i="5"/>
  <c r="G26" i="5" s="1"/>
  <c r="L26" i="5" s="1"/>
  <c r="F27" i="5"/>
  <c r="G27" i="5" s="1"/>
  <c r="F28" i="5"/>
  <c r="F29" i="5"/>
  <c r="G29" i="5" s="1"/>
  <c r="L29" i="5" s="1"/>
  <c r="F30" i="5"/>
  <c r="G30" i="5" s="1"/>
  <c r="L30" i="5" s="1"/>
  <c r="F31" i="5"/>
  <c r="F32" i="5"/>
  <c r="F33" i="5"/>
  <c r="F34" i="5"/>
  <c r="F35" i="5"/>
  <c r="G7" i="5"/>
  <c r="M57" i="4"/>
  <c r="M50" i="4"/>
  <c r="G33" i="5" l="1"/>
  <c r="L33" i="5" s="1"/>
  <c r="N33" i="5" s="1"/>
  <c r="L21" i="5"/>
  <c r="N21" i="5" s="1"/>
  <c r="G28" i="5"/>
  <c r="L10" i="5"/>
  <c r="G35" i="5"/>
  <c r="L35" i="5" s="1"/>
  <c r="N35" i="5" s="1"/>
  <c r="G34" i="5"/>
  <c r="L34" i="5" s="1"/>
  <c r="N34" i="5" s="1"/>
  <c r="G32" i="5"/>
  <c r="L32" i="5" s="1"/>
  <c r="N32" i="5" s="1"/>
  <c r="G31" i="5"/>
  <c r="L31" i="5" s="1"/>
  <c r="N31" i="5" s="1"/>
  <c r="L27" i="5"/>
  <c r="N27" i="5" s="1"/>
  <c r="L25" i="5"/>
  <c r="N25" i="5" s="1"/>
  <c r="G25" i="5"/>
  <c r="G22" i="5"/>
  <c r="L22" i="5" s="1"/>
  <c r="N22" i="5" s="1"/>
  <c r="G23" i="5"/>
  <c r="L23" i="5" s="1"/>
  <c r="N23" i="5" s="1"/>
  <c r="G18" i="5"/>
  <c r="L18" i="5" s="1"/>
  <c r="N18" i="5" s="1"/>
  <c r="G14" i="5"/>
  <c r="L14" i="5" s="1"/>
  <c r="N14" i="5" s="1"/>
  <c r="G19" i="5"/>
  <c r="L19" i="5" s="1"/>
  <c r="N19" i="5" s="1"/>
  <c r="G15" i="5"/>
  <c r="L15" i="5" s="1"/>
  <c r="N15" i="5" s="1"/>
  <c r="L13" i="5"/>
  <c r="N13" i="5" s="1"/>
  <c r="L11" i="5"/>
  <c r="N11" i="5" s="1"/>
  <c r="L8" i="5"/>
  <c r="N8" i="5" s="1"/>
  <c r="L12" i="5"/>
  <c r="N12" i="5" s="1"/>
  <c r="G8" i="5"/>
  <c r="N26" i="5"/>
  <c r="N16" i="5"/>
  <c r="N9" i="5"/>
  <c r="N30" i="5"/>
  <c r="N10" i="5"/>
  <c r="N17" i="5"/>
  <c r="N20" i="5"/>
  <c r="N24" i="5"/>
  <c r="N29" i="5"/>
  <c r="L7" i="5"/>
  <c r="N7" i="5" s="1"/>
  <c r="M45" i="4"/>
  <c r="M55" i="4"/>
  <c r="M59" i="4"/>
  <c r="M62" i="4"/>
  <c r="L28" i="5" l="1"/>
  <c r="N28" i="5" s="1"/>
  <c r="M60" i="4"/>
  <c r="M61" i="4" l="1"/>
  <c r="M54" i="4"/>
  <c r="M53" i="4" l="1"/>
  <c r="M48" i="4"/>
  <c r="M38" i="4"/>
  <c r="M31" i="4"/>
  <c r="M35" i="4"/>
  <c r="M29" i="4"/>
  <c r="M18" i="4"/>
  <c r="M12" i="4"/>
  <c r="M10" i="4"/>
  <c r="M8" i="4"/>
  <c r="M13" i="4" l="1"/>
  <c r="M30" i="4"/>
  <c r="M51" i="4" l="1"/>
  <c r="M26" i="4" l="1"/>
  <c r="M34" i="4"/>
  <c r="M28" i="4"/>
  <c r="M46" i="4"/>
  <c r="M32" i="4"/>
  <c r="M56" i="4" l="1"/>
  <c r="M49" i="4"/>
  <c r="M44" i="4"/>
  <c r="M25" i="4"/>
  <c r="M33" i="4"/>
  <c r="M24" i="4"/>
  <c r="M11" i="4"/>
  <c r="M52" i="4"/>
  <c r="M47" i="4"/>
  <c r="M19" i="4"/>
  <c r="M17" i="4"/>
  <c r="M36" i="4"/>
  <c r="M14" i="4"/>
  <c r="M37" i="4" l="1"/>
  <c r="M9" i="4" l="1"/>
  <c r="M27" i="4"/>
  <c r="M23" i="4"/>
  <c r="M22" i="4"/>
  <c r="M16" i="4"/>
  <c r="M39" i="4"/>
  <c r="M42" i="4"/>
  <c r="M15" i="4"/>
  <c r="M20" i="4"/>
  <c r="M21" i="4"/>
  <c r="M41" i="4"/>
  <c r="J13" i="4" l="1"/>
  <c r="J47" i="4" l="1"/>
  <c r="J46" i="4"/>
  <c r="J45" i="4"/>
  <c r="J44" i="4"/>
  <c r="J56" i="4"/>
  <c r="J57" i="4"/>
  <c r="J55" i="4"/>
  <c r="J52" i="4" l="1"/>
  <c r="J15" i="4" l="1"/>
  <c r="J18" i="4"/>
  <c r="J17" i="4"/>
  <c r="J16" i="4"/>
  <c r="J14" i="4"/>
  <c r="J33" i="4"/>
  <c r="J32" i="4"/>
  <c r="J31" i="4"/>
  <c r="J30" i="4"/>
  <c r="J29" i="4"/>
  <c r="J28" i="4"/>
  <c r="J27" i="4"/>
  <c r="J40" i="4"/>
  <c r="J39" i="4"/>
  <c r="J38" i="4"/>
  <c r="J36" i="4"/>
  <c r="J37" i="4"/>
  <c r="J35" i="4"/>
  <c r="J34" i="4"/>
  <c r="L60" i="4" l="1"/>
  <c r="F54" i="4" l="1"/>
  <c r="G54" i="4" s="1"/>
  <c r="F53" i="4"/>
  <c r="G53" i="4" s="1"/>
  <c r="E57" i="4"/>
  <c r="E56" i="4"/>
  <c r="E55" i="4"/>
  <c r="L53" i="4" l="1"/>
  <c r="N53" i="4" s="1"/>
  <c r="L54" i="4"/>
  <c r="N54" i="4" s="1"/>
  <c r="B93" i="4" s="1"/>
  <c r="F55" i="4"/>
  <c r="F56" i="4"/>
  <c r="F57" i="4"/>
  <c r="F51" i="4"/>
  <c r="F52" i="4"/>
  <c r="G52" i="4" l="1"/>
  <c r="L52" i="4" s="1"/>
  <c r="N52" i="4" s="1"/>
  <c r="B88" i="4" s="1"/>
  <c r="G51" i="4"/>
  <c r="L51" i="4" s="1"/>
  <c r="N51" i="4" s="1"/>
  <c r="B78" i="4" s="1"/>
  <c r="G57" i="4"/>
  <c r="L57" i="4" s="1"/>
  <c r="N57" i="4" s="1"/>
  <c r="B82" i="4" s="1"/>
  <c r="G56" i="4"/>
  <c r="L56" i="4" s="1"/>
  <c r="N56" i="4" s="1"/>
  <c r="B84" i="4" s="1"/>
  <c r="G55" i="4"/>
  <c r="L55" i="4" s="1"/>
  <c r="N55" i="4" s="1"/>
  <c r="E44" i="4" l="1"/>
  <c r="E46" i="4"/>
  <c r="E45" i="4"/>
  <c r="E48" i="4"/>
  <c r="E47" i="4"/>
  <c r="F58" i="4" l="1"/>
  <c r="F42" i="4"/>
  <c r="G42" i="4" s="1"/>
  <c r="F60" i="4"/>
  <c r="G60" i="4" s="1"/>
  <c r="F48" i="4"/>
  <c r="G48" i="4" s="1"/>
  <c r="F45" i="4"/>
  <c r="G45" i="4" s="1"/>
  <c r="F44" i="4"/>
  <c r="G44" i="4" s="1"/>
  <c r="F59" i="4"/>
  <c r="G59" i="4" s="1"/>
  <c r="F47" i="4"/>
  <c r="F46" i="4"/>
  <c r="G46" i="4" s="1"/>
  <c r="L46" i="4" s="1"/>
  <c r="N46" i="4" s="1"/>
  <c r="F61" i="4"/>
  <c r="G61" i="4" s="1"/>
  <c r="F50" i="4"/>
  <c r="G50" i="4" s="1"/>
  <c r="F49" i="4"/>
  <c r="G49" i="4" s="1"/>
  <c r="E40" i="4"/>
  <c r="L59" i="4" l="1"/>
  <c r="N59" i="4" s="1"/>
  <c r="B79" i="4" s="1"/>
  <c r="L47" i="4"/>
  <c r="N47" i="4" s="1"/>
  <c r="G47" i="4"/>
  <c r="L48" i="4"/>
  <c r="N48" i="4" s="1"/>
  <c r="N60" i="4"/>
  <c r="B96" i="4" s="1"/>
  <c r="L42" i="4"/>
  <c r="N42" i="4" s="1"/>
  <c r="L58" i="4"/>
  <c r="N58" i="4" s="1"/>
  <c r="B101" i="4" s="1"/>
  <c r="L45" i="4"/>
  <c r="N45" i="4" s="1"/>
  <c r="B92" i="4" s="1"/>
  <c r="L44" i="4"/>
  <c r="N44" i="4" s="1"/>
  <c r="L49" i="4"/>
  <c r="N49" i="4" s="1"/>
  <c r="L50" i="4"/>
  <c r="N50" i="4" s="1"/>
  <c r="B73" i="4" s="1"/>
  <c r="L61" i="4"/>
  <c r="N61" i="4" s="1"/>
  <c r="B86" i="4" s="1"/>
  <c r="F40" i="4"/>
  <c r="E39" i="4"/>
  <c r="F39" i="4" s="1"/>
  <c r="E38" i="4"/>
  <c r="F38" i="4" s="1"/>
  <c r="E37" i="4"/>
  <c r="F37" i="4" s="1"/>
  <c r="G37" i="4" s="1"/>
  <c r="E36" i="4"/>
  <c r="F36" i="4" s="1"/>
  <c r="E35" i="4"/>
  <c r="F35" i="4" s="1"/>
  <c r="G35" i="4" s="1"/>
  <c r="L35" i="4" s="1"/>
  <c r="N35" i="4" s="1"/>
  <c r="B94" i="4" s="1"/>
  <c r="E34" i="4"/>
  <c r="F34" i="4" s="1"/>
  <c r="G34" i="4" s="1"/>
  <c r="L34" i="4" s="1"/>
  <c r="N34" i="4" s="1"/>
  <c r="F41" i="4"/>
  <c r="F62" i="4"/>
  <c r="F33" i="4"/>
  <c r="G33" i="4" s="1"/>
  <c r="L33" i="4" s="1"/>
  <c r="N33" i="4" s="1"/>
  <c r="F32" i="4"/>
  <c r="G32" i="4" s="1"/>
  <c r="L32" i="4" s="1"/>
  <c r="N32" i="4" s="1"/>
  <c r="B77" i="4" s="1"/>
  <c r="F31" i="4"/>
  <c r="G31" i="4" s="1"/>
  <c r="L31" i="4" s="1"/>
  <c r="N31" i="4" s="1"/>
  <c r="F30" i="4"/>
  <c r="G30" i="4" s="1"/>
  <c r="L30" i="4" s="1"/>
  <c r="N30" i="4" s="1"/>
  <c r="B69" i="4" s="1"/>
  <c r="F29" i="4"/>
  <c r="G29" i="4" s="1"/>
  <c r="L29" i="4" s="1"/>
  <c r="N29" i="4" s="1"/>
  <c r="B67" i="4" s="1"/>
  <c r="F28" i="4"/>
  <c r="G28" i="4" s="1"/>
  <c r="L28" i="4" s="1"/>
  <c r="N28" i="4" s="1"/>
  <c r="B89" i="4" s="1"/>
  <c r="F27" i="4"/>
  <c r="G27" i="4" s="1"/>
  <c r="L27" i="4" s="1"/>
  <c r="N27" i="4" s="1"/>
  <c r="B91" i="4" l="1"/>
  <c r="G62" i="4"/>
  <c r="L62" i="4" s="1"/>
  <c r="N62" i="4" s="1"/>
  <c r="B95" i="4" s="1"/>
  <c r="G41" i="4"/>
  <c r="L41" i="4" s="1"/>
  <c r="N41" i="4" s="1"/>
  <c r="B72" i="4" s="1"/>
  <c r="G40" i="4"/>
  <c r="L40" i="4" s="1"/>
  <c r="N40" i="4" s="1"/>
  <c r="G39" i="4"/>
  <c r="L39" i="4" s="1"/>
  <c r="N39" i="4" s="1"/>
  <c r="B80" i="4" s="1"/>
  <c r="G38" i="4"/>
  <c r="L38" i="4" s="1"/>
  <c r="N38" i="4" s="1"/>
  <c r="B85" i="4" s="1"/>
  <c r="G36" i="4"/>
  <c r="L36" i="4" s="1"/>
  <c r="N36" i="4" s="1"/>
  <c r="B83" i="4" s="1"/>
  <c r="L37" i="4"/>
  <c r="N37" i="4" s="1"/>
  <c r="B76" i="4" s="1"/>
  <c r="F26" i="4"/>
  <c r="G26" i="4" s="1"/>
  <c r="L26" i="4" s="1"/>
  <c r="N26" i="4" s="1"/>
  <c r="B102" i="4" s="1"/>
  <c r="F25" i="4"/>
  <c r="G25" i="4" s="1"/>
  <c r="F24" i="4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F15" i="4"/>
  <c r="G15" i="4" s="1"/>
  <c r="F14" i="4"/>
  <c r="G14" i="4" s="1"/>
  <c r="L14" i="4" s="1"/>
  <c r="F13" i="4"/>
  <c r="G13" i="4" s="1"/>
  <c r="L13" i="4" s="1"/>
  <c r="N13" i="4" s="1"/>
  <c r="F12" i="4"/>
  <c r="G12" i="4" s="1"/>
  <c r="F11" i="4"/>
  <c r="G11" i="4" s="1"/>
  <c r="F10" i="4"/>
  <c r="G10" i="4" s="1"/>
  <c r="F9" i="4"/>
  <c r="G9" i="4" s="1"/>
  <c r="F8" i="4"/>
  <c r="M12" i="2"/>
  <c r="M27" i="2"/>
  <c r="G8" i="4" l="1"/>
  <c r="L8" i="4" s="1"/>
  <c r="N8" i="4" s="1"/>
  <c r="B68" i="4" s="1"/>
  <c r="G24" i="4"/>
  <c r="L24" i="4" s="1"/>
  <c r="N24" i="4" s="1"/>
  <c r="L23" i="4"/>
  <c r="N23" i="4" s="1"/>
  <c r="L25" i="4"/>
  <c r="N25" i="4" s="1"/>
  <c r="B87" i="4" s="1"/>
  <c r="L18" i="4"/>
  <c r="N18" i="4" s="1"/>
  <c r="B90" i="4" s="1"/>
  <c r="L19" i="4"/>
  <c r="N19" i="4" s="1"/>
  <c r="L20" i="4"/>
  <c r="N20" i="4" s="1"/>
  <c r="L21" i="4"/>
  <c r="N21" i="4" s="1"/>
  <c r="B99" i="4" s="1"/>
  <c r="L22" i="4"/>
  <c r="N22" i="4" s="1"/>
  <c r="L11" i="4"/>
  <c r="N11" i="4" s="1"/>
  <c r="N14" i="4"/>
  <c r="B97" i="4" s="1"/>
  <c r="L15" i="4"/>
  <c r="N15" i="4" s="1"/>
  <c r="L9" i="4"/>
  <c r="N9" i="4" s="1"/>
  <c r="B81" i="4" s="1"/>
  <c r="G16" i="4"/>
  <c r="L16" i="4" s="1"/>
  <c r="N16" i="4" s="1"/>
  <c r="L10" i="4"/>
  <c r="N10" i="4" s="1"/>
  <c r="B100" i="4" s="1"/>
  <c r="L12" i="4"/>
  <c r="N12" i="4" s="1"/>
  <c r="B70" i="4" s="1"/>
  <c r="L17" i="4"/>
  <c r="N17" i="4" s="1"/>
  <c r="M24" i="2"/>
  <c r="M25" i="2"/>
  <c r="M21" i="2"/>
  <c r="M28" i="2"/>
  <c r="M20" i="2"/>
  <c r="G30" i="2"/>
  <c r="J23" i="2"/>
  <c r="M29" i="2"/>
  <c r="M19" i="2"/>
  <c r="M5" i="3"/>
  <c r="M4" i="3"/>
  <c r="M6" i="3"/>
  <c r="M3" i="3"/>
  <c r="J7" i="3"/>
  <c r="J6" i="3"/>
  <c r="F7" i="3"/>
  <c r="G7" i="3" s="1"/>
  <c r="L7" i="3" s="1"/>
  <c r="N7" i="3" s="1"/>
  <c r="G6" i="3"/>
  <c r="F6" i="3"/>
  <c r="J4" i="3"/>
  <c r="J3" i="3"/>
  <c r="F5" i="3"/>
  <c r="G5" i="3" s="1"/>
  <c r="F4" i="3"/>
  <c r="G4" i="3" s="1"/>
  <c r="F3" i="3"/>
  <c r="G3" i="3" s="1"/>
  <c r="J24" i="2"/>
  <c r="J25" i="2"/>
  <c r="J26" i="2"/>
  <c r="J27" i="2"/>
  <c r="J28" i="2"/>
  <c r="J29" i="2"/>
  <c r="J49" i="1"/>
  <c r="G23" i="2"/>
  <c r="L23" i="2" s="1"/>
  <c r="G29" i="2"/>
  <c r="G28" i="2"/>
  <c r="G27" i="2"/>
  <c r="G26" i="2"/>
  <c r="G25" i="2"/>
  <c r="G24" i="2"/>
  <c r="B71" i="4" l="1"/>
  <c r="B98" i="4"/>
  <c r="B75" i="4"/>
  <c r="B74" i="4"/>
  <c r="L6" i="3"/>
  <c r="N6" i="3" s="1"/>
  <c r="L24" i="2"/>
  <c r="N24" i="2" s="1"/>
  <c r="L28" i="2"/>
  <c r="N28" i="2" s="1"/>
  <c r="L27" i="2"/>
  <c r="L26" i="2"/>
  <c r="N26" i="2" s="1"/>
  <c r="L29" i="2"/>
  <c r="N29" i="2" s="1"/>
  <c r="L25" i="2"/>
  <c r="N25" i="2" s="1"/>
  <c r="L5" i="3"/>
  <c r="N5" i="3" s="1"/>
  <c r="L4" i="3"/>
  <c r="N4" i="3" s="1"/>
  <c r="L3" i="3"/>
  <c r="N3" i="3" s="1"/>
  <c r="N23" i="2"/>
  <c r="N27" i="2"/>
  <c r="J20" i="2" l="1"/>
  <c r="J19" i="2"/>
  <c r="M11" i="2" l="1"/>
  <c r="M17" i="2" l="1"/>
  <c r="M16" i="2" l="1"/>
  <c r="M15" i="2"/>
  <c r="M10" i="2"/>
  <c r="M14" i="2"/>
  <c r="M8" i="2" l="1"/>
  <c r="M9" i="2" l="1"/>
  <c r="J11" i="2" l="1"/>
  <c r="J10" i="2"/>
  <c r="F21" i="2" l="1"/>
  <c r="G21" i="2" s="1"/>
  <c r="L21" i="2" l="1"/>
  <c r="N21" i="2" s="1"/>
  <c r="M19" i="1"/>
  <c r="F16" i="2" l="1"/>
  <c r="G16" i="2" s="1"/>
  <c r="F15" i="2"/>
  <c r="G15" i="2" s="1"/>
  <c r="L16" i="2" l="1"/>
  <c r="N16" i="2" s="1"/>
  <c r="L15" i="2"/>
  <c r="N15" i="2" s="1"/>
  <c r="F17" i="2"/>
  <c r="F14" i="2"/>
  <c r="G14" i="2" s="1"/>
  <c r="F13" i="2"/>
  <c r="F12" i="2"/>
  <c r="G12" i="2" s="1"/>
  <c r="F11" i="2"/>
  <c r="F10" i="2"/>
  <c r="G10" i="2" s="1"/>
  <c r="F9" i="2"/>
  <c r="F8" i="2"/>
  <c r="F20" i="2"/>
  <c r="G20" i="2" s="1"/>
  <c r="F19" i="2"/>
  <c r="M41" i="1"/>
  <c r="G8" i="2" l="1"/>
  <c r="L8" i="2" s="1"/>
  <c r="N8" i="2" s="1"/>
  <c r="G11" i="2"/>
  <c r="L11" i="2" s="1"/>
  <c r="N11" i="2" s="1"/>
  <c r="L10" i="2"/>
  <c r="N10" i="2" s="1"/>
  <c r="L20" i="2"/>
  <c r="N20" i="2" s="1"/>
  <c r="L14" i="2"/>
  <c r="N14" i="2" s="1"/>
  <c r="L12" i="2"/>
  <c r="N12" i="2" s="1"/>
  <c r="G19" i="2"/>
  <c r="L19" i="2" s="1"/>
  <c r="G17" i="2"/>
  <c r="L17" i="2" s="1"/>
  <c r="N17" i="2" s="1"/>
  <c r="G13" i="2"/>
  <c r="L13" i="2" s="1"/>
  <c r="N13" i="2" s="1"/>
  <c r="G9" i="2"/>
  <c r="L9" i="2" s="1"/>
  <c r="N9" i="2" s="1"/>
  <c r="O40" i="1"/>
  <c r="M49" i="1"/>
  <c r="M31" i="1"/>
  <c r="M39" i="1"/>
  <c r="M43" i="1"/>
  <c r="M50" i="1"/>
  <c r="M21" i="1"/>
  <c r="M24" i="1"/>
  <c r="M42" i="1"/>
  <c r="M48" i="1"/>
  <c r="M29" i="1"/>
  <c r="M9" i="1"/>
  <c r="M20" i="1"/>
  <c r="M13" i="1"/>
  <c r="M22" i="1"/>
  <c r="M14" i="1"/>
  <c r="M23" i="1"/>
  <c r="M28" i="1"/>
  <c r="M15" i="1"/>
  <c r="M11" i="1"/>
  <c r="M10" i="1"/>
  <c r="M12" i="1"/>
  <c r="M40" i="1"/>
  <c r="M26" i="1"/>
  <c r="M27" i="1"/>
  <c r="M47" i="1"/>
  <c r="M38" i="1"/>
  <c r="N19" i="2" l="1"/>
  <c r="J47" i="1"/>
  <c r="M30" i="1"/>
  <c r="M25" i="1" l="1"/>
  <c r="J31" i="1" l="1"/>
  <c r="J30" i="1"/>
  <c r="J29" i="1"/>
  <c r="J28" i="1"/>
  <c r="J27" i="1"/>
  <c r="G31" i="1"/>
  <c r="G30" i="1"/>
  <c r="G29" i="1"/>
  <c r="G28" i="1"/>
  <c r="G27" i="1"/>
  <c r="G26" i="1"/>
  <c r="L26" i="1" s="1"/>
  <c r="N26" i="1" s="1"/>
  <c r="L27" i="1" l="1"/>
  <c r="N27" i="1" s="1"/>
  <c r="L31" i="1"/>
  <c r="N31" i="1" s="1"/>
  <c r="L30" i="1"/>
  <c r="N30" i="1" s="1"/>
  <c r="L29" i="1"/>
  <c r="N29" i="1" s="1"/>
  <c r="L28" i="1"/>
  <c r="N28" i="1" s="1"/>
  <c r="J25" i="1"/>
  <c r="J24" i="1"/>
  <c r="J40" i="1" l="1"/>
  <c r="J39" i="1"/>
  <c r="J48" i="1"/>
  <c r="J50" i="1"/>
  <c r="J51" i="1"/>
  <c r="F52" i="1"/>
  <c r="D52" i="1"/>
  <c r="G51" i="1"/>
  <c r="G50" i="1"/>
  <c r="G49" i="1"/>
  <c r="G48" i="1"/>
  <c r="G47" i="1"/>
  <c r="L47" i="1" s="1"/>
  <c r="N47" i="1" s="1"/>
  <c r="L49" i="1" l="1"/>
  <c r="N49" i="1" s="1"/>
  <c r="L48" i="1"/>
  <c r="N48" i="1" s="1"/>
  <c r="L50" i="1"/>
  <c r="N50" i="1" s="1"/>
  <c r="J42" i="1"/>
  <c r="J43" i="1"/>
  <c r="J44" i="1"/>
  <c r="J45" i="1"/>
  <c r="J41" i="1"/>
  <c r="J15" i="1" l="1"/>
  <c r="J16" i="1"/>
  <c r="J17" i="1"/>
  <c r="J18" i="1"/>
  <c r="J14" i="1"/>
  <c r="J9" i="1"/>
  <c r="H9" i="1"/>
  <c r="G23" i="1" l="1"/>
  <c r="L23" i="1" s="1"/>
  <c r="G24" i="1"/>
  <c r="L24" i="1" s="1"/>
  <c r="G25" i="1"/>
  <c r="L25" i="1" s="1"/>
  <c r="G22" i="1"/>
  <c r="L22" i="1" s="1"/>
  <c r="N22" i="1" l="1"/>
  <c r="N24" i="1"/>
  <c r="N23" i="1"/>
  <c r="N25" i="1"/>
  <c r="F21" i="1" l="1"/>
  <c r="F38" i="1"/>
  <c r="F40" i="1"/>
  <c r="F41" i="1"/>
  <c r="F42" i="1"/>
  <c r="F43" i="1"/>
  <c r="F44" i="1"/>
  <c r="F45" i="1"/>
  <c r="G43" i="1" l="1"/>
  <c r="L43" i="1" s="1"/>
  <c r="G44" i="1"/>
  <c r="L44" i="1" s="1"/>
  <c r="G42" i="1"/>
  <c r="L42" i="1" s="1"/>
  <c r="G40" i="1"/>
  <c r="L40" i="1" s="1"/>
  <c r="G38" i="1"/>
  <c r="L38" i="1" s="1"/>
  <c r="N38" i="1" s="1"/>
  <c r="G45" i="1"/>
  <c r="L45" i="1" s="1"/>
  <c r="G21" i="1"/>
  <c r="L21" i="1" s="1"/>
  <c r="N21" i="1" s="1"/>
  <c r="G41" i="1"/>
  <c r="L41" i="1" s="1"/>
  <c r="F12" i="1" l="1"/>
  <c r="G12" i="1" l="1"/>
  <c r="L12" i="1" s="1"/>
  <c r="F13" i="1"/>
  <c r="E18" i="1"/>
  <c r="F18" i="1" s="1"/>
  <c r="E17" i="1"/>
  <c r="F17" i="1" s="1"/>
  <c r="E16" i="1"/>
  <c r="F16" i="1" s="1"/>
  <c r="E15" i="1"/>
  <c r="F15" i="1" s="1"/>
  <c r="E14" i="1"/>
  <c r="F14" i="1" s="1"/>
  <c r="F9" i="1"/>
  <c r="F10" i="1"/>
  <c r="F11" i="1"/>
  <c r="F19" i="1"/>
  <c r="F20" i="1"/>
  <c r="F39" i="1"/>
  <c r="G11" i="1" l="1"/>
  <c r="L11" i="1" s="1"/>
  <c r="N11" i="1" s="1"/>
  <c r="G39" i="1"/>
  <c r="L39" i="1" s="1"/>
  <c r="G10" i="1"/>
  <c r="L10" i="1" s="1"/>
  <c r="G14" i="1"/>
  <c r="L14" i="1" s="1"/>
  <c r="G16" i="1"/>
  <c r="L16" i="1" s="1"/>
  <c r="N16" i="1" s="1"/>
  <c r="G18" i="1"/>
  <c r="L18" i="1" s="1"/>
  <c r="G20" i="1"/>
  <c r="L20" i="1" s="1"/>
  <c r="G15" i="1"/>
  <c r="L15" i="1" s="1"/>
  <c r="N15" i="1" s="1"/>
  <c r="G17" i="1"/>
  <c r="L17" i="1" s="1"/>
  <c r="G13" i="1"/>
  <c r="L13" i="1" s="1"/>
  <c r="N13" i="1" s="1"/>
  <c r="G19" i="1"/>
  <c r="L19" i="1" s="1"/>
  <c r="N12" i="1"/>
  <c r="N41" i="1"/>
  <c r="N44" i="1"/>
  <c r="N40" i="1"/>
  <c r="N45" i="1"/>
  <c r="N43" i="1"/>
  <c r="N42" i="1"/>
  <c r="G9" i="1"/>
  <c r="L9" i="1" l="1"/>
  <c r="N9" i="1" s="1"/>
  <c r="N20" i="1"/>
  <c r="N18" i="1"/>
  <c r="N14" i="1"/>
  <c r="N10" i="1"/>
  <c r="N17" i="1"/>
  <c r="N39" i="1"/>
  <c r="N19" i="1"/>
</calcChain>
</file>

<file path=xl/comments1.xml><?xml version="1.0" encoding="utf-8"?>
<comments xmlns="http://schemas.openxmlformats.org/spreadsheetml/2006/main">
  <authors>
    <author>Автор</author>
  </authors>
  <commentList>
    <comment ref="J8" authorId="0" shapeId="0">
      <text>
        <r>
          <rPr>
            <b/>
            <sz val="10"/>
            <color indexed="81"/>
            <rFont val="Tahoma"/>
            <family val="2"/>
            <charset val="204"/>
          </rPr>
          <t>Доставка по сайтам, где был только Ваш заказ, посчитана как доля веса посылки с сайта в общем весе посылки умноженная на общую сумму доставки.
Доставка по сайтам, где были заказы разных УЗ, посчитана в целом также, как выше описано, но для каждого участника сумма посчитана исходя из количества заказанных товаров. Для наборов учитывалось общее число их составляющих.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J6" authorId="0" shapeId="0">
      <text>
        <r>
          <rPr>
            <b/>
            <sz val="10"/>
            <color indexed="81"/>
            <rFont val="Tahoma"/>
            <family val="2"/>
            <charset val="204"/>
          </rPr>
          <t>Доставка по сайтам, где был только Ваш заказ, посчитана как доля веса посылки с сайта в общем весе посылки умноженная на общую сумму доставки.
Доставка по сайтам, где были заказы разных УЗ, посчитана в целом также, как выше описано, но для каждого участника сумма посчитана исходя из количества заказанных товаров. Для наборов учитывалось общее число их составляющих.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J2" authorId="0" shapeId="0">
      <text>
        <r>
          <rPr>
            <b/>
            <sz val="10"/>
            <color indexed="81"/>
            <rFont val="Tahoma"/>
            <family val="2"/>
            <charset val="204"/>
          </rPr>
          <t>Доставка по сайтам, где был только Ваш заказ, посчитана как доля веса посылки с сайта в общем весе посылки умноженная на общую сумму доставки.
Доставка по сайтам, где были заказы разных УЗ, посчитана в целом также, как выше описано, но для каждого участника сумма посчитана исходя из количества заказанных товаров. Для наборов учитывалось общее число их составляющих.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J6" authorId="0" shapeId="0">
      <text>
        <r>
          <rPr>
            <b/>
            <sz val="10"/>
            <color indexed="81"/>
            <rFont val="Tahoma"/>
            <family val="2"/>
            <charset val="204"/>
          </rPr>
          <t>Доставка по сайтам, где был только Ваш заказ, посчитана как доля веса посылки с сайта в общем весе посылки умноженная на общую сумму доставки.
Доставка по сайтам, где были заказы разных УЗ, посчитана в целом также, как выше описано, но для каждого участника сумма посчитана исходя из количества заказанных товаров. Для наборов учитывалось общее число их составляющих.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J6" authorId="0" shapeId="0">
      <text>
        <r>
          <rPr>
            <b/>
            <sz val="10"/>
            <color indexed="81"/>
            <rFont val="Tahoma"/>
            <family val="2"/>
            <charset val="204"/>
          </rPr>
          <t>Доставка по сайтам, где был только Ваш заказ, посчитана как доля веса посылки с сайта в общем весе посылки умноженная на общую сумму доставки.
Доставка по сайтам, где были заказы разных УЗ, посчитана в целом также, как выше описано, но для каждого участника сумма посчитана исходя из количества заказанных товаров. Для наборов учитывалось общее число их составляющих.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J6" authorId="0" shapeId="0">
      <text>
        <r>
          <rPr>
            <b/>
            <sz val="10"/>
            <color indexed="81"/>
            <rFont val="Tahoma"/>
            <family val="2"/>
            <charset val="204"/>
          </rPr>
          <t>Доставка по сайтам, где был только Ваш заказ, посчитана как доля веса посылки с сайта в общем весе посылки умноженная на общую сумму доставки.
Доставка по сайтам, где были заказы разных УЗ, посчитана в целом также, как выше описано, но для каждого участника сумма посчитана исходя из количества заказанных товаров. Для наборов учитывалось общее число их составляющих.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J5" authorId="0" shapeId="0">
      <text>
        <r>
          <rPr>
            <b/>
            <sz val="10"/>
            <color indexed="81"/>
            <rFont val="Tahoma"/>
            <family val="2"/>
            <charset val="204"/>
          </rPr>
          <t>Доставка по сайтам, где был только Ваш заказ, посчитана как доля веса посылки с сайта в общем весе посылки умноженная на общую сумму доставки.
Доставка по сайтам, где были заказы разных УЗ, посчитана в целом также, как выше описано, но для каждого участника сумма посчитана исходя из количества заказанных товаров. Для наборов учитывалось общее число их составляющих.</t>
        </r>
      </text>
    </comment>
  </commentList>
</comments>
</file>

<file path=xl/sharedStrings.xml><?xml version="1.0" encoding="utf-8"?>
<sst xmlns="http://schemas.openxmlformats.org/spreadsheetml/2006/main" count="810" uniqueCount="329">
  <si>
    <t>Ник УЗ</t>
  </si>
  <si>
    <t>наименование</t>
  </si>
  <si>
    <t>Кол-во</t>
  </si>
  <si>
    <t>Цена</t>
  </si>
  <si>
    <t>Итого</t>
  </si>
  <si>
    <t>Орг%</t>
  </si>
  <si>
    <t>Доставка по США</t>
  </si>
  <si>
    <t>Оплачено</t>
  </si>
  <si>
    <t>Долг (-), депозит (+)</t>
  </si>
  <si>
    <t>vfkbyf</t>
  </si>
  <si>
    <t>it cosmetic bye bye under eye</t>
  </si>
  <si>
    <t>Медведица</t>
  </si>
  <si>
    <t>полоски</t>
  </si>
  <si>
    <t>бьютиблендер и очиститель</t>
  </si>
  <si>
    <t>hellcat222</t>
  </si>
  <si>
    <t>блески</t>
  </si>
  <si>
    <t xml:space="preserve"> =Тата=</t>
  </si>
  <si>
    <t>тени</t>
  </si>
  <si>
    <t>помада</t>
  </si>
  <si>
    <t>Яшеничка</t>
  </si>
  <si>
    <t>кофта</t>
  </si>
  <si>
    <t>Цена* кол-во</t>
  </si>
  <si>
    <t>amazon</t>
  </si>
  <si>
    <t>cherryculture</t>
  </si>
  <si>
    <t>beauty</t>
  </si>
  <si>
    <t>torokova123</t>
  </si>
  <si>
    <t>третиноин</t>
  </si>
  <si>
    <t>apothecarie</t>
  </si>
  <si>
    <t>набор для бровей</t>
  </si>
  <si>
    <t>Добрая:)</t>
  </si>
  <si>
    <t>кисти 2 шт</t>
  </si>
  <si>
    <t>Assana</t>
  </si>
  <si>
    <t>MAC</t>
  </si>
  <si>
    <t>MAC 3 позиции</t>
  </si>
  <si>
    <t>may-lydmila</t>
  </si>
  <si>
    <t>p_tasha</t>
  </si>
  <si>
    <t>MAKE UP FOR EVER Aqua Brow оттенок 30</t>
  </si>
  <si>
    <t>YVES SAINT LAURENT  LA LAQUE COUTURE Nail Lacquer COLOR 23 Gris Deco - simply grey </t>
  </si>
  <si>
    <t>кисть</t>
  </si>
  <si>
    <t>точилка</t>
  </si>
  <si>
    <t>BOBBI BROWN Blush Tawny - medium pinky brown</t>
  </si>
  <si>
    <t>mac</t>
  </si>
  <si>
    <t>sefora</t>
  </si>
  <si>
    <t>inglot</t>
  </si>
  <si>
    <t>julary</t>
  </si>
  <si>
    <t>beautyencounter</t>
  </si>
  <si>
    <t>olishna72</t>
  </si>
  <si>
    <t>косметика</t>
  </si>
  <si>
    <t>туал.вода</t>
  </si>
  <si>
    <t>IRINAchka</t>
  </si>
  <si>
    <t>Julary</t>
  </si>
  <si>
    <t>Eule</t>
  </si>
  <si>
    <t>everydayminerals</t>
  </si>
  <si>
    <t>сайт</t>
  </si>
  <si>
    <t>Посылка 2</t>
  </si>
  <si>
    <t>Посылка 1</t>
  </si>
  <si>
    <t>Курс</t>
  </si>
  <si>
    <t>Доставка в РФ</t>
  </si>
  <si>
    <t>Курс доставки</t>
  </si>
  <si>
    <t>zoya</t>
  </si>
  <si>
    <t>coastal</t>
  </si>
  <si>
    <t>сумма заказа</t>
  </si>
  <si>
    <t>кол-во беспл. позиций</t>
  </si>
  <si>
    <t>Olishna72</t>
  </si>
  <si>
    <t>may-lyudmila</t>
  </si>
  <si>
    <t>hibiskus</t>
  </si>
  <si>
    <t>я</t>
  </si>
  <si>
    <t>Доставка в РФ*</t>
  </si>
  <si>
    <t>Инструкция:</t>
  </si>
  <si>
    <t>1. Ищите свой ник в столбце В</t>
  </si>
  <si>
    <t>3. Если заказов несколько было, то суммируйте долги из столбца N</t>
  </si>
  <si>
    <t>2. В столбце N в строке Ващего ника сумма долга с учетом сделанных оплат. Долг отмечен с минусом!</t>
  </si>
  <si>
    <t>anastasia</t>
  </si>
  <si>
    <t>Laina</t>
  </si>
  <si>
    <t>Блестящая</t>
  </si>
  <si>
    <t>Зенина Юлия</t>
  </si>
  <si>
    <t>mendilin</t>
  </si>
  <si>
    <t>luddy</t>
  </si>
  <si>
    <t>получена</t>
  </si>
  <si>
    <t>ждём</t>
  </si>
  <si>
    <t>beautyencaunter</t>
  </si>
  <si>
    <t>3 позиции</t>
  </si>
  <si>
    <t>skinstore</t>
  </si>
  <si>
    <t>Татьянка_я</t>
  </si>
  <si>
    <t>Alterna Caviar Experience Kit</t>
  </si>
  <si>
    <t>Юля-я</t>
  </si>
  <si>
    <t>Aussie</t>
  </si>
  <si>
    <t>дезодорант</t>
  </si>
  <si>
    <t>2 позиции (пудра. бальзамы)</t>
  </si>
  <si>
    <t xml:space="preserve">Columbia-Womens-Benton-Springs-Fleece Razzle размер М </t>
  </si>
  <si>
    <t>Тарасова</t>
  </si>
  <si>
    <t xml:space="preserve">рефилл haux </t>
  </si>
  <si>
    <t>рефилл haux , рефилл Harmony</t>
  </si>
  <si>
    <t xml:space="preserve">InglotUSA </t>
  </si>
  <si>
    <t>sheeva</t>
  </si>
  <si>
    <t>drugstore</t>
  </si>
  <si>
    <t>крем с спф</t>
  </si>
  <si>
    <t>sally-hansen-airbrush-legs</t>
  </si>
  <si>
    <t>iwonna…</t>
  </si>
  <si>
    <t>автозагар</t>
  </si>
  <si>
    <t>Blond</t>
  </si>
  <si>
    <t>26 р перенесла с парфюм 4</t>
  </si>
  <si>
    <t>лис-и4-ка</t>
  </si>
  <si>
    <t>Нашка</t>
  </si>
  <si>
    <t>Анна Коваленко</t>
  </si>
  <si>
    <t>Ir_86</t>
  </si>
  <si>
    <t>trumea</t>
  </si>
  <si>
    <t>JulyaS</t>
  </si>
  <si>
    <t>крема 2 шт</t>
  </si>
  <si>
    <t xml:space="preserve">Оля&amp;Никита  </t>
  </si>
  <si>
    <t>Catberry</t>
  </si>
  <si>
    <t>nyxcosmetics</t>
  </si>
  <si>
    <t>блески 2 шт</t>
  </si>
  <si>
    <t>EDM</t>
  </si>
  <si>
    <t>бальзам 2 шт</t>
  </si>
  <si>
    <t>shsh</t>
  </si>
  <si>
    <t>основы</t>
  </si>
  <si>
    <t>urbandecay</t>
  </si>
  <si>
    <t>sephora</t>
  </si>
  <si>
    <t>crazy8</t>
  </si>
  <si>
    <t>aromania</t>
  </si>
  <si>
    <t>Мусенок любящий Печенье</t>
  </si>
  <si>
    <t>палетка</t>
  </si>
  <si>
    <t>крем для век</t>
  </si>
  <si>
    <t>одежда</t>
  </si>
  <si>
    <t>ebay</t>
  </si>
  <si>
    <t>пробники 4 шт</t>
  </si>
  <si>
    <t>anastasiabeverlyhills</t>
  </si>
  <si>
    <t>Stacy</t>
  </si>
  <si>
    <t>КатьЁнок</t>
  </si>
  <si>
    <t>evgeniya2012</t>
  </si>
  <si>
    <t>Flourish_girl</t>
  </si>
  <si>
    <t>Unamela</t>
  </si>
  <si>
    <t>набор Dark brown</t>
  </si>
  <si>
    <t>кисть и dipbrow-pomade TAUPE </t>
  </si>
  <si>
    <t xml:space="preserve">набор и карандаш  Medium brown </t>
  </si>
  <si>
    <t>карандаш Medium Ash, гель Caramel и Granite </t>
  </si>
  <si>
    <t>карандаш Soft brown</t>
  </si>
  <si>
    <t>bobbibrowncosmetics</t>
  </si>
  <si>
    <t>Тональный</t>
  </si>
  <si>
    <t>подводка</t>
  </si>
  <si>
    <t>6pm</t>
  </si>
  <si>
    <t>миляева</t>
  </si>
  <si>
    <t>кроссовки</t>
  </si>
  <si>
    <t>trishmcevoy</t>
  </si>
  <si>
    <t>тушь</t>
  </si>
  <si>
    <t>beccacosmetics</t>
  </si>
  <si>
    <t>медведица</t>
  </si>
  <si>
    <t xml:space="preserve">Stacy  </t>
  </si>
  <si>
    <t>shimmering-skin-perfector</t>
  </si>
  <si>
    <t>priming-perfector</t>
  </si>
  <si>
    <t>праймер2</t>
  </si>
  <si>
    <t>inglotusa</t>
  </si>
  <si>
    <t>Ann_T</t>
  </si>
  <si>
    <t>arunrie</t>
  </si>
  <si>
    <t>Rosочка</t>
  </si>
  <si>
    <t xml:space="preserve"> gloriya1</t>
  </si>
  <si>
    <t>пигмент</t>
  </si>
  <si>
    <t>пигмент, праймер</t>
  </si>
  <si>
    <t>разное</t>
  </si>
  <si>
    <t>тени и праймеры</t>
  </si>
  <si>
    <t>Бабочка717</t>
  </si>
  <si>
    <t>oksy82</t>
  </si>
  <si>
    <t>GalunjaP</t>
  </si>
  <si>
    <t>M@arina</t>
  </si>
  <si>
    <t>maccosmetics</t>
  </si>
  <si>
    <t>sigmabeauty</t>
  </si>
  <si>
    <t>Savanna</t>
  </si>
  <si>
    <t>кисти</t>
  </si>
  <si>
    <t>zhemapel-ka</t>
  </si>
  <si>
    <t>Djessika</t>
  </si>
  <si>
    <t>помады, основа</t>
  </si>
  <si>
    <t>попада</t>
  </si>
  <si>
    <t>Di Na</t>
  </si>
  <si>
    <t>плавки</t>
  </si>
  <si>
    <t>Диша</t>
  </si>
  <si>
    <t>Анэстас</t>
  </si>
  <si>
    <t>luckyvitamin</t>
  </si>
  <si>
    <t>Другая Патрикеевна</t>
  </si>
  <si>
    <t>кремы</t>
  </si>
  <si>
    <t xml:space="preserve">evgeniya2012 </t>
  </si>
  <si>
    <t>праймер, тени</t>
  </si>
  <si>
    <t>Ольга Олейник</t>
  </si>
  <si>
    <t xml:space="preserve">kami555  </t>
  </si>
  <si>
    <t>основы 2</t>
  </si>
  <si>
    <t>silknaturals</t>
  </si>
  <si>
    <t>kami555</t>
  </si>
  <si>
    <t>MosKoun</t>
  </si>
  <si>
    <t>tnm1980</t>
  </si>
  <si>
    <t>Аня-N</t>
  </si>
  <si>
    <t>*Galina222*</t>
  </si>
  <si>
    <t>Gold bond ultimate healing skin therapu lotion</t>
  </si>
  <si>
    <t>57,86 и 60,82</t>
  </si>
  <si>
    <r>
      <t>разное,</t>
    </r>
    <r>
      <rPr>
        <sz val="11"/>
        <color rgb="FFFF0000"/>
        <rFont val="Calibri"/>
        <family val="2"/>
        <charset val="204"/>
        <scheme val="minor"/>
      </rPr>
      <t xml:space="preserve"> был возврат по консилеру!</t>
    </r>
  </si>
  <si>
    <t>Доставка в РФ, $</t>
  </si>
  <si>
    <t>Доставка по США, $</t>
  </si>
  <si>
    <t>Цена, $</t>
  </si>
  <si>
    <t>Цена* кол-во, $</t>
  </si>
  <si>
    <t>Оплачено, руб.</t>
  </si>
  <si>
    <t>Итого, руб.</t>
  </si>
  <si>
    <t>Долг (-), депозит (+) руб</t>
  </si>
  <si>
    <t>Сводная таблица</t>
  </si>
  <si>
    <t>суммы долгов</t>
  </si>
  <si>
    <t>Барышни, в самом низу есть сводные суммы, для тех, у кого несколько заказов с разных сайтов в посылке</t>
  </si>
  <si>
    <t xml:space="preserve"> был возврат по консилеру inglot</t>
  </si>
  <si>
    <t>переплата</t>
  </si>
  <si>
    <t>44 р вернула 29.01.2015</t>
  </si>
  <si>
    <t>ОКР</t>
  </si>
  <si>
    <t>Polya</t>
  </si>
  <si>
    <t>Русьимпорт</t>
  </si>
  <si>
    <t>Разведка2004</t>
  </si>
  <si>
    <t>Nastay</t>
  </si>
  <si>
    <t>baby pink 
bubble gum 
black matte </t>
  </si>
  <si>
    <t>бесцветный и soap opera queen </t>
  </si>
  <si>
    <t xml:space="preserve">soap opera queen  и  baby pink </t>
  </si>
  <si>
    <t>CHOCOLATE MOOSE</t>
  </si>
  <si>
    <t>CHOCOLATE MOOSE и прозрачный, королева оперы</t>
  </si>
  <si>
    <t>sparkle. café latte или whipped </t>
  </si>
  <si>
    <t>прозрачный и бейби пинк </t>
  </si>
  <si>
    <t>sann</t>
  </si>
  <si>
    <t>АняБ</t>
  </si>
  <si>
    <t>Евгения-ЕВА</t>
  </si>
  <si>
    <t>*Natusik*</t>
  </si>
  <si>
    <t>Katya May</t>
  </si>
  <si>
    <t>Crest-White-Whitestrips-Classic-Vivid</t>
  </si>
  <si>
    <t>Buck-Poops-Short-Sleeve-Prairie</t>
  </si>
  <si>
    <t>Australian Gold Self Tanner, 4.5 Ounce</t>
  </si>
  <si>
    <t>Crest 3D White Luxe Glamorous White Vibrant Mint Flavor Whitening Toothpaste Twin Pack 8.2 Oz </t>
  </si>
  <si>
    <t>Rapesco 6 Hole Diary 66-P Adjustable Punch, 8 Sheet Capacity, Black</t>
  </si>
  <si>
    <t>Clearogen-Acne-Lotion-Benzoyl-Peroxide</t>
  </si>
  <si>
    <t>gold-bond-ultimate-healing-skin-therapy-lotion</t>
  </si>
  <si>
    <t>пасты</t>
  </si>
  <si>
    <t>дезодорант 1+1</t>
  </si>
  <si>
    <t xml:space="preserve">eos для рук </t>
  </si>
  <si>
    <t>itcosmetics</t>
  </si>
  <si>
    <t xml:space="preserve">консилер  neutral medium </t>
  </si>
  <si>
    <t>Ternura</t>
  </si>
  <si>
    <t>bareminerals-skincare-purely-nourishing-cream-for-dry-skin</t>
  </si>
  <si>
    <t>блузка</t>
  </si>
  <si>
    <t>Norik</t>
  </si>
  <si>
    <t>SvetOchey</t>
  </si>
  <si>
    <t xml:space="preserve"> SOFT MATTE LIP CREAM LONDON + gloss APPLE STRUDEL </t>
  </si>
  <si>
    <t>консилеры</t>
  </si>
  <si>
    <t>NYX Mega Shine Lip Gloss (Salsa) и NYX Round Lipstick (Tea Rose) </t>
  </si>
  <si>
    <t>Bizkit</t>
  </si>
  <si>
    <t>консилер фиолетовый и желтый</t>
  </si>
  <si>
    <t>Камелия</t>
  </si>
  <si>
    <t>MamaLizo4ki</t>
  </si>
  <si>
    <t xml:space="preserve">NARS - All Day Luminous Weightless Foundation, Deauville </t>
  </si>
  <si>
    <t>34 р перенесла в счет долга по iherb 344, 40 р отметила в счет оплаты пробника основы 18.05.15, 83 р в счет оплаты iherb 378</t>
  </si>
  <si>
    <t>171 оплачено май 15, 43 перенесла с зоя-2, 48 р перененесла с парфюма</t>
  </si>
  <si>
    <t xml:space="preserve">Olaia </t>
  </si>
  <si>
    <t>KristinaYa</t>
  </si>
  <si>
    <t>LenaSnegurka</t>
  </si>
  <si>
    <t>Миляева</t>
  </si>
  <si>
    <t>джинсы Размер W30 L36 цвет Rinse </t>
  </si>
  <si>
    <t>помады</t>
  </si>
  <si>
    <t>Image косметика 2 наименования</t>
  </si>
  <si>
    <t>обувь (замена 2)</t>
  </si>
  <si>
    <t>Курс списания и стоимость доставки из США в РФ будут уточнены по приходу посылки</t>
  </si>
  <si>
    <t>RomanenkoOA</t>
  </si>
  <si>
    <t>LeoNaBob</t>
  </si>
  <si>
    <t>f.irina</t>
  </si>
  <si>
    <t>Kopeva</t>
  </si>
  <si>
    <t>бальзам кутикула</t>
  </si>
  <si>
    <t>тушь Very Black 800 </t>
  </si>
  <si>
    <t>Gold Bond Ultimate Healing Skin Therapy Lotion, Aloe</t>
  </si>
  <si>
    <t>Panasonic Replacement Stain Removal Brushes</t>
  </si>
  <si>
    <t>румяна</t>
  </si>
  <si>
    <t>АлЁк</t>
  </si>
  <si>
    <t>для бровей</t>
  </si>
  <si>
    <t>neMaska</t>
  </si>
  <si>
    <t>Гарлем</t>
  </si>
  <si>
    <t>3 пудры и 1 подводка</t>
  </si>
  <si>
    <t>Arlene</t>
  </si>
  <si>
    <t>КочерЁжка</t>
  </si>
  <si>
    <t xml:space="preserve">Котя84  </t>
  </si>
  <si>
    <t>Мишина</t>
  </si>
  <si>
    <t>палетка брови</t>
  </si>
  <si>
    <t>база и карандаш</t>
  </si>
  <si>
    <t>консилер</t>
  </si>
  <si>
    <t>палетка и бронзер</t>
  </si>
  <si>
    <t>кондиционер</t>
  </si>
  <si>
    <t>Татьяна55555</t>
  </si>
  <si>
    <t>основа</t>
  </si>
  <si>
    <t>обувь</t>
  </si>
  <si>
    <t>возврат орг%</t>
  </si>
  <si>
    <t>110р внесено как возрат орг% по прошлой сп</t>
  </si>
  <si>
    <t>The Balm Mary-lou Manizer Aka The Luminizer Shimmer</t>
  </si>
  <si>
    <t>книга</t>
  </si>
  <si>
    <t>theBalm BalmShelter Tinted Moisturizer SPF 18 цвет Light </t>
  </si>
  <si>
    <t>ЪЪЪолюняЪЪЪ</t>
  </si>
  <si>
    <t xml:space="preserve"> Image Skincare Ageless Total Repair Cream</t>
  </si>
  <si>
    <t>Image Daily Matte Moisturizer Oil Free 32 SPF</t>
  </si>
  <si>
    <t>elena_serdyuk</t>
  </si>
  <si>
    <t>Smashbox Photo Filter Powder Foundation - Shade 3</t>
  </si>
  <si>
    <t>divine-derriere</t>
  </si>
  <si>
    <t>DIVINE DERRIERE BLEACHING CREAM 2OZ [ 3-JAR SALE ]</t>
  </si>
  <si>
    <t>dermstore</t>
  </si>
  <si>
    <t>атевС</t>
  </si>
  <si>
    <t>jane iredale Just Kissed Lip and Cheek Stain - Forever Peach</t>
  </si>
  <si>
    <t>расческа</t>
  </si>
  <si>
    <t>zannoza</t>
  </si>
  <si>
    <t>карандаш и точилка</t>
  </si>
  <si>
    <t>карандаш</t>
  </si>
  <si>
    <t>гель для бровей и кисть</t>
  </si>
  <si>
    <t xml:space="preserve"> -Luna54-</t>
  </si>
  <si>
    <t>Годива</t>
  </si>
  <si>
    <t xml:space="preserve">DIPBROW POMADE Цвет dark brown (не было) и blond </t>
  </si>
  <si>
    <t>TINTED BROW GEL blond цвет</t>
  </si>
  <si>
    <t>хайлайтер и гель для бровей</t>
  </si>
  <si>
    <t>блеск</t>
  </si>
  <si>
    <t>DIPBROW POMADE-TAUPE DB Цвет Тауп</t>
  </si>
  <si>
    <t>хайлайтер, крем для бровей тауп  и черная подводка</t>
  </si>
  <si>
    <t>aLenka_1009</t>
  </si>
  <si>
    <t>Йожи</t>
  </si>
  <si>
    <t>Onlinekate</t>
  </si>
  <si>
    <t>паста и румяна</t>
  </si>
  <si>
    <t>крем</t>
  </si>
  <si>
    <t>бальзам для губ</t>
  </si>
  <si>
    <t>2 дезодоранта</t>
  </si>
  <si>
    <t>список</t>
  </si>
  <si>
    <t>консилер , помада</t>
  </si>
  <si>
    <t>румяна тауп</t>
  </si>
  <si>
    <t>CONCEALING CRÈME цвет Praline</t>
  </si>
  <si>
    <t>PERFECTOR PRESSED цвет Moonstone</t>
  </si>
  <si>
    <t>dorfy</t>
  </si>
  <si>
    <t>Extra</t>
  </si>
  <si>
    <t>сверка будет позже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</si>
</sst>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rgb="FFC00000"/>
      <name val="Calibri"/>
      <family val="2"/>
      <charset val="204"/>
      <scheme val="minor"/>
    </font>
    <font>
      <sz val="20"/>
      <color rgb="FF00B0F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sz val="20"/>
      <color theme="6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b/>
      <i/>
      <sz val="16"/>
      <color rgb="FFFF0000"/>
      <name val="Calibri"/>
      <family val="2"/>
      <charset val="204"/>
      <scheme val="minor"/>
    </font>
    <font>
      <sz val="20"/>
      <color rgb="FF7030A0"/>
      <name val="Calibri"/>
      <family val="2"/>
      <charset val="204"/>
      <scheme val="minor"/>
    </font>
    <font>
      <sz val="20"/>
      <color theme="8" tint="-0.249977111117893"/>
      <name val="Calibri"/>
      <family val="2"/>
      <charset val="204"/>
      <scheme val="minor"/>
    </font>
    <font>
      <sz val="20"/>
      <color theme="9" tint="-0.249977111117893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20"/>
      <color rgb="FF92D050"/>
      <name val="Calibri"/>
      <family val="2"/>
      <charset val="204"/>
      <scheme val="minor"/>
    </font>
    <font>
      <sz val="20"/>
      <color rgb="FFE30BD9"/>
      <name val="Calibri"/>
      <family val="2"/>
      <charset val="204"/>
      <scheme val="minor"/>
    </font>
    <font>
      <sz val="20"/>
      <color rgb="FF2025F4"/>
      <name val="Calibri"/>
      <family val="2"/>
      <charset val="204"/>
      <scheme val="minor"/>
    </font>
    <font>
      <sz val="20"/>
      <color rgb="FF0070C0"/>
      <name val="Calibri"/>
      <family val="2"/>
      <charset val="204"/>
      <scheme val="minor"/>
    </font>
    <font>
      <sz val="20"/>
      <color theme="5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0"/>
      <color rgb="FF00B0F0"/>
      <name val="Calibri"/>
      <family val="2"/>
      <charset val="204"/>
      <scheme val="minor"/>
    </font>
    <font>
      <b/>
      <sz val="20"/>
      <color rgb="FF92D050"/>
      <name val="Calibri"/>
      <family val="2"/>
      <charset val="204"/>
      <scheme val="minor"/>
    </font>
    <font>
      <b/>
      <sz val="20"/>
      <color theme="9" tint="-0.249977111117893"/>
      <name val="Calibri"/>
      <family val="2"/>
      <charset val="204"/>
      <scheme val="minor"/>
    </font>
    <font>
      <b/>
      <sz val="20"/>
      <color rgb="FF7030A0"/>
      <name val="Calibri"/>
      <family val="2"/>
      <charset val="204"/>
      <scheme val="minor"/>
    </font>
    <font>
      <b/>
      <sz val="20"/>
      <color theme="5" tint="-0.249977111117893"/>
      <name val="Calibri"/>
      <family val="2"/>
      <charset val="204"/>
      <scheme val="minor"/>
    </font>
    <font>
      <b/>
      <sz val="20"/>
      <color rgb="FFE30BD9"/>
      <name val="Calibri"/>
      <family val="2"/>
      <charset val="204"/>
      <scheme val="minor"/>
    </font>
    <font>
      <b/>
      <sz val="20"/>
      <color rgb="FF00B050"/>
      <name val="Calibri"/>
      <family val="2"/>
      <charset val="204"/>
      <scheme val="minor"/>
    </font>
    <font>
      <b/>
      <sz val="20"/>
      <color rgb="FF2A0BE3"/>
      <name val="Calibri"/>
      <family val="2"/>
      <charset val="204"/>
      <scheme val="minor"/>
    </font>
    <font>
      <b/>
      <sz val="20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20"/>
      <color theme="7" tint="0.39997558519241921"/>
      <name val="Calibri"/>
      <family val="2"/>
      <charset val="204"/>
      <scheme val="minor"/>
    </font>
    <font>
      <b/>
      <sz val="20"/>
      <color rgb="FFFB9BE0"/>
      <name val="Calibri"/>
      <family val="2"/>
      <charset val="204"/>
      <scheme val="minor"/>
    </font>
    <font>
      <b/>
      <sz val="11"/>
      <color rgb="FF2A0BE3"/>
      <name val="Calibri"/>
      <family val="2"/>
      <charset val="204"/>
      <scheme val="minor"/>
    </font>
    <font>
      <b/>
      <i/>
      <sz val="20"/>
      <color rgb="FF2025F4"/>
      <name val="Calibri"/>
      <family val="2"/>
      <charset val="204"/>
      <scheme val="minor"/>
    </font>
    <font>
      <b/>
      <sz val="20"/>
      <color theme="9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2" fillId="0" borderId="0" xfId="0" applyFont="1" applyAlignment="1">
      <alignment wrapText="1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1" fontId="0" fillId="0" borderId="2" xfId="0" applyNumberFormat="1" applyBorder="1" applyAlignment="1">
      <alignment wrapText="1"/>
    </xf>
    <xf numFmtId="1" fontId="0" fillId="0" borderId="4" xfId="0" applyNumberFormat="1" applyBorder="1" applyAlignment="1">
      <alignment wrapText="1"/>
    </xf>
    <xf numFmtId="1" fontId="0" fillId="0" borderId="5" xfId="0" applyNumberFormat="1" applyBorder="1" applyAlignment="1">
      <alignment wrapText="1"/>
    </xf>
    <xf numFmtId="1" fontId="0" fillId="0" borderId="3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0" borderId="11" xfId="0" applyNumberFormat="1" applyBorder="1" applyAlignment="1">
      <alignment wrapText="1"/>
    </xf>
    <xf numFmtId="1" fontId="0" fillId="0" borderId="14" xfId="0" applyNumberFormat="1" applyBorder="1" applyAlignment="1">
      <alignment wrapText="1"/>
    </xf>
    <xf numFmtId="1" fontId="0" fillId="0" borderId="16" xfId="0" applyNumberFormat="1" applyBorder="1" applyAlignment="1">
      <alignment wrapText="1"/>
    </xf>
    <xf numFmtId="1" fontId="0" fillId="0" borderId="18" xfId="0" applyNumberForma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20" xfId="0" applyBorder="1" applyAlignment="1">
      <alignment wrapText="1"/>
    </xf>
    <xf numFmtId="1" fontId="0" fillId="0" borderId="20" xfId="0" applyNumberFormat="1" applyBorder="1" applyAlignment="1">
      <alignment wrapText="1"/>
    </xf>
    <xf numFmtId="1" fontId="0" fillId="0" borderId="21" xfId="0" applyNumberFormat="1" applyBorder="1" applyAlignment="1">
      <alignment wrapText="1"/>
    </xf>
    <xf numFmtId="1" fontId="0" fillId="0" borderId="22" xfId="0" applyNumberForma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3" xfId="0" applyFont="1" applyBorder="1"/>
    <xf numFmtId="0" fontId="1" fillId="0" borderId="23" xfId="0" applyFont="1" applyBorder="1"/>
    <xf numFmtId="0" fontId="0" fillId="2" borderId="1" xfId="0" applyFill="1" applyBorder="1"/>
    <xf numFmtId="0" fontId="0" fillId="0" borderId="26" xfId="0" applyBorder="1"/>
    <xf numFmtId="0" fontId="3" fillId="0" borderId="4" xfId="0" applyFont="1" applyBorder="1"/>
    <xf numFmtId="0" fontId="0" fillId="2" borderId="4" xfId="0" applyFill="1" applyBorder="1"/>
    <xf numFmtId="0" fontId="3" fillId="0" borderId="5" xfId="0" applyFont="1" applyBorder="1"/>
    <xf numFmtId="1" fontId="0" fillId="2" borderId="5" xfId="0" applyNumberFormat="1" applyFill="1" applyBorder="1" applyAlignment="1">
      <alignment wrapText="1"/>
    </xf>
    <xf numFmtId="1" fontId="0" fillId="2" borderId="20" xfId="0" applyNumberFormat="1" applyFill="1" applyBorder="1" applyAlignment="1">
      <alignment wrapText="1"/>
    </xf>
    <xf numFmtId="1" fontId="0" fillId="2" borderId="4" xfId="0" applyNumberFormat="1" applyFill="1" applyBorder="1" applyAlignment="1">
      <alignment wrapText="1"/>
    </xf>
    <xf numFmtId="1" fontId="0" fillId="0" borderId="28" xfId="0" applyNumberFormat="1" applyBorder="1" applyAlignment="1">
      <alignment wrapText="1"/>
    </xf>
    <xf numFmtId="1" fontId="0" fillId="0" borderId="29" xfId="0" applyNumberFormat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4" fontId="0" fillId="0" borderId="20" xfId="0" applyNumberForma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1" fontId="0" fillId="0" borderId="32" xfId="0" applyNumberFormat="1" applyBorder="1" applyAlignment="1">
      <alignment wrapText="1"/>
    </xf>
    <xf numFmtId="0" fontId="1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0" fillId="0" borderId="3" xfId="0" applyBorder="1"/>
    <xf numFmtId="1" fontId="0" fillId="2" borderId="37" xfId="0" applyNumberForma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25" xfId="0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8" fillId="0" borderId="35" xfId="0" applyFont="1" applyBorder="1" applyAlignment="1">
      <alignment wrapText="1"/>
    </xf>
    <xf numFmtId="0" fontId="8" fillId="0" borderId="30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7" fillId="0" borderId="36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0" fontId="9" fillId="0" borderId="0" xfId="0" applyFont="1" applyAlignment="1"/>
    <xf numFmtId="0" fontId="10" fillId="0" borderId="0" xfId="0" applyFont="1" applyAlignment="1"/>
    <xf numFmtId="0" fontId="1" fillId="0" borderId="5" xfId="0" applyFont="1" applyBorder="1" applyAlignment="1">
      <alignment wrapText="1"/>
    </xf>
    <xf numFmtId="0" fontId="1" fillId="0" borderId="35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38" xfId="0" applyBorder="1" applyAlignment="1">
      <alignment wrapText="1"/>
    </xf>
    <xf numFmtId="0" fontId="5" fillId="0" borderId="38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1" fontId="0" fillId="2" borderId="3" xfId="0" applyNumberFormat="1" applyFill="1" applyBorder="1" applyAlignment="1">
      <alignment wrapText="1"/>
    </xf>
    <xf numFmtId="1" fontId="0" fillId="2" borderId="11" xfId="0" applyNumberFormat="1" applyFill="1" applyBorder="1" applyAlignment="1">
      <alignment wrapText="1"/>
    </xf>
    <xf numFmtId="1" fontId="0" fillId="2" borderId="2" xfId="0" applyNumberFormat="1" applyFill="1" applyBorder="1" applyAlignment="1">
      <alignment wrapText="1"/>
    </xf>
    <xf numFmtId="1" fontId="0" fillId="2" borderId="21" xfId="0" applyNumberFormat="1" applyFill="1" applyBorder="1" applyAlignment="1">
      <alignment wrapText="1"/>
    </xf>
    <xf numFmtId="1" fontId="0" fillId="2" borderId="22" xfId="0" applyNumberFormat="1" applyFill="1" applyBorder="1" applyAlignment="1">
      <alignment wrapText="1"/>
    </xf>
    <xf numFmtId="0" fontId="0" fillId="0" borderId="39" xfId="0" applyBorder="1"/>
    <xf numFmtId="0" fontId="13" fillId="0" borderId="0" xfId="0" applyFont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0" fillId="0" borderId="2" xfId="0" applyBorder="1"/>
    <xf numFmtId="0" fontId="16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4" borderId="1" xfId="0" applyNumberFormat="1" applyFill="1" applyBorder="1" applyAlignment="1">
      <alignment wrapText="1"/>
    </xf>
    <xf numFmtId="0" fontId="16" fillId="0" borderId="5" xfId="0" applyFont="1" applyBorder="1" applyAlignment="1">
      <alignment wrapText="1"/>
    </xf>
    <xf numFmtId="1" fontId="4" fillId="2" borderId="5" xfId="0" applyNumberFormat="1" applyFont="1" applyFill="1" applyBorder="1" applyAlignment="1">
      <alignment wrapText="1"/>
    </xf>
    <xf numFmtId="1" fontId="0" fillId="4" borderId="3" xfId="0" applyNumberForma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3" xfId="0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20" fillId="0" borderId="13" xfId="0" applyFont="1" applyBorder="1" applyAlignment="1">
      <alignment wrapText="1"/>
    </xf>
    <xf numFmtId="0" fontId="0" fillId="0" borderId="4" xfId="0" applyBorder="1"/>
    <xf numFmtId="0" fontId="20" fillId="0" borderId="15" xfId="0" applyFont="1" applyBorder="1" applyAlignment="1">
      <alignment wrapText="1"/>
    </xf>
    <xf numFmtId="0" fontId="20" fillId="0" borderId="17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0" fillId="0" borderId="11" xfId="0" applyBorder="1"/>
    <xf numFmtId="0" fontId="19" fillId="0" borderId="13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4" fillId="0" borderId="15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15" fillId="0" borderId="17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9" fillId="0" borderId="42" xfId="0" applyFont="1" applyBorder="1" applyAlignment="1">
      <alignment wrapText="1"/>
    </xf>
    <xf numFmtId="0" fontId="0" fillId="0" borderId="20" xfId="0" applyBorder="1"/>
    <xf numFmtId="0" fontId="18" fillId="0" borderId="3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6" fillId="0" borderId="42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23" fillId="0" borderId="0" xfId="0" applyFont="1"/>
    <xf numFmtId="0" fontId="1" fillId="0" borderId="43" xfId="0" applyFont="1" applyBorder="1" applyAlignment="1">
      <alignment horizontal="center" wrapText="1"/>
    </xf>
    <xf numFmtId="0" fontId="23" fillId="0" borderId="0" xfId="0" applyFont="1" applyBorder="1"/>
    <xf numFmtId="0" fontId="24" fillId="0" borderId="24" xfId="0" applyFont="1" applyBorder="1" applyAlignment="1">
      <alignment horizontal="center" wrapText="1"/>
    </xf>
    <xf numFmtId="0" fontId="23" fillId="0" borderId="36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4" fontId="23" fillId="0" borderId="44" xfId="0" applyNumberFormat="1" applyFont="1" applyBorder="1" applyAlignment="1">
      <alignment horizontal="center" wrapText="1"/>
    </xf>
    <xf numFmtId="4" fontId="23" fillId="0" borderId="30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4" fontId="0" fillId="0" borderId="2" xfId="0" applyNumberFormat="1" applyBorder="1" applyAlignment="1">
      <alignment horizontal="center" wrapText="1"/>
    </xf>
    <xf numFmtId="4" fontId="23" fillId="0" borderId="33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0" fillId="2" borderId="2" xfId="0" applyNumberFormat="1" applyFill="1" applyBorder="1" applyAlignment="1">
      <alignment horizontal="center" wrapText="1"/>
    </xf>
    <xf numFmtId="1" fontId="4" fillId="0" borderId="2" xfId="0" applyNumberFormat="1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" fontId="0" fillId="0" borderId="20" xfId="0" applyNumberFormat="1" applyBorder="1" applyAlignment="1">
      <alignment horizontal="center" wrapText="1"/>
    </xf>
    <xf numFmtId="4" fontId="23" fillId="0" borderId="45" xfId="0" applyNumberFormat="1" applyFont="1" applyBorder="1" applyAlignment="1">
      <alignment horizontal="center" wrapText="1"/>
    </xf>
    <xf numFmtId="4" fontId="23" fillId="0" borderId="27" xfId="0" applyNumberFormat="1" applyFont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1" fontId="0" fillId="0" borderId="20" xfId="0" applyNumberFormat="1" applyBorder="1" applyAlignment="1">
      <alignment horizontal="center" wrapText="1"/>
    </xf>
    <xf numFmtId="1" fontId="4" fillId="0" borderId="21" xfId="0" applyNumberFormat="1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0" fillId="0" borderId="11" xfId="0" applyNumberFormat="1" applyBorder="1" applyAlignment="1">
      <alignment horizontal="center" wrapText="1"/>
    </xf>
    <xf numFmtId="4" fontId="23" fillId="0" borderId="50" xfId="0" applyNumberFormat="1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1" fontId="4" fillId="2" borderId="11" xfId="0" applyNumberFormat="1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1" fontId="4" fillId="2" borderId="21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4" fontId="0" fillId="0" borderId="3" xfId="0" applyNumberFormat="1" applyBorder="1" applyAlignment="1">
      <alignment horizontal="center" wrapText="1"/>
    </xf>
    <xf numFmtId="4" fontId="23" fillId="0" borderId="43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" fontId="0" fillId="0" borderId="3" xfId="0" applyNumberFormat="1" applyBorder="1" applyAlignment="1">
      <alignment horizontal="center" wrapText="1"/>
    </xf>
    <xf numFmtId="1" fontId="4" fillId="2" borderId="3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4" fillId="2" borderId="1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" fontId="4" fillId="2" borderId="2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4" fontId="0" fillId="0" borderId="4" xfId="0" applyNumberFormat="1" applyBorder="1" applyAlignment="1">
      <alignment horizontal="center" wrapText="1"/>
    </xf>
    <xf numFmtId="4" fontId="23" fillId="0" borderId="2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2" borderId="4" xfId="0" applyNumberFormat="1" applyFill="1" applyBorder="1" applyAlignment="1">
      <alignment horizontal="center" wrapText="1"/>
    </xf>
    <xf numFmtId="1" fontId="4" fillId="2" borderId="14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4" fontId="0" fillId="0" borderId="5" xfId="0" applyNumberFormat="1" applyBorder="1" applyAlignment="1">
      <alignment horizontal="center" wrapText="1"/>
    </xf>
    <xf numFmtId="4" fontId="23" fillId="0" borderId="12" xfId="0" applyNumberFormat="1" applyFont="1" applyBorder="1" applyAlignment="1">
      <alignment horizontal="center" wrapText="1"/>
    </xf>
    <xf numFmtId="4" fontId="23" fillId="0" borderId="25" xfId="0" applyNumberFormat="1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" fontId="0" fillId="0" borderId="5" xfId="0" applyNumberFormat="1" applyBorder="1" applyAlignment="1">
      <alignment horizontal="center" wrapText="1"/>
    </xf>
    <xf numFmtId="1" fontId="4" fillId="2" borderId="18" xfId="0" applyNumberFormat="1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4" fontId="23" fillId="0" borderId="46" xfId="0" applyNumberFormat="1" applyFont="1" applyBorder="1" applyAlignment="1">
      <alignment horizontal="center" wrapText="1"/>
    </xf>
    <xf numFmtId="4" fontId="23" fillId="0" borderId="51" xfId="0" applyNumberFormat="1" applyFont="1" applyBorder="1" applyAlignment="1">
      <alignment horizontal="center" wrapText="1"/>
    </xf>
    <xf numFmtId="4" fontId="23" fillId="0" borderId="52" xfId="0" applyNumberFormat="1" applyFont="1" applyBorder="1" applyAlignment="1">
      <alignment horizontal="center" wrapText="1"/>
    </xf>
    <xf numFmtId="4" fontId="23" fillId="0" borderId="47" xfId="0" applyNumberFormat="1" applyFont="1" applyBorder="1" applyAlignment="1">
      <alignment horizontal="center" wrapText="1"/>
    </xf>
    <xf numFmtId="1" fontId="4" fillId="2" borderId="41" xfId="0" applyNumberFormat="1" applyFont="1" applyFill="1" applyBorder="1" applyAlignment="1">
      <alignment horizontal="center" wrapText="1"/>
    </xf>
    <xf numFmtId="4" fontId="0" fillId="0" borderId="48" xfId="0" applyNumberFormat="1" applyFont="1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wrapText="1"/>
    </xf>
    <xf numFmtId="4" fontId="0" fillId="0" borderId="37" xfId="0" applyNumberFormat="1" applyBorder="1" applyAlignment="1">
      <alignment horizontal="center" wrapText="1"/>
    </xf>
    <xf numFmtId="4" fontId="0" fillId="0" borderId="49" xfId="0" applyNumberFormat="1" applyFont="1" applyBorder="1" applyAlignment="1">
      <alignment horizontal="center" wrapText="1"/>
    </xf>
    <xf numFmtId="1" fontId="0" fillId="0" borderId="37" xfId="0" applyNumberFormat="1" applyBorder="1" applyAlignment="1">
      <alignment horizontal="center" wrapText="1"/>
    </xf>
    <xf numFmtId="1" fontId="4" fillId="2" borderId="22" xfId="0" applyNumberFormat="1" applyFont="1" applyFill="1" applyBorder="1" applyAlignment="1">
      <alignment horizontal="center" wrapText="1"/>
    </xf>
    <xf numFmtId="4" fontId="0" fillId="0" borderId="47" xfId="0" applyNumberFormat="1" applyFont="1" applyBorder="1" applyAlignment="1">
      <alignment horizontal="center" wrapText="1"/>
    </xf>
    <xf numFmtId="1" fontId="4" fillId="2" borderId="16" xfId="0" applyNumberFormat="1" applyFont="1" applyFill="1" applyBorder="1" applyAlignment="1">
      <alignment horizontal="center" wrapText="1"/>
    </xf>
    <xf numFmtId="4" fontId="0" fillId="0" borderId="12" xfId="0" applyNumberFormat="1" applyFont="1" applyBorder="1" applyAlignment="1">
      <alignment horizontal="center" wrapText="1"/>
    </xf>
    <xf numFmtId="4" fontId="23" fillId="0" borderId="49" xfId="0" applyNumberFormat="1" applyFont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1" fontId="0" fillId="2" borderId="5" xfId="0" applyNumberFormat="1" applyFill="1" applyBorder="1" applyAlignment="1">
      <alignment horizontal="center" wrapText="1"/>
    </xf>
    <xf numFmtId="4" fontId="0" fillId="0" borderId="45" xfId="0" applyNumberFormat="1" applyFont="1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23" fillId="0" borderId="38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4" fontId="0" fillId="0" borderId="37" xfId="0" applyNumberFormat="1" applyFont="1" applyBorder="1" applyAlignment="1">
      <alignment horizontal="center" wrapText="1"/>
    </xf>
    <xf numFmtId="2" fontId="23" fillId="0" borderId="4" xfId="0" applyNumberFormat="1" applyFont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2" fontId="23" fillId="0" borderId="1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wrapText="1"/>
    </xf>
    <xf numFmtId="2" fontId="23" fillId="0" borderId="5" xfId="0" applyNumberFormat="1" applyFont="1" applyBorder="1" applyAlignment="1">
      <alignment horizontal="center" wrapText="1"/>
    </xf>
    <xf numFmtId="2" fontId="23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4" fontId="0" fillId="0" borderId="32" xfId="0" applyNumberFormat="1" applyFont="1" applyBorder="1" applyAlignment="1">
      <alignment horizontal="center" wrapText="1"/>
    </xf>
    <xf numFmtId="4" fontId="0" fillId="0" borderId="20" xfId="0" applyNumberFormat="1" applyFont="1" applyBorder="1" applyAlignment="1">
      <alignment horizontal="center" wrapText="1"/>
    </xf>
    <xf numFmtId="2" fontId="23" fillId="0" borderId="20" xfId="0" applyNumberFormat="1" applyFont="1" applyBorder="1" applyAlignment="1">
      <alignment horizontal="center" wrapText="1"/>
    </xf>
    <xf numFmtId="1" fontId="4" fillId="2" borderId="20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23" fillId="0" borderId="37" xfId="0" applyNumberFormat="1" applyFont="1" applyBorder="1" applyAlignment="1">
      <alignment horizontal="center" wrapText="1"/>
    </xf>
    <xf numFmtId="0" fontId="25" fillId="0" borderId="0" xfId="0" applyFont="1"/>
    <xf numFmtId="0" fontId="26" fillId="0" borderId="1" xfId="0" applyFont="1" applyBorder="1" applyAlignment="1">
      <alignment horizontal="center"/>
    </xf>
    <xf numFmtId="0" fontId="27" fillId="0" borderId="0" xfId="0" applyFont="1"/>
    <xf numFmtId="0" fontId="27" fillId="0" borderId="1" xfId="0" applyFont="1" applyBorder="1" applyAlignment="1">
      <alignment horizontal="right"/>
    </xf>
    <xf numFmtId="1" fontId="28" fillId="0" borderId="1" xfId="0" applyNumberFormat="1" applyFont="1" applyBorder="1" applyAlignment="1">
      <alignment horizontal="center"/>
    </xf>
    <xf numFmtId="0" fontId="28" fillId="0" borderId="0" xfId="0" applyFont="1"/>
    <xf numFmtId="1" fontId="29" fillId="0" borderId="1" xfId="0" applyNumberFormat="1" applyFont="1" applyBorder="1" applyAlignment="1">
      <alignment horizontal="center"/>
    </xf>
    <xf numFmtId="1" fontId="0" fillId="5" borderId="20" xfId="0" applyNumberFormat="1" applyFill="1" applyBorder="1" applyAlignment="1">
      <alignment horizontal="center" wrapText="1"/>
    </xf>
    <xf numFmtId="0" fontId="4" fillId="0" borderId="0" xfId="0" applyFont="1"/>
    <xf numFmtId="4" fontId="23" fillId="0" borderId="1" xfId="0" applyNumberFormat="1" applyFont="1" applyBorder="1" applyAlignment="1">
      <alignment horizontal="center" wrapText="1"/>
    </xf>
    <xf numFmtId="0" fontId="30" fillId="0" borderId="0" xfId="0" applyFont="1"/>
    <xf numFmtId="0" fontId="0" fillId="0" borderId="0" xfId="0" applyBorder="1"/>
    <xf numFmtId="0" fontId="24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0" xfId="0" applyFont="1"/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0" fillId="0" borderId="37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32" xfId="0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/>
    <xf numFmtId="4" fontId="23" fillId="6" borderId="1" xfId="0" applyNumberFormat="1" applyFont="1" applyFill="1" applyBorder="1" applyAlignment="1">
      <alignment horizontal="center" wrapText="1"/>
    </xf>
    <xf numFmtId="1" fontId="0" fillId="6" borderId="1" xfId="0" applyNumberForma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 wrapText="1"/>
    </xf>
    <xf numFmtId="0" fontId="44" fillId="0" borderId="0" xfId="0" applyFont="1"/>
    <xf numFmtId="0" fontId="4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2025F4"/>
      <color rgb="FF2A0BE3"/>
      <color rgb="FFFB9BE0"/>
      <color rgb="FFFDCBEF"/>
      <color rgb="FF0EE3E8"/>
      <color rgb="FFE30B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@arina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52"/>
  <sheetViews>
    <sheetView zoomScale="68" zoomScaleNormal="68" workbookViewId="0">
      <selection activeCell="J13" sqref="J13"/>
    </sheetView>
  </sheetViews>
  <sheetFormatPr defaultColWidth="9.140625" defaultRowHeight="15" x14ac:dyDescent="0.25"/>
  <cols>
    <col min="1" max="1" width="24.7109375" style="1" customWidth="1"/>
    <col min="2" max="2" width="20.85546875" style="1" customWidth="1"/>
    <col min="3" max="3" width="18.42578125" style="1" customWidth="1"/>
    <col min="4" max="4" width="4.85546875" style="1" customWidth="1"/>
    <col min="5" max="5" width="7.5703125" style="1" customWidth="1"/>
    <col min="6" max="6" width="8.85546875" style="1" customWidth="1"/>
    <col min="7" max="7" width="10.7109375" style="1" bestFit="1" customWidth="1"/>
    <col min="8" max="8" width="10.7109375" style="1" customWidth="1"/>
    <col min="9" max="9" width="10.5703125" style="1" customWidth="1"/>
    <col min="10" max="11" width="14.85546875" style="1" customWidth="1"/>
    <col min="12" max="12" width="10.28515625" style="1" customWidth="1"/>
    <col min="13" max="13" width="12.28515625" style="1" customWidth="1"/>
    <col min="14" max="14" width="13.42578125" style="1" customWidth="1"/>
    <col min="15" max="16384" width="9.140625" style="1"/>
  </cols>
  <sheetData>
    <row r="1" spans="1:14" ht="23.25" x14ac:dyDescent="0.35">
      <c r="A1" s="91" t="s">
        <v>68</v>
      </c>
    </row>
    <row r="2" spans="1:14" ht="23.25" x14ac:dyDescent="0.35">
      <c r="A2" s="90" t="s">
        <v>69</v>
      </c>
    </row>
    <row r="3" spans="1:14" ht="23.25" x14ac:dyDescent="0.35">
      <c r="A3" s="90" t="s">
        <v>71</v>
      </c>
    </row>
    <row r="4" spans="1:14" ht="23.25" x14ac:dyDescent="0.35">
      <c r="A4" s="90" t="s">
        <v>70</v>
      </c>
    </row>
    <row r="5" spans="1:14" ht="23.25" x14ac:dyDescent="0.35">
      <c r="A5" s="90"/>
    </row>
    <row r="6" spans="1:14" x14ac:dyDescent="0.25">
      <c r="F6" s="10"/>
      <c r="G6" s="11"/>
      <c r="H6" s="11"/>
      <c r="I6" s="10"/>
      <c r="J6" s="12"/>
      <c r="K6" s="12"/>
    </row>
    <row r="7" spans="1:14" ht="32.25" thickBot="1" x14ac:dyDescent="0.55000000000000004">
      <c r="A7" s="96" t="s">
        <v>55</v>
      </c>
      <c r="B7" s="96" t="s">
        <v>78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30" x14ac:dyDescent="0.25">
      <c r="A8" s="63" t="s">
        <v>53</v>
      </c>
      <c r="B8" s="94" t="s">
        <v>0</v>
      </c>
      <c r="C8" s="86" t="s">
        <v>1</v>
      </c>
      <c r="D8" s="86" t="s">
        <v>2</v>
      </c>
      <c r="E8" s="86" t="s">
        <v>3</v>
      </c>
      <c r="F8" s="86" t="s">
        <v>21</v>
      </c>
      <c r="G8" s="86" t="s">
        <v>5</v>
      </c>
      <c r="H8" s="86" t="s">
        <v>6</v>
      </c>
      <c r="I8" s="86" t="s">
        <v>56</v>
      </c>
      <c r="J8" s="86" t="s">
        <v>57</v>
      </c>
      <c r="K8" s="86" t="s">
        <v>58</v>
      </c>
      <c r="L8" s="86" t="s">
        <v>4</v>
      </c>
      <c r="M8" s="86" t="s">
        <v>7</v>
      </c>
      <c r="N8" s="86" t="s">
        <v>8</v>
      </c>
    </row>
    <row r="9" spans="1:14" ht="33" thickBot="1" x14ac:dyDescent="0.45">
      <c r="A9" s="69" t="s">
        <v>24</v>
      </c>
      <c r="B9" s="27" t="s">
        <v>9</v>
      </c>
      <c r="C9" s="5" t="s">
        <v>10</v>
      </c>
      <c r="D9" s="5">
        <v>1</v>
      </c>
      <c r="E9" s="5">
        <v>25.7</v>
      </c>
      <c r="F9" s="5">
        <f>D9*E9</f>
        <v>25.7</v>
      </c>
      <c r="G9" s="5">
        <f>F9*0.1</f>
        <v>2.5700000000000003</v>
      </c>
      <c r="H9" s="48">
        <f>11.2/7</f>
        <v>1.5999999999999999</v>
      </c>
      <c r="I9" s="48">
        <v>33.770000000000003</v>
      </c>
      <c r="J9" s="48">
        <f>16.95/7</f>
        <v>2.4214285714285713</v>
      </c>
      <c r="K9" s="9">
        <v>34.54</v>
      </c>
      <c r="L9" s="15">
        <f>(F9+G9+H9)*I9+J9*K9</f>
        <v>1092.3460428571429</v>
      </c>
      <c r="M9" s="13">
        <f>957+135</f>
        <v>1092</v>
      </c>
      <c r="N9" s="13">
        <f>-L9+M9</f>
        <v>-0.34604285714294747</v>
      </c>
    </row>
    <row r="10" spans="1:14" ht="26.25" x14ac:dyDescent="0.4">
      <c r="A10" s="74" t="s">
        <v>22</v>
      </c>
      <c r="B10" s="29" t="s">
        <v>11</v>
      </c>
      <c r="C10" s="7" t="s">
        <v>12</v>
      </c>
      <c r="D10" s="7">
        <v>1</v>
      </c>
      <c r="E10" s="7">
        <v>37.54</v>
      </c>
      <c r="F10" s="7">
        <f t="shared" ref="F10:F20" si="0">D10*E10</f>
        <v>37.54</v>
      </c>
      <c r="G10" s="7">
        <f t="shared" ref="G10:G20" si="1">F10*0.1</f>
        <v>3.754</v>
      </c>
      <c r="H10" s="49"/>
      <c r="I10" s="49">
        <v>33.35</v>
      </c>
      <c r="J10" s="49">
        <v>2.02</v>
      </c>
      <c r="K10" s="22">
        <v>34.54</v>
      </c>
      <c r="L10" s="18">
        <f t="shared" ref="L10:L45" si="2">(F10+G10+H10)*I10+J10*K10</f>
        <v>1446.9257</v>
      </c>
      <c r="M10" s="14">
        <f>1398+49</f>
        <v>1447</v>
      </c>
      <c r="N10" s="19">
        <f t="shared" ref="N10:N20" si="3">-L10+M10</f>
        <v>7.4299999999993815E-2</v>
      </c>
    </row>
    <row r="11" spans="1:14" ht="33" thickBot="1" x14ac:dyDescent="0.45">
      <c r="A11" s="75" t="s">
        <v>22</v>
      </c>
      <c r="B11" s="30" t="s">
        <v>11</v>
      </c>
      <c r="C11" s="2" t="s">
        <v>13</v>
      </c>
      <c r="D11" s="2">
        <v>1</v>
      </c>
      <c r="E11" s="46">
        <v>23.95</v>
      </c>
      <c r="F11" s="2">
        <f t="shared" si="0"/>
        <v>23.95</v>
      </c>
      <c r="G11" s="2">
        <f t="shared" si="1"/>
        <v>2.395</v>
      </c>
      <c r="H11" s="50"/>
      <c r="I11" s="50">
        <v>33.770000000000003</v>
      </c>
      <c r="J11" s="50">
        <v>2.23</v>
      </c>
      <c r="K11" s="5">
        <v>34.54</v>
      </c>
      <c r="L11" s="13">
        <f t="shared" si="2"/>
        <v>966.69484999999997</v>
      </c>
      <c r="M11" s="17">
        <f>743+224</f>
        <v>967</v>
      </c>
      <c r="N11" s="20">
        <f t="shared" si="3"/>
        <v>0.30515000000002601</v>
      </c>
    </row>
    <row r="12" spans="1:14" ht="27" thickBot="1" x14ac:dyDescent="0.45">
      <c r="A12" s="97" t="s">
        <v>72</v>
      </c>
      <c r="B12" s="31" t="s">
        <v>11</v>
      </c>
      <c r="C12" s="9" t="s">
        <v>28</v>
      </c>
      <c r="D12" s="9">
        <v>1</v>
      </c>
      <c r="E12" s="9">
        <v>48.75</v>
      </c>
      <c r="F12" s="9">
        <f>E12</f>
        <v>48.75</v>
      </c>
      <c r="G12" s="9">
        <f>F12*0.1</f>
        <v>4.875</v>
      </c>
      <c r="H12" s="51"/>
      <c r="I12" s="51">
        <v>33.82</v>
      </c>
      <c r="J12" s="51">
        <v>2.58</v>
      </c>
      <c r="K12" s="9">
        <v>34.54</v>
      </c>
      <c r="L12" s="15">
        <f t="shared" si="2"/>
        <v>1902.7107000000001</v>
      </c>
      <c r="M12" s="40">
        <f>1350+500+53</f>
        <v>1903</v>
      </c>
      <c r="N12" s="21">
        <f t="shared" si="3"/>
        <v>0.28929999999991196</v>
      </c>
    </row>
    <row r="13" spans="1:14" ht="27" thickBot="1" x14ac:dyDescent="0.45">
      <c r="A13" s="76" t="s">
        <v>22</v>
      </c>
      <c r="B13" s="59" t="s">
        <v>19</v>
      </c>
      <c r="C13" s="23" t="s">
        <v>20</v>
      </c>
      <c r="D13" s="23">
        <v>1</v>
      </c>
      <c r="E13" s="23">
        <v>29</v>
      </c>
      <c r="F13" s="23">
        <f>D13*E13</f>
        <v>29</v>
      </c>
      <c r="G13" s="23">
        <f t="shared" si="1"/>
        <v>2.9000000000000004</v>
      </c>
      <c r="H13" s="54"/>
      <c r="I13" s="54">
        <v>33.42</v>
      </c>
      <c r="J13" s="54">
        <v>2.85</v>
      </c>
      <c r="K13" s="23">
        <v>34.54</v>
      </c>
      <c r="L13" s="24">
        <f t="shared" si="2"/>
        <v>1164.537</v>
      </c>
      <c r="M13" s="24">
        <f>1080+85</f>
        <v>1165</v>
      </c>
      <c r="N13" s="25">
        <f t="shared" si="3"/>
        <v>0.46299999999996544</v>
      </c>
    </row>
    <row r="14" spans="1:14" ht="26.25" x14ac:dyDescent="0.4">
      <c r="A14" s="77" t="s">
        <v>23</v>
      </c>
      <c r="B14" s="28" t="s">
        <v>14</v>
      </c>
      <c r="C14" s="6" t="s">
        <v>15</v>
      </c>
      <c r="D14" s="6">
        <v>5</v>
      </c>
      <c r="E14" s="6">
        <f>4.5*0.8</f>
        <v>3.6</v>
      </c>
      <c r="F14" s="6">
        <f t="shared" si="0"/>
        <v>18</v>
      </c>
      <c r="G14" s="6">
        <f t="shared" si="1"/>
        <v>1.8</v>
      </c>
      <c r="H14" s="52"/>
      <c r="I14" s="52">
        <v>33.770000000000003</v>
      </c>
      <c r="J14" s="52">
        <f>0.81*D14</f>
        <v>4.0500000000000007</v>
      </c>
      <c r="K14" s="6">
        <v>34.54</v>
      </c>
      <c r="L14" s="16">
        <f t="shared" si="2"/>
        <v>808.53300000000013</v>
      </c>
      <c r="M14" s="16">
        <f>670+139</f>
        <v>809</v>
      </c>
      <c r="N14" s="98">
        <f t="shared" si="3"/>
        <v>0.46699999999987085</v>
      </c>
    </row>
    <row r="15" spans="1:14" ht="26.25" x14ac:dyDescent="0.4">
      <c r="A15" s="77" t="s">
        <v>23</v>
      </c>
      <c r="B15" s="28" t="s">
        <v>16</v>
      </c>
      <c r="C15" s="64" t="s">
        <v>17</v>
      </c>
      <c r="D15" s="64">
        <v>1</v>
      </c>
      <c r="E15" s="64">
        <f>9*0.8</f>
        <v>7.2</v>
      </c>
      <c r="F15" s="6">
        <f t="shared" si="0"/>
        <v>7.2</v>
      </c>
      <c r="G15" s="6">
        <f t="shared" si="1"/>
        <v>0.72000000000000008</v>
      </c>
      <c r="H15" s="52"/>
      <c r="I15" s="52">
        <v>33.770000000000003</v>
      </c>
      <c r="J15" s="52">
        <f>0.81*D15</f>
        <v>0.81</v>
      </c>
      <c r="K15" s="22">
        <v>34.54</v>
      </c>
      <c r="L15" s="18">
        <f t="shared" si="2"/>
        <v>295.43580000000003</v>
      </c>
      <c r="M15" s="16">
        <f>804+138</f>
        <v>942</v>
      </c>
      <c r="N15" s="99">
        <f t="shared" si="3"/>
        <v>646.56420000000003</v>
      </c>
    </row>
    <row r="16" spans="1:14" ht="26.25" x14ac:dyDescent="0.4">
      <c r="A16" s="78" t="s">
        <v>23</v>
      </c>
      <c r="B16" s="30" t="s">
        <v>16</v>
      </c>
      <c r="C16" s="4" t="s">
        <v>17</v>
      </c>
      <c r="D16" s="4">
        <v>1</v>
      </c>
      <c r="E16" s="4">
        <f>5.5*0.8</f>
        <v>4.4000000000000004</v>
      </c>
      <c r="F16" s="2">
        <f t="shared" si="0"/>
        <v>4.4000000000000004</v>
      </c>
      <c r="G16" s="2">
        <f t="shared" si="1"/>
        <v>0.44000000000000006</v>
      </c>
      <c r="H16" s="50"/>
      <c r="I16" s="50">
        <v>33.770000000000003</v>
      </c>
      <c r="J16" s="52">
        <f>0.81*D16</f>
        <v>0.81</v>
      </c>
      <c r="K16" s="5">
        <v>34.54</v>
      </c>
      <c r="L16" s="13">
        <f t="shared" si="2"/>
        <v>191.42420000000004</v>
      </c>
      <c r="M16" s="17"/>
      <c r="N16" s="100">
        <f t="shared" si="3"/>
        <v>-191.42420000000004</v>
      </c>
    </row>
    <row r="17" spans="1:14" ht="26.25" x14ac:dyDescent="0.4">
      <c r="A17" s="78" t="s">
        <v>23</v>
      </c>
      <c r="B17" s="30" t="s">
        <v>16</v>
      </c>
      <c r="C17" s="4" t="s">
        <v>15</v>
      </c>
      <c r="D17" s="4">
        <v>2</v>
      </c>
      <c r="E17" s="4">
        <f>4.5*0.8</f>
        <v>3.6</v>
      </c>
      <c r="F17" s="2">
        <f t="shared" si="0"/>
        <v>7.2</v>
      </c>
      <c r="G17" s="2">
        <f t="shared" si="1"/>
        <v>0.72000000000000008</v>
      </c>
      <c r="H17" s="50"/>
      <c r="I17" s="50">
        <v>33.770000000000003</v>
      </c>
      <c r="J17" s="52">
        <f>0.81*D17</f>
        <v>1.62</v>
      </c>
      <c r="K17" s="5">
        <v>34.54</v>
      </c>
      <c r="L17" s="13">
        <f t="shared" si="2"/>
        <v>323.41320000000002</v>
      </c>
      <c r="M17" s="17"/>
      <c r="N17" s="100">
        <f t="shared" si="3"/>
        <v>-323.41320000000002</v>
      </c>
    </row>
    <row r="18" spans="1:14" ht="27" thickBot="1" x14ac:dyDescent="0.45">
      <c r="A18" s="79" t="s">
        <v>23</v>
      </c>
      <c r="B18" s="31" t="s">
        <v>16</v>
      </c>
      <c r="C18" s="8" t="s">
        <v>18</v>
      </c>
      <c r="D18" s="8">
        <v>1</v>
      </c>
      <c r="E18" s="8">
        <f>3.5*0.8</f>
        <v>2.8000000000000003</v>
      </c>
      <c r="F18" s="9">
        <f t="shared" si="0"/>
        <v>2.8000000000000003</v>
      </c>
      <c r="G18" s="9">
        <f t="shared" si="1"/>
        <v>0.28000000000000003</v>
      </c>
      <c r="H18" s="51"/>
      <c r="I18" s="51">
        <v>33.770000000000003</v>
      </c>
      <c r="J18" s="51">
        <f>0.81*D18</f>
        <v>0.81</v>
      </c>
      <c r="K18" s="47">
        <v>34.54</v>
      </c>
      <c r="L18" s="15">
        <f t="shared" si="2"/>
        <v>131.989</v>
      </c>
      <c r="M18" s="15"/>
      <c r="N18" s="40">
        <f t="shared" si="3"/>
        <v>-131.989</v>
      </c>
    </row>
    <row r="19" spans="1:14" ht="27" thickBot="1" x14ac:dyDescent="0.45">
      <c r="A19" s="80" t="s">
        <v>27</v>
      </c>
      <c r="B19" s="32" t="s">
        <v>25</v>
      </c>
      <c r="C19" s="22" t="s">
        <v>26</v>
      </c>
      <c r="D19" s="22">
        <v>1</v>
      </c>
      <c r="E19" s="22">
        <v>75</v>
      </c>
      <c r="F19" s="22">
        <f t="shared" si="0"/>
        <v>75</v>
      </c>
      <c r="G19" s="22">
        <f t="shared" si="1"/>
        <v>7.5</v>
      </c>
      <c r="H19" s="53"/>
      <c r="I19" s="53">
        <v>33.51</v>
      </c>
      <c r="J19" s="53">
        <v>2.31</v>
      </c>
      <c r="K19" s="57">
        <v>34.54</v>
      </c>
      <c r="L19" s="58">
        <f t="shared" si="2"/>
        <v>2844.3624</v>
      </c>
      <c r="M19" s="18">
        <f>2784+60</f>
        <v>2844</v>
      </c>
      <c r="N19" s="99">
        <f t="shared" si="3"/>
        <v>-0.36239999999997963</v>
      </c>
    </row>
    <row r="20" spans="1:14" ht="27" thickBot="1" x14ac:dyDescent="0.45">
      <c r="A20" s="81" t="s">
        <v>22</v>
      </c>
      <c r="B20" s="59" t="s">
        <v>29</v>
      </c>
      <c r="C20" s="23" t="s">
        <v>30</v>
      </c>
      <c r="D20" s="23">
        <v>1</v>
      </c>
      <c r="E20" s="23">
        <v>42.5</v>
      </c>
      <c r="F20" s="23">
        <f t="shared" si="0"/>
        <v>42.5</v>
      </c>
      <c r="G20" s="23">
        <f t="shared" si="1"/>
        <v>4.25</v>
      </c>
      <c r="H20" s="54"/>
      <c r="I20" s="54">
        <v>33.82</v>
      </c>
      <c r="J20" s="54">
        <v>2.3199999999999998</v>
      </c>
      <c r="K20" s="57">
        <v>34.54</v>
      </c>
      <c r="L20" s="58">
        <f t="shared" si="2"/>
        <v>1661.2178000000001</v>
      </c>
      <c r="M20" s="41">
        <f>1583+78</f>
        <v>1661</v>
      </c>
      <c r="N20" s="101">
        <f t="shared" si="3"/>
        <v>-0.21780000000012478</v>
      </c>
    </row>
    <row r="21" spans="1:14" ht="27" thickBot="1" x14ac:dyDescent="0.45">
      <c r="A21" s="80" t="s">
        <v>43</v>
      </c>
      <c r="B21" s="60" t="s">
        <v>44</v>
      </c>
      <c r="C21" s="23" t="s">
        <v>47</v>
      </c>
      <c r="D21" s="23">
        <v>1</v>
      </c>
      <c r="E21" s="23">
        <v>52</v>
      </c>
      <c r="F21" s="23">
        <f>D21*E21</f>
        <v>52</v>
      </c>
      <c r="G21" s="23">
        <f t="shared" ref="G21:G31" si="4">F21*0.1</f>
        <v>5.2</v>
      </c>
      <c r="H21" s="54"/>
      <c r="I21" s="54">
        <v>33.51</v>
      </c>
      <c r="J21" s="54">
        <v>2.62</v>
      </c>
      <c r="K21" s="56">
        <v>34.54</v>
      </c>
      <c r="L21" s="58">
        <f t="shared" si="2"/>
        <v>2007.2667999999999</v>
      </c>
      <c r="M21" s="41">
        <f>1917+90</f>
        <v>2007</v>
      </c>
      <c r="N21" s="41">
        <f>-L21+M21</f>
        <v>-0.26679999999987558</v>
      </c>
    </row>
    <row r="22" spans="1:14" ht="52.5" x14ac:dyDescent="0.4">
      <c r="A22" s="82" t="s">
        <v>52</v>
      </c>
      <c r="B22" s="61" t="s">
        <v>49</v>
      </c>
      <c r="C22" s="2"/>
      <c r="D22" s="2"/>
      <c r="E22" s="2"/>
      <c r="F22" s="2">
        <v>12.99</v>
      </c>
      <c r="G22" s="2">
        <f t="shared" si="4"/>
        <v>1.2990000000000002</v>
      </c>
      <c r="H22" s="50"/>
      <c r="I22" s="50">
        <v>33.51</v>
      </c>
      <c r="J22" s="50">
        <v>0.83</v>
      </c>
      <c r="K22" s="22">
        <v>34.54</v>
      </c>
      <c r="L22" s="18">
        <f t="shared" si="2"/>
        <v>507.49258999999995</v>
      </c>
      <c r="M22" s="45">
        <f>480+27</f>
        <v>507</v>
      </c>
      <c r="N22" s="45">
        <f t="shared" ref="N22:N31" si="5">-L22+M22</f>
        <v>-0.49258999999995012</v>
      </c>
    </row>
    <row r="23" spans="1:14" ht="52.5" x14ac:dyDescent="0.4">
      <c r="A23" s="82" t="s">
        <v>52</v>
      </c>
      <c r="B23" s="61" t="s">
        <v>14</v>
      </c>
      <c r="C23" s="2"/>
      <c r="D23" s="2"/>
      <c r="E23" s="2"/>
      <c r="F23" s="2">
        <v>12.99</v>
      </c>
      <c r="G23" s="2">
        <f t="shared" si="4"/>
        <v>1.2990000000000002</v>
      </c>
      <c r="H23" s="50"/>
      <c r="I23" s="50">
        <v>33.51</v>
      </c>
      <c r="J23" s="50">
        <v>0.83</v>
      </c>
      <c r="K23" s="5">
        <v>34.54</v>
      </c>
      <c r="L23" s="13">
        <f t="shared" si="2"/>
        <v>507.49258999999995</v>
      </c>
      <c r="M23" s="45">
        <f>480+27</f>
        <v>507</v>
      </c>
      <c r="N23" s="45">
        <f t="shared" si="5"/>
        <v>-0.49258999999995012</v>
      </c>
    </row>
    <row r="24" spans="1:14" ht="52.5" x14ac:dyDescent="0.4">
      <c r="A24" s="82" t="s">
        <v>52</v>
      </c>
      <c r="B24" s="61" t="s">
        <v>50</v>
      </c>
      <c r="C24" s="2"/>
      <c r="D24" s="2"/>
      <c r="E24" s="2"/>
      <c r="F24" s="2">
        <v>49.97</v>
      </c>
      <c r="G24" s="2">
        <f t="shared" si="4"/>
        <v>4.9969999999999999</v>
      </c>
      <c r="H24" s="50"/>
      <c r="I24" s="50">
        <v>33.51</v>
      </c>
      <c r="J24" s="50">
        <f>4*0.83</f>
        <v>3.32</v>
      </c>
      <c r="K24" s="5">
        <v>34.54</v>
      </c>
      <c r="L24" s="13">
        <f t="shared" si="2"/>
        <v>1956.6169699999998</v>
      </c>
      <c r="M24" s="45">
        <f>1847+110</f>
        <v>1957</v>
      </c>
      <c r="N24" s="45">
        <f t="shared" si="5"/>
        <v>0.38303000000018983</v>
      </c>
    </row>
    <row r="25" spans="1:14" ht="53.25" thickBot="1" x14ac:dyDescent="0.45">
      <c r="A25" s="69" t="s">
        <v>52</v>
      </c>
      <c r="B25" s="62" t="s">
        <v>51</v>
      </c>
      <c r="C25" s="9"/>
      <c r="D25" s="9"/>
      <c r="E25" s="9"/>
      <c r="F25" s="9">
        <v>48.12</v>
      </c>
      <c r="G25" s="9">
        <f t="shared" si="4"/>
        <v>4.8120000000000003</v>
      </c>
      <c r="H25" s="51"/>
      <c r="I25" s="51">
        <v>33.51</v>
      </c>
      <c r="J25" s="51">
        <f>5.5*0.83</f>
        <v>4.5649999999999995</v>
      </c>
      <c r="K25" s="9">
        <v>34.54</v>
      </c>
      <c r="L25" s="15">
        <f t="shared" si="2"/>
        <v>1931.4264199999996</v>
      </c>
      <c r="M25" s="40">
        <f>1778+153</f>
        <v>1931</v>
      </c>
      <c r="N25" s="40">
        <f t="shared" si="5"/>
        <v>-0.4264199999995526</v>
      </c>
    </row>
    <row r="26" spans="1:14" ht="26.25" x14ac:dyDescent="0.4">
      <c r="A26" s="73" t="s">
        <v>60</v>
      </c>
      <c r="B26" s="6" t="s">
        <v>73</v>
      </c>
      <c r="C26" s="6"/>
      <c r="D26" s="6"/>
      <c r="E26" s="6"/>
      <c r="F26" s="2">
        <v>2.48</v>
      </c>
      <c r="G26" s="2">
        <f t="shared" si="4"/>
        <v>0.248</v>
      </c>
      <c r="H26" s="6"/>
      <c r="I26" s="6">
        <v>33.72</v>
      </c>
      <c r="J26" s="6">
        <v>0.39</v>
      </c>
      <c r="K26" s="5">
        <v>34.54</v>
      </c>
      <c r="L26" s="13">
        <f t="shared" si="2"/>
        <v>105.45876</v>
      </c>
      <c r="M26" s="17">
        <f>92+13</f>
        <v>105</v>
      </c>
      <c r="N26" s="100">
        <f t="shared" si="5"/>
        <v>-0.45875999999999806</v>
      </c>
    </row>
    <row r="27" spans="1:14" ht="26.25" x14ac:dyDescent="0.4">
      <c r="A27" s="67" t="s">
        <v>60</v>
      </c>
      <c r="B27" s="2" t="s">
        <v>74</v>
      </c>
      <c r="C27" s="2"/>
      <c r="D27" s="2"/>
      <c r="E27" s="2"/>
      <c r="F27" s="2">
        <v>20.399999999999999</v>
      </c>
      <c r="G27" s="2">
        <f t="shared" si="4"/>
        <v>2.04</v>
      </c>
      <c r="H27" s="2"/>
      <c r="I27" s="6">
        <v>33.72</v>
      </c>
      <c r="J27" s="2">
        <f>0.39*5</f>
        <v>1.9500000000000002</v>
      </c>
      <c r="K27" s="2">
        <v>34.54</v>
      </c>
      <c r="L27" s="17">
        <f t="shared" si="2"/>
        <v>824.0297999999998</v>
      </c>
      <c r="M27" s="17">
        <f>800+24</f>
        <v>824</v>
      </c>
      <c r="N27" s="45">
        <f t="shared" si="5"/>
        <v>-2.9799999999795546E-2</v>
      </c>
    </row>
    <row r="28" spans="1:14" ht="26.25" x14ac:dyDescent="0.4">
      <c r="A28" s="67" t="s">
        <v>60</v>
      </c>
      <c r="B28" s="2" t="s">
        <v>14</v>
      </c>
      <c r="C28" s="2"/>
      <c r="D28" s="2"/>
      <c r="E28" s="2"/>
      <c r="F28" s="2">
        <v>4.4400000000000004</v>
      </c>
      <c r="G28" s="2">
        <f t="shared" si="4"/>
        <v>0.44400000000000006</v>
      </c>
      <c r="H28" s="2"/>
      <c r="I28" s="6">
        <v>33.72</v>
      </c>
      <c r="J28" s="2">
        <f>0.39*3</f>
        <v>1.17</v>
      </c>
      <c r="K28" s="2">
        <v>34.54</v>
      </c>
      <c r="L28" s="17">
        <f t="shared" si="2"/>
        <v>205.10028</v>
      </c>
      <c r="M28" s="17">
        <f>165+40</f>
        <v>205</v>
      </c>
      <c r="N28" s="45">
        <f t="shared" si="5"/>
        <v>-0.10027999999999793</v>
      </c>
    </row>
    <row r="29" spans="1:14" ht="26.25" x14ac:dyDescent="0.4">
      <c r="A29" s="67" t="s">
        <v>60</v>
      </c>
      <c r="B29" s="2" t="s">
        <v>75</v>
      </c>
      <c r="C29" s="2"/>
      <c r="D29" s="2"/>
      <c r="E29" s="2"/>
      <c r="F29" s="2">
        <v>34.979999999999997</v>
      </c>
      <c r="G29" s="2">
        <f t="shared" si="4"/>
        <v>3.4979999999999998</v>
      </c>
      <c r="H29" s="2"/>
      <c r="I29" s="6">
        <v>33.72</v>
      </c>
      <c r="J29" s="2">
        <f>0.39*24</f>
        <v>9.36</v>
      </c>
      <c r="K29" s="2">
        <v>34.54</v>
      </c>
      <c r="L29" s="17">
        <f t="shared" si="2"/>
        <v>1620.7725599999997</v>
      </c>
      <c r="M29" s="17">
        <f>1310+311</f>
        <v>1621</v>
      </c>
      <c r="N29" s="45">
        <f t="shared" si="5"/>
        <v>0.22744000000034248</v>
      </c>
    </row>
    <row r="30" spans="1:14" ht="26.25" x14ac:dyDescent="0.4">
      <c r="A30" s="67" t="s">
        <v>60</v>
      </c>
      <c r="B30" s="2" t="s">
        <v>76</v>
      </c>
      <c r="C30" s="2"/>
      <c r="D30" s="2"/>
      <c r="E30" s="2"/>
      <c r="F30" s="2">
        <v>12.46</v>
      </c>
      <c r="G30" s="2">
        <f t="shared" si="4"/>
        <v>1.2460000000000002</v>
      </c>
      <c r="H30" s="2"/>
      <c r="I30" s="6">
        <v>33.72</v>
      </c>
      <c r="J30" s="2">
        <f>0.39*13</f>
        <v>5.07</v>
      </c>
      <c r="K30" s="2">
        <v>34.54</v>
      </c>
      <c r="L30" s="17">
        <f t="shared" si="2"/>
        <v>637.28412000000003</v>
      </c>
      <c r="M30" s="17">
        <f>468+169</f>
        <v>637</v>
      </c>
      <c r="N30" s="45">
        <f t="shared" si="5"/>
        <v>-0.2841200000000299</v>
      </c>
    </row>
    <row r="31" spans="1:14" ht="26.25" x14ac:dyDescent="0.4">
      <c r="A31" s="67" t="s">
        <v>60</v>
      </c>
      <c r="B31" s="2" t="s">
        <v>77</v>
      </c>
      <c r="C31" s="2"/>
      <c r="D31" s="2"/>
      <c r="E31" s="2"/>
      <c r="F31" s="2">
        <v>8.69</v>
      </c>
      <c r="G31" s="2">
        <f t="shared" si="4"/>
        <v>0.86899999999999999</v>
      </c>
      <c r="H31" s="2"/>
      <c r="I31" s="6">
        <v>33.72</v>
      </c>
      <c r="J31" s="2">
        <f>0.39*4</f>
        <v>1.56</v>
      </c>
      <c r="K31" s="2">
        <v>34.54</v>
      </c>
      <c r="L31" s="17">
        <f t="shared" si="2"/>
        <v>376.21188000000001</v>
      </c>
      <c r="M31" s="17">
        <f>324+52</f>
        <v>376</v>
      </c>
      <c r="N31" s="45">
        <f t="shared" si="5"/>
        <v>-0.21188000000000784</v>
      </c>
    </row>
    <row r="32" spans="1:14" ht="26.25" x14ac:dyDescent="0.4">
      <c r="A32" s="83"/>
    </row>
    <row r="34" spans="1:15" x14ac:dyDescent="0.25">
      <c r="A34" s="3"/>
    </row>
    <row r="36" spans="1:15" ht="32.25" thickBot="1" x14ac:dyDescent="0.55000000000000004">
      <c r="A36" s="96" t="s">
        <v>54</v>
      </c>
      <c r="B36" s="96" t="s">
        <v>79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</row>
    <row r="37" spans="1:15" ht="30" x14ac:dyDescent="0.25">
      <c r="A37" s="93" t="s">
        <v>53</v>
      </c>
      <c r="B37" s="94" t="s">
        <v>0</v>
      </c>
      <c r="C37" s="86" t="s">
        <v>1</v>
      </c>
      <c r="D37" s="86" t="s">
        <v>2</v>
      </c>
      <c r="E37" s="86" t="s">
        <v>3</v>
      </c>
      <c r="F37" s="86" t="s">
        <v>21</v>
      </c>
      <c r="G37" s="86" t="s">
        <v>5</v>
      </c>
      <c r="H37" s="86" t="s">
        <v>6</v>
      </c>
      <c r="I37" s="86" t="s">
        <v>56</v>
      </c>
      <c r="J37" s="86" t="s">
        <v>57</v>
      </c>
      <c r="K37" s="86" t="s">
        <v>58</v>
      </c>
      <c r="L37" s="86" t="s">
        <v>4</v>
      </c>
      <c r="M37" s="86" t="s">
        <v>7</v>
      </c>
      <c r="N37" s="86" t="s">
        <v>8</v>
      </c>
    </row>
    <row r="38" spans="1:15" ht="53.25" thickBot="1" x14ac:dyDescent="0.45">
      <c r="A38" s="67" t="s">
        <v>45</v>
      </c>
      <c r="B38" s="2" t="s">
        <v>46</v>
      </c>
      <c r="C38" s="2" t="s">
        <v>48</v>
      </c>
      <c r="D38" s="2">
        <v>1</v>
      </c>
      <c r="E38" s="2">
        <v>120</v>
      </c>
      <c r="F38" s="2">
        <f>D38*E38</f>
        <v>120</v>
      </c>
      <c r="G38" s="2">
        <f>F38*0.1</f>
        <v>12</v>
      </c>
      <c r="H38" s="2"/>
      <c r="I38" s="2">
        <v>33.51</v>
      </c>
      <c r="J38" s="2">
        <v>5.09</v>
      </c>
      <c r="K38" s="9">
        <v>35.159999999999997</v>
      </c>
      <c r="L38" s="15">
        <f t="shared" si="2"/>
        <v>4602.2843999999996</v>
      </c>
      <c r="M38" s="45">
        <f>4413+189</f>
        <v>4602</v>
      </c>
      <c r="N38" s="17">
        <f>-L38+M38</f>
        <v>-0.28439999999955035</v>
      </c>
    </row>
    <row r="39" spans="1:15" ht="26.25" x14ac:dyDescent="0.4">
      <c r="A39" s="68" t="s">
        <v>41</v>
      </c>
      <c r="B39" s="33" t="s">
        <v>31</v>
      </c>
      <c r="C39" s="7" t="s">
        <v>32</v>
      </c>
      <c r="D39" s="7">
        <v>1</v>
      </c>
      <c r="E39" s="7">
        <v>20</v>
      </c>
      <c r="F39" s="7">
        <f>D39*E39</f>
        <v>20</v>
      </c>
      <c r="G39" s="7">
        <f>F39*0.1</f>
        <v>2</v>
      </c>
      <c r="H39" s="7"/>
      <c r="I39" s="7">
        <v>33.51</v>
      </c>
      <c r="J39" s="7">
        <f>10.5/5</f>
        <v>2.1</v>
      </c>
      <c r="K39" s="6">
        <v>35.159999999999997</v>
      </c>
      <c r="L39" s="14">
        <f t="shared" si="2"/>
        <v>811.05599999999993</v>
      </c>
      <c r="M39" s="42">
        <f>745+66</f>
        <v>811</v>
      </c>
      <c r="N39" s="26">
        <f>-L39+M39</f>
        <v>-5.5999999999926331E-2</v>
      </c>
    </row>
    <row r="40" spans="1:15" ht="27" thickBot="1" x14ac:dyDescent="0.45">
      <c r="A40" s="69" t="s">
        <v>41</v>
      </c>
      <c r="B40" s="34" t="s">
        <v>11</v>
      </c>
      <c r="C40" s="9" t="s">
        <v>33</v>
      </c>
      <c r="D40" s="9">
        <v>1</v>
      </c>
      <c r="E40" s="9">
        <v>35</v>
      </c>
      <c r="F40" s="9">
        <f t="shared" ref="F40:F45" si="6">D40*E40</f>
        <v>35</v>
      </c>
      <c r="G40" s="9">
        <f t="shared" ref="G40:G45" si="7">F40*0.1</f>
        <v>3.5</v>
      </c>
      <c r="H40" s="9"/>
      <c r="I40" s="9">
        <v>33.51</v>
      </c>
      <c r="J40" s="9">
        <f>10.5/5*3</f>
        <v>6.3000000000000007</v>
      </c>
      <c r="K40" s="9">
        <v>35.159999999999997</v>
      </c>
      <c r="L40" s="58">
        <f>(F40+G40+H40)*I40+J40*K40</f>
        <v>1511.643</v>
      </c>
      <c r="M40" s="15">
        <f>1300+212</f>
        <v>1512</v>
      </c>
      <c r="N40" s="21">
        <f t="shared" ref="N40:N45" si="8">-L40+M40</f>
        <v>0.3569999999999709</v>
      </c>
      <c r="O40" s="1">
        <f>10*1.1*I40+10.5/5*K40</f>
        <v>442.44599999999997</v>
      </c>
    </row>
    <row r="41" spans="1:15" ht="26.25" x14ac:dyDescent="0.4">
      <c r="A41" s="70" t="s">
        <v>42</v>
      </c>
      <c r="B41" s="36" t="s">
        <v>14</v>
      </c>
      <c r="C41" s="37" t="s">
        <v>36</v>
      </c>
      <c r="D41" s="7">
        <v>1</v>
      </c>
      <c r="E41" s="38">
        <v>20</v>
      </c>
      <c r="F41" s="7">
        <f t="shared" si="6"/>
        <v>20</v>
      </c>
      <c r="G41" s="7">
        <f t="shared" si="7"/>
        <v>2</v>
      </c>
      <c r="H41" s="7"/>
      <c r="I41" s="7">
        <v>33.51</v>
      </c>
      <c r="J41" s="6">
        <f>11.09/5</f>
        <v>2.218</v>
      </c>
      <c r="K41" s="6">
        <v>35.159999999999997</v>
      </c>
      <c r="L41" s="13">
        <f t="shared" si="2"/>
        <v>815.20487999999989</v>
      </c>
      <c r="M41" s="65">
        <f>742+27+46</f>
        <v>815</v>
      </c>
      <c r="N41" s="102">
        <f t="shared" si="8"/>
        <v>-0.20487999999988915</v>
      </c>
    </row>
    <row r="42" spans="1:15" ht="26.25" x14ac:dyDescent="0.4">
      <c r="A42" s="71" t="s">
        <v>42</v>
      </c>
      <c r="B42" s="4" t="s">
        <v>34</v>
      </c>
      <c r="C42" s="4" t="s">
        <v>37</v>
      </c>
      <c r="D42" s="2">
        <v>1</v>
      </c>
      <c r="E42" s="4">
        <v>25</v>
      </c>
      <c r="F42" s="2">
        <f t="shared" si="6"/>
        <v>25</v>
      </c>
      <c r="G42" s="2">
        <f t="shared" si="7"/>
        <v>2.5</v>
      </c>
      <c r="H42" s="2"/>
      <c r="I42" s="2">
        <v>33.51</v>
      </c>
      <c r="J42" s="2">
        <f>11.09/5</f>
        <v>2.218</v>
      </c>
      <c r="K42" s="2">
        <v>35.159999999999997</v>
      </c>
      <c r="L42" s="17">
        <f t="shared" si="2"/>
        <v>999.50987999999995</v>
      </c>
      <c r="M42" s="45">
        <f>931+69</f>
        <v>1000</v>
      </c>
      <c r="N42" s="43">
        <f t="shared" si="8"/>
        <v>0.49012000000004718</v>
      </c>
    </row>
    <row r="43" spans="1:15" ht="26.25" x14ac:dyDescent="0.4">
      <c r="A43" s="71" t="s">
        <v>42</v>
      </c>
      <c r="B43" s="4" t="s">
        <v>35</v>
      </c>
      <c r="C43" s="4" t="s">
        <v>38</v>
      </c>
      <c r="D43" s="2">
        <v>1</v>
      </c>
      <c r="E43" s="35">
        <v>12</v>
      </c>
      <c r="F43" s="2">
        <f t="shared" si="6"/>
        <v>12</v>
      </c>
      <c r="G43" s="2">
        <f t="shared" si="7"/>
        <v>1.2000000000000002</v>
      </c>
      <c r="H43" s="2"/>
      <c r="I43" s="2">
        <v>33.51</v>
      </c>
      <c r="J43" s="2">
        <f>11.09/5</f>
        <v>2.218</v>
      </c>
      <c r="K43" s="2">
        <v>35.159999999999997</v>
      </c>
      <c r="L43" s="17">
        <f t="shared" si="2"/>
        <v>520.31687999999997</v>
      </c>
      <c r="M43" s="45">
        <f>1490+30</f>
        <v>1520</v>
      </c>
      <c r="N43" s="43">
        <f t="shared" si="8"/>
        <v>999.68312000000003</v>
      </c>
    </row>
    <row r="44" spans="1:15" ht="26.25" x14ac:dyDescent="0.4">
      <c r="A44" s="71" t="s">
        <v>42</v>
      </c>
      <c r="B44" s="4" t="s">
        <v>35</v>
      </c>
      <c r="C44" s="4" t="s">
        <v>39</v>
      </c>
      <c r="D44" s="2">
        <v>1</v>
      </c>
      <c r="E44" s="35">
        <v>3</v>
      </c>
      <c r="F44" s="2">
        <f t="shared" si="6"/>
        <v>3</v>
      </c>
      <c r="G44" s="2">
        <f t="shared" si="7"/>
        <v>0.30000000000000004</v>
      </c>
      <c r="H44" s="2"/>
      <c r="I44" s="2">
        <v>33.51</v>
      </c>
      <c r="J44" s="2">
        <f>11.09/5</f>
        <v>2.218</v>
      </c>
      <c r="K44" s="2">
        <v>35.159999999999997</v>
      </c>
      <c r="L44" s="17">
        <f t="shared" si="2"/>
        <v>188.56787999999997</v>
      </c>
      <c r="M44" s="45">
        <v>189</v>
      </c>
      <c r="N44" s="43">
        <f t="shared" si="8"/>
        <v>0.43212000000002604</v>
      </c>
    </row>
    <row r="45" spans="1:15" ht="27" thickBot="1" x14ac:dyDescent="0.45">
      <c r="A45" s="72" t="s">
        <v>42</v>
      </c>
      <c r="B45" s="8" t="s">
        <v>35</v>
      </c>
      <c r="C45" s="39" t="s">
        <v>40</v>
      </c>
      <c r="D45" s="9">
        <v>1</v>
      </c>
      <c r="E45" s="8">
        <v>25</v>
      </c>
      <c r="F45" s="9">
        <f t="shared" si="6"/>
        <v>25</v>
      </c>
      <c r="G45" s="9">
        <f t="shared" si="7"/>
        <v>2.5</v>
      </c>
      <c r="H45" s="9"/>
      <c r="I45" s="9">
        <v>33.51</v>
      </c>
      <c r="J45" s="9">
        <f>11.09/5</f>
        <v>2.218</v>
      </c>
      <c r="K45" s="9">
        <v>35.159999999999997</v>
      </c>
      <c r="L45" s="15">
        <f t="shared" si="2"/>
        <v>999.50987999999995</v>
      </c>
      <c r="M45" s="40"/>
      <c r="N45" s="44">
        <f t="shared" si="8"/>
        <v>-999.50987999999995</v>
      </c>
    </row>
    <row r="46" spans="1:15" ht="77.25" customHeight="1" x14ac:dyDescent="0.4">
      <c r="A46" s="73" t="s">
        <v>59</v>
      </c>
      <c r="B46" s="6" t="s">
        <v>0</v>
      </c>
      <c r="C46" s="6"/>
      <c r="D46" s="6" t="s">
        <v>2</v>
      </c>
      <c r="E46" s="6" t="s">
        <v>61</v>
      </c>
      <c r="F46" s="85" t="s">
        <v>62</v>
      </c>
      <c r="G46" s="6" t="s">
        <v>5</v>
      </c>
      <c r="H46" s="86" t="s">
        <v>6</v>
      </c>
      <c r="I46" s="86" t="s">
        <v>56</v>
      </c>
      <c r="J46" s="6" t="s">
        <v>67</v>
      </c>
      <c r="K46" s="86" t="s">
        <v>58</v>
      </c>
      <c r="L46" s="86" t="s">
        <v>4</v>
      </c>
      <c r="M46" s="6" t="s">
        <v>7</v>
      </c>
      <c r="N46" s="6" t="s">
        <v>8</v>
      </c>
    </row>
    <row r="47" spans="1:15" ht="26.25" x14ac:dyDescent="0.4">
      <c r="A47" s="73" t="s">
        <v>59</v>
      </c>
      <c r="B47" s="2" t="s">
        <v>63</v>
      </c>
      <c r="C47" s="2"/>
      <c r="D47" s="2">
        <v>6</v>
      </c>
      <c r="E47" s="2">
        <v>50.99</v>
      </c>
      <c r="F47" s="84">
        <v>6</v>
      </c>
      <c r="G47" s="2">
        <f>E47*0.1</f>
        <v>5.0990000000000002</v>
      </c>
      <c r="H47" s="2"/>
      <c r="I47" s="2">
        <v>33.51</v>
      </c>
      <c r="J47" s="66">
        <f>59.9/35*(D47+F47)</f>
        <v>20.537142857142854</v>
      </c>
      <c r="K47" s="2">
        <v>35.159999999999997</v>
      </c>
      <c r="L47" s="2">
        <f>(E47+G47)*I47+J47*K47</f>
        <v>2601.6283328571426</v>
      </c>
      <c r="M47" s="2">
        <f>1899+703</f>
        <v>2602</v>
      </c>
      <c r="N47" s="17">
        <f>-L47+M47</f>
        <v>0.37166714285740454</v>
      </c>
    </row>
    <row r="48" spans="1:15" ht="26.25" x14ac:dyDescent="0.4">
      <c r="A48" s="73" t="s">
        <v>59</v>
      </c>
      <c r="B48" s="2" t="s">
        <v>64</v>
      </c>
      <c r="C48" s="2"/>
      <c r="D48" s="2">
        <v>4</v>
      </c>
      <c r="E48" s="2">
        <v>32</v>
      </c>
      <c r="F48" s="84">
        <v>4</v>
      </c>
      <c r="G48" s="2">
        <f>E48*0.1</f>
        <v>3.2</v>
      </c>
      <c r="H48" s="2"/>
      <c r="I48" s="2">
        <v>33.51</v>
      </c>
      <c r="J48" s="66">
        <f>59.9/35*(D48+F48)</f>
        <v>13.69142857142857</v>
      </c>
      <c r="K48" s="2">
        <v>35.159999999999997</v>
      </c>
      <c r="L48" s="2">
        <f>(E48+G48)*I48+J48*K48</f>
        <v>1660.9426285714285</v>
      </c>
      <c r="M48" s="2">
        <f>1192+469</f>
        <v>1661</v>
      </c>
      <c r="N48" s="17">
        <f>-L48+M48</f>
        <v>5.7371428571514116E-2</v>
      </c>
    </row>
    <row r="49" spans="1:14" ht="26.25" x14ac:dyDescent="0.4">
      <c r="A49" s="73" t="s">
        <v>59</v>
      </c>
      <c r="B49" s="2" t="s">
        <v>65</v>
      </c>
      <c r="C49" s="2"/>
      <c r="D49" s="2">
        <v>3</v>
      </c>
      <c r="E49" s="2">
        <v>24</v>
      </c>
      <c r="F49" s="84">
        <v>2</v>
      </c>
      <c r="G49" s="2">
        <f>E49*0.1</f>
        <v>2.4000000000000004</v>
      </c>
      <c r="H49" s="2"/>
      <c r="I49" s="2">
        <v>33.51</v>
      </c>
      <c r="J49" s="66">
        <f>59.9/35*(D49+F49)</f>
        <v>8.5571428571428569</v>
      </c>
      <c r="K49" s="2">
        <v>35.159999999999997</v>
      </c>
      <c r="L49" s="2">
        <f>(E49+G49)*I49+J49*K49</f>
        <v>1185.5331428571426</v>
      </c>
      <c r="M49" s="2">
        <f>894+292</f>
        <v>1186</v>
      </c>
      <c r="N49" s="17">
        <f>-L49+M49</f>
        <v>0.46685714285740687</v>
      </c>
    </row>
    <row r="50" spans="1:14" ht="26.25" x14ac:dyDescent="0.4">
      <c r="A50" s="73" t="s">
        <v>59</v>
      </c>
      <c r="B50" s="2" t="s">
        <v>35</v>
      </c>
      <c r="C50" s="2"/>
      <c r="D50" s="2">
        <v>3</v>
      </c>
      <c r="E50" s="2">
        <v>25</v>
      </c>
      <c r="F50" s="84">
        <v>2</v>
      </c>
      <c r="G50" s="2">
        <f>E50*0.1</f>
        <v>2.5</v>
      </c>
      <c r="H50" s="2"/>
      <c r="I50" s="2">
        <v>33.51</v>
      </c>
      <c r="J50" s="66">
        <f>59.9/35*(D50+F50)</f>
        <v>8.5571428571428569</v>
      </c>
      <c r="K50" s="2">
        <v>35.159999999999997</v>
      </c>
      <c r="L50" s="2">
        <f>(E50+G50)*I50+J50*K50</f>
        <v>1222.3941428571429</v>
      </c>
      <c r="M50" s="2">
        <f>931+291</f>
        <v>1222</v>
      </c>
      <c r="N50" s="17">
        <f>-L50+M50</f>
        <v>-0.39414285714292419</v>
      </c>
    </row>
    <row r="51" spans="1:14" ht="26.25" x14ac:dyDescent="0.4">
      <c r="A51" s="73" t="s">
        <v>59</v>
      </c>
      <c r="B51" s="2" t="s">
        <v>66</v>
      </c>
      <c r="C51" s="87"/>
      <c r="D51" s="87">
        <v>3</v>
      </c>
      <c r="E51" s="87">
        <v>19.100000000000001</v>
      </c>
      <c r="F51" s="88">
        <v>2</v>
      </c>
      <c r="G51" s="87">
        <f>E51*0.1</f>
        <v>1.9100000000000001</v>
      </c>
      <c r="H51" s="87"/>
      <c r="I51" s="87">
        <v>33.51</v>
      </c>
      <c r="J51" s="89">
        <f>59.9/35*(D51+F51)</f>
        <v>8.5571428571428569</v>
      </c>
      <c r="K51" s="87">
        <v>35.159999999999997</v>
      </c>
      <c r="L51" s="87"/>
      <c r="M51" s="87"/>
      <c r="N51" s="87"/>
    </row>
    <row r="52" spans="1:14" ht="15.75" thickBot="1" x14ac:dyDescent="0.3">
      <c r="A52" s="55"/>
      <c r="B52" s="9"/>
      <c r="C52" s="55"/>
      <c r="D52" s="9">
        <f>SUM(D47:D51)</f>
        <v>19</v>
      </c>
      <c r="E52" s="9"/>
      <c r="F52" s="92">
        <f>SUM(F47:F51)</f>
        <v>16</v>
      </c>
      <c r="G52" s="9"/>
      <c r="H52" s="55"/>
      <c r="I52" s="55">
        <v>33.51</v>
      </c>
      <c r="J52" s="9">
        <v>59.9</v>
      </c>
      <c r="K52" s="9"/>
      <c r="L52" s="9"/>
      <c r="M52" s="9"/>
      <c r="N52" s="9"/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A10" zoomScale="80" zoomScaleNormal="80" workbookViewId="0">
      <selection activeCell="O27" sqref="O27"/>
    </sheetView>
  </sheetViews>
  <sheetFormatPr defaultRowHeight="15" x14ac:dyDescent="0.25"/>
  <cols>
    <col min="1" max="1" width="29.5703125" customWidth="1"/>
    <col min="2" max="2" width="21.42578125" bestFit="1" customWidth="1"/>
    <col min="3" max="3" width="19.5703125" customWidth="1"/>
    <col min="7" max="8" width="11.28515625" customWidth="1"/>
    <col min="9" max="9" width="11.7109375" customWidth="1"/>
    <col min="10" max="10" width="11" customWidth="1"/>
    <col min="11" max="11" width="10.140625" customWidth="1"/>
    <col min="12" max="12" width="11.42578125" customWidth="1"/>
    <col min="13" max="13" width="13.140625" customWidth="1"/>
    <col min="14" max="14" width="12.85546875" customWidth="1"/>
  </cols>
  <sheetData>
    <row r="1" spans="1:15" ht="23.25" x14ac:dyDescent="0.35">
      <c r="A1" s="91" t="s">
        <v>68</v>
      </c>
    </row>
    <row r="2" spans="1:15" ht="23.25" x14ac:dyDescent="0.35">
      <c r="A2" s="90" t="s">
        <v>69</v>
      </c>
    </row>
    <row r="3" spans="1:15" ht="23.25" x14ac:dyDescent="0.35">
      <c r="A3" s="90" t="s">
        <v>71</v>
      </c>
    </row>
    <row r="4" spans="1:15" ht="23.25" x14ac:dyDescent="0.35">
      <c r="A4" s="90" t="s">
        <v>70</v>
      </c>
    </row>
    <row r="5" spans="1:15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ht="30" x14ac:dyDescent="0.25">
      <c r="A6" s="93" t="s">
        <v>53</v>
      </c>
      <c r="B6" s="94" t="s">
        <v>0</v>
      </c>
      <c r="C6" s="86" t="s">
        <v>1</v>
      </c>
      <c r="D6" s="86" t="s">
        <v>2</v>
      </c>
      <c r="E6" s="86" t="s">
        <v>3</v>
      </c>
      <c r="F6" s="86" t="s">
        <v>21</v>
      </c>
      <c r="G6" s="86" t="s">
        <v>5</v>
      </c>
      <c r="H6" s="86" t="s">
        <v>6</v>
      </c>
      <c r="I6" s="86" t="s">
        <v>56</v>
      </c>
      <c r="J6" s="86" t="s">
        <v>57</v>
      </c>
      <c r="K6" s="86" t="s">
        <v>58</v>
      </c>
      <c r="L6" s="86" t="s">
        <v>4</v>
      </c>
      <c r="M6" s="86" t="s">
        <v>7</v>
      </c>
      <c r="N6" s="86" t="s">
        <v>8</v>
      </c>
    </row>
    <row r="7" spans="1:15" s="1" customFormat="1" ht="32.25" thickBot="1" x14ac:dyDescent="0.55000000000000004">
      <c r="A7" s="96" t="s">
        <v>55</v>
      </c>
      <c r="B7" s="96" t="s">
        <v>78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32.25" x14ac:dyDescent="0.4">
      <c r="A8" s="106" t="s">
        <v>82</v>
      </c>
      <c r="B8" s="84" t="s">
        <v>83</v>
      </c>
      <c r="C8" s="2" t="s">
        <v>84</v>
      </c>
      <c r="D8" s="2">
        <v>1</v>
      </c>
      <c r="E8" s="2">
        <v>30</v>
      </c>
      <c r="F8" s="2">
        <f t="shared" ref="F8:F21" si="0">D8*E8</f>
        <v>30</v>
      </c>
      <c r="G8" s="2">
        <f t="shared" ref="G8:G21" si="1">F8*0.1</f>
        <v>3</v>
      </c>
      <c r="H8" s="50">
        <v>0</v>
      </c>
      <c r="I8" s="48">
        <v>35.299999999999997</v>
      </c>
      <c r="J8" s="112">
        <v>7.69</v>
      </c>
      <c r="K8" s="2">
        <v>35.200000000000003</v>
      </c>
      <c r="L8" s="17">
        <f>(F8+G8+H8)*I8+J8*K8</f>
        <v>1435.588</v>
      </c>
      <c r="M8" s="17">
        <f>1117+150+169</f>
        <v>1436</v>
      </c>
      <c r="N8" s="17">
        <f>-L8+M8</f>
        <v>0.41200000000003456</v>
      </c>
    </row>
    <row r="9" spans="1:15" ht="62.25" x14ac:dyDescent="0.4">
      <c r="A9" s="107" t="s">
        <v>22</v>
      </c>
      <c r="B9" s="84" t="s">
        <v>44</v>
      </c>
      <c r="C9" s="2" t="s">
        <v>89</v>
      </c>
      <c r="D9" s="2">
        <v>1</v>
      </c>
      <c r="E9" s="2">
        <v>30.82</v>
      </c>
      <c r="F9" s="2">
        <f>E9</f>
        <v>30.82</v>
      </c>
      <c r="G9" s="2">
        <f>F9*0.1</f>
        <v>3.0820000000000003</v>
      </c>
      <c r="H9" s="50">
        <v>0</v>
      </c>
      <c r="I9" s="50">
        <v>35.81</v>
      </c>
      <c r="J9" s="112">
        <v>8.98</v>
      </c>
      <c r="K9" s="2">
        <v>35.200000000000003</v>
      </c>
      <c r="L9" s="17">
        <f t="shared" ref="L9:L17" si="2">(F9+G9+H9)*I9+J9*K9</f>
        <v>1530.1266200000002</v>
      </c>
      <c r="M9" s="45">
        <f>1211+319</f>
        <v>1530</v>
      </c>
      <c r="N9" s="17">
        <f t="shared" ref="N9:N17" si="3">-L9+M9</f>
        <v>-0.12662000000022999</v>
      </c>
    </row>
    <row r="10" spans="1:15" ht="42" customHeight="1" x14ac:dyDescent="0.4">
      <c r="A10" s="107" t="s">
        <v>22</v>
      </c>
      <c r="B10" s="84" t="s">
        <v>85</v>
      </c>
      <c r="C10" s="2" t="s">
        <v>88</v>
      </c>
      <c r="D10" s="2">
        <v>1</v>
      </c>
      <c r="E10" s="2">
        <v>27.54</v>
      </c>
      <c r="F10" s="2">
        <f>D10*E10</f>
        <v>27.54</v>
      </c>
      <c r="G10" s="2">
        <f t="shared" si="1"/>
        <v>2.754</v>
      </c>
      <c r="H10" s="50">
        <v>9.48</v>
      </c>
      <c r="I10" s="50">
        <v>35.81</v>
      </c>
      <c r="J10" s="112">
        <f>1.94</f>
        <v>1.94</v>
      </c>
      <c r="K10" s="2">
        <v>35.200000000000003</v>
      </c>
      <c r="L10" s="17">
        <f t="shared" si="2"/>
        <v>1492.5949400000002</v>
      </c>
      <c r="M10" s="17">
        <f>961+460+72</f>
        <v>1493</v>
      </c>
      <c r="N10" s="17">
        <f t="shared" si="3"/>
        <v>0.40505999999982123</v>
      </c>
    </row>
    <row r="11" spans="1:15" ht="42" customHeight="1" x14ac:dyDescent="0.4">
      <c r="A11" s="107" t="s">
        <v>22</v>
      </c>
      <c r="B11" s="84" t="s">
        <v>86</v>
      </c>
      <c r="C11" s="2" t="s">
        <v>87</v>
      </c>
      <c r="D11" s="2">
        <v>1</v>
      </c>
      <c r="E11" s="2">
        <v>11.99</v>
      </c>
      <c r="F11" s="2">
        <f t="shared" si="0"/>
        <v>11.99</v>
      </c>
      <c r="G11" s="2">
        <f t="shared" si="1"/>
        <v>1.1990000000000001</v>
      </c>
      <c r="H11" s="50">
        <v>4.49</v>
      </c>
      <c r="I11" s="50">
        <v>35.81</v>
      </c>
      <c r="J11" s="112">
        <f>1.22+0.45</f>
        <v>1.67</v>
      </c>
      <c r="K11" s="2">
        <v>35.200000000000003</v>
      </c>
      <c r="L11" s="17">
        <f>(F11+G11+H11)*I11+J11*K11</f>
        <v>691.86899000000005</v>
      </c>
      <c r="M11" s="17">
        <f>635+26+11+20</f>
        <v>692</v>
      </c>
      <c r="N11" s="45">
        <f t="shared" si="3"/>
        <v>0.13100999999994656</v>
      </c>
      <c r="O11" t="s">
        <v>101</v>
      </c>
    </row>
    <row r="12" spans="1:15" ht="26.25" x14ac:dyDescent="0.4">
      <c r="A12" s="108" t="s">
        <v>41</v>
      </c>
      <c r="B12" s="84" t="s">
        <v>11</v>
      </c>
      <c r="C12" s="4" t="s">
        <v>91</v>
      </c>
      <c r="D12" s="4">
        <v>1</v>
      </c>
      <c r="E12" s="4">
        <v>10</v>
      </c>
      <c r="F12" s="2">
        <f t="shared" si="0"/>
        <v>10</v>
      </c>
      <c r="G12" s="2">
        <f t="shared" si="1"/>
        <v>1</v>
      </c>
      <c r="H12" s="50">
        <v>0</v>
      </c>
      <c r="I12" s="50">
        <v>35.479999999999997</v>
      </c>
      <c r="J12" s="112">
        <v>0.81</v>
      </c>
      <c r="K12" s="2">
        <v>35.200000000000003</v>
      </c>
      <c r="L12" s="17">
        <f t="shared" si="2"/>
        <v>418.79199999999997</v>
      </c>
      <c r="M12" s="17">
        <f>390+29</f>
        <v>419</v>
      </c>
      <c r="N12" s="115">
        <f t="shared" si="3"/>
        <v>0.20800000000002683</v>
      </c>
    </row>
    <row r="13" spans="1:15" ht="32.25" x14ac:dyDescent="0.4">
      <c r="A13" s="108" t="s">
        <v>41</v>
      </c>
      <c r="B13" s="84" t="s">
        <v>90</v>
      </c>
      <c r="C13" s="2" t="s">
        <v>92</v>
      </c>
      <c r="D13" s="4">
        <v>1</v>
      </c>
      <c r="E13" s="4">
        <v>17</v>
      </c>
      <c r="F13" s="2">
        <f t="shared" si="0"/>
        <v>17</v>
      </c>
      <c r="G13" s="2">
        <f t="shared" si="1"/>
        <v>1.7000000000000002</v>
      </c>
      <c r="H13" s="50">
        <v>0</v>
      </c>
      <c r="I13" s="50">
        <v>35.479999999999997</v>
      </c>
      <c r="J13" s="112">
        <v>1.62</v>
      </c>
      <c r="K13" s="2">
        <v>35.200000000000003</v>
      </c>
      <c r="L13" s="17">
        <f t="shared" si="2"/>
        <v>720.49999999999989</v>
      </c>
      <c r="M13" s="17">
        <v>800</v>
      </c>
      <c r="N13" s="45">
        <f t="shared" si="3"/>
        <v>79.500000000000114</v>
      </c>
    </row>
    <row r="14" spans="1:15" ht="26.25" x14ac:dyDescent="0.4">
      <c r="A14" s="109" t="s">
        <v>93</v>
      </c>
      <c r="B14" s="84" t="s">
        <v>90</v>
      </c>
      <c r="C14" s="4" t="s">
        <v>17</v>
      </c>
      <c r="D14" s="4">
        <v>1</v>
      </c>
      <c r="E14" s="4">
        <v>7</v>
      </c>
      <c r="F14" s="2">
        <f t="shared" si="0"/>
        <v>7</v>
      </c>
      <c r="G14" s="2">
        <f t="shared" si="1"/>
        <v>0.70000000000000007</v>
      </c>
      <c r="H14" s="50">
        <v>0</v>
      </c>
      <c r="I14" s="50">
        <v>35.81</v>
      </c>
      <c r="J14" s="112">
        <v>0.56999999999999995</v>
      </c>
      <c r="K14" s="2">
        <v>35.200000000000003</v>
      </c>
      <c r="L14" s="17">
        <f t="shared" si="2"/>
        <v>295.80100000000004</v>
      </c>
      <c r="M14" s="17">
        <f>120+96</f>
        <v>216</v>
      </c>
      <c r="N14" s="45">
        <f t="shared" si="3"/>
        <v>-79.801000000000045</v>
      </c>
    </row>
    <row r="15" spans="1:15" ht="26.25" x14ac:dyDescent="0.4">
      <c r="A15" s="111" t="s">
        <v>95</v>
      </c>
      <c r="B15" s="27" t="s">
        <v>77</v>
      </c>
      <c r="C15" s="110" t="s">
        <v>96</v>
      </c>
      <c r="D15" s="110">
        <v>1</v>
      </c>
      <c r="E15" s="110">
        <v>18.09</v>
      </c>
      <c r="F15" s="5">
        <f t="shared" si="0"/>
        <v>18.09</v>
      </c>
      <c r="G15" s="5">
        <f t="shared" si="1"/>
        <v>1.8090000000000002</v>
      </c>
      <c r="H15" s="48">
        <v>0</v>
      </c>
      <c r="I15" s="48">
        <v>35.299999999999997</v>
      </c>
      <c r="J15" s="113">
        <v>3.21</v>
      </c>
      <c r="K15" s="2">
        <v>35.200000000000003</v>
      </c>
      <c r="L15" s="13">
        <f t="shared" si="2"/>
        <v>815.42669999999998</v>
      </c>
      <c r="M15" s="13">
        <f>708+107</f>
        <v>815</v>
      </c>
      <c r="N15" s="100">
        <f t="shared" si="3"/>
        <v>-0.42669999999998254</v>
      </c>
    </row>
    <row r="16" spans="1:15" ht="32.25" x14ac:dyDescent="0.4">
      <c r="A16" s="111" t="s">
        <v>95</v>
      </c>
      <c r="B16" s="27" t="s">
        <v>94</v>
      </c>
      <c r="C16" s="2" t="s">
        <v>97</v>
      </c>
      <c r="D16" s="110">
        <v>2</v>
      </c>
      <c r="E16" s="110">
        <v>10.26</v>
      </c>
      <c r="F16" s="5">
        <f t="shared" si="0"/>
        <v>20.52</v>
      </c>
      <c r="G16" s="5">
        <f>F16*0.1</f>
        <v>2.052</v>
      </c>
      <c r="H16" s="48">
        <v>0</v>
      </c>
      <c r="I16" s="48">
        <v>35.299999999999997</v>
      </c>
      <c r="J16" s="113">
        <v>6.42</v>
      </c>
      <c r="K16" s="2">
        <v>35.200000000000003</v>
      </c>
      <c r="L16" s="13">
        <f t="shared" si="2"/>
        <v>1022.7755999999999</v>
      </c>
      <c r="M16" s="13">
        <f>803+220</f>
        <v>1023</v>
      </c>
      <c r="N16" s="100">
        <f t="shared" si="3"/>
        <v>0.22440000000005966</v>
      </c>
    </row>
    <row r="17" spans="1:15" ht="26.25" x14ac:dyDescent="0.4">
      <c r="A17" s="107" t="s">
        <v>23</v>
      </c>
      <c r="B17" s="30" t="s">
        <v>98</v>
      </c>
      <c r="C17" s="4" t="s">
        <v>17</v>
      </c>
      <c r="D17" s="4">
        <v>1</v>
      </c>
      <c r="E17" s="4">
        <v>15.5</v>
      </c>
      <c r="F17" s="2">
        <f t="shared" si="0"/>
        <v>15.5</v>
      </c>
      <c r="G17" s="2">
        <f t="shared" si="1"/>
        <v>1.55</v>
      </c>
      <c r="H17" s="50">
        <v>0</v>
      </c>
      <c r="I17" s="50">
        <v>35.299999999999997</v>
      </c>
      <c r="J17" s="112">
        <v>1.76</v>
      </c>
      <c r="K17" s="2">
        <v>35.200000000000003</v>
      </c>
      <c r="L17" s="17">
        <f t="shared" si="2"/>
        <v>663.81700000000001</v>
      </c>
      <c r="M17" s="17">
        <f>602+62</f>
        <v>664</v>
      </c>
      <c r="N17" s="45">
        <f t="shared" si="3"/>
        <v>0.18299999999999272</v>
      </c>
    </row>
    <row r="18" spans="1:15" s="1" customFormat="1" ht="63" customHeight="1" thickBot="1" x14ac:dyDescent="0.55000000000000004">
      <c r="A18" s="96" t="s">
        <v>54</v>
      </c>
      <c r="B18" s="96" t="s">
        <v>78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1:15" ht="26.25" x14ac:dyDescent="0.4">
      <c r="A19" s="105" t="s">
        <v>80</v>
      </c>
      <c r="B19" s="84" t="s">
        <v>63</v>
      </c>
      <c r="C19" s="2" t="s">
        <v>48</v>
      </c>
      <c r="D19" s="2">
        <v>1</v>
      </c>
      <c r="E19" s="2">
        <v>65</v>
      </c>
      <c r="F19" s="2">
        <f>D19*E19</f>
        <v>65</v>
      </c>
      <c r="G19" s="2">
        <f>F19*0.1</f>
        <v>6.5</v>
      </c>
      <c r="H19" s="50">
        <v>0</v>
      </c>
      <c r="I19" s="50">
        <v>36.270000000000003</v>
      </c>
      <c r="J19" s="50">
        <f>1.28</f>
        <v>1.28</v>
      </c>
      <c r="K19" s="2">
        <v>34.229999999999997</v>
      </c>
      <c r="L19" s="17">
        <f>(F19+G19+H19)*I19+J19*K19</f>
        <v>2637.1194000000005</v>
      </c>
      <c r="M19" s="17">
        <f>2614+23</f>
        <v>2637</v>
      </c>
      <c r="N19" s="114">
        <f>-L19+M19</f>
        <v>-0.11940000000049622</v>
      </c>
    </row>
    <row r="20" spans="1:15" ht="26.25" x14ac:dyDescent="0.4">
      <c r="A20" s="105" t="s">
        <v>80</v>
      </c>
      <c r="B20" s="84" t="s">
        <v>14</v>
      </c>
      <c r="C20" s="2" t="s">
        <v>81</v>
      </c>
      <c r="D20" s="2">
        <v>1</v>
      </c>
      <c r="E20" s="2">
        <v>40</v>
      </c>
      <c r="F20" s="2">
        <f>D20*E20</f>
        <v>40</v>
      </c>
      <c r="G20" s="2">
        <f>F20*0.1</f>
        <v>4</v>
      </c>
      <c r="H20" s="50">
        <v>0</v>
      </c>
      <c r="I20" s="50">
        <v>36.270000000000003</v>
      </c>
      <c r="J20" s="50">
        <f>1.28*3</f>
        <v>3.84</v>
      </c>
      <c r="K20" s="2">
        <v>34.229999999999997</v>
      </c>
      <c r="L20" s="17">
        <f>(F20+G20+H20)*I20+J20*K20</f>
        <v>1727.3232</v>
      </c>
      <c r="M20" s="17">
        <f>1608+119</f>
        <v>1727</v>
      </c>
      <c r="N20" s="114">
        <f>-L20+M20</f>
        <v>-0.32320000000004256</v>
      </c>
    </row>
    <row r="21" spans="1:15" ht="27" thickBot="1" x14ac:dyDescent="0.45">
      <c r="A21" s="118" t="s">
        <v>95</v>
      </c>
      <c r="B21" s="92" t="s">
        <v>100</v>
      </c>
      <c r="C21" s="8" t="s">
        <v>99</v>
      </c>
      <c r="D21" s="8">
        <v>1</v>
      </c>
      <c r="E21" s="8">
        <v>10.26</v>
      </c>
      <c r="F21" s="9">
        <f t="shared" si="0"/>
        <v>10.26</v>
      </c>
      <c r="G21" s="9">
        <f t="shared" si="1"/>
        <v>1.026</v>
      </c>
      <c r="H21" s="51">
        <v>0</v>
      </c>
      <c r="I21" s="51">
        <v>35.51</v>
      </c>
      <c r="J21" s="51">
        <v>3.68</v>
      </c>
      <c r="K21" s="9">
        <v>34.229999999999997</v>
      </c>
      <c r="L21" s="15">
        <f>(F21+G21+H21)*I21+J21*K21</f>
        <v>526.73226</v>
      </c>
      <c r="M21" s="15">
        <f>400+127</f>
        <v>527</v>
      </c>
      <c r="N21" s="119">
        <f>-L21+M21</f>
        <v>0.26774000000000342</v>
      </c>
    </row>
    <row r="22" spans="1:15" ht="32.25" x14ac:dyDescent="0.4">
      <c r="A22" s="73" t="s">
        <v>59</v>
      </c>
      <c r="B22" s="86" t="s">
        <v>0</v>
      </c>
      <c r="C22" s="64"/>
      <c r="D22" s="64"/>
      <c r="E22" s="86" t="s">
        <v>2</v>
      </c>
      <c r="F22" s="86" t="s">
        <v>61</v>
      </c>
      <c r="G22" s="86" t="s">
        <v>5</v>
      </c>
      <c r="H22" s="86" t="s">
        <v>6</v>
      </c>
      <c r="I22" s="86" t="s">
        <v>56</v>
      </c>
      <c r="J22" s="86" t="s">
        <v>57</v>
      </c>
      <c r="K22" s="86" t="s">
        <v>58</v>
      </c>
      <c r="L22" s="86" t="s">
        <v>4</v>
      </c>
      <c r="M22" s="86" t="s">
        <v>7</v>
      </c>
      <c r="N22" s="86" t="s">
        <v>8</v>
      </c>
    </row>
    <row r="23" spans="1:15" ht="26.25" x14ac:dyDescent="0.4">
      <c r="A23" s="73" t="s">
        <v>59</v>
      </c>
      <c r="B23" s="2" t="s">
        <v>102</v>
      </c>
      <c r="C23" s="4"/>
      <c r="D23" s="4"/>
      <c r="E23" s="2">
        <v>2</v>
      </c>
      <c r="F23" s="2">
        <v>10</v>
      </c>
      <c r="G23" s="2">
        <f>F23*0.1</f>
        <v>1</v>
      </c>
      <c r="H23" s="2">
        <v>0</v>
      </c>
      <c r="I23" s="4">
        <v>36.340000000000003</v>
      </c>
      <c r="J23" s="66">
        <f>2.24*E23</f>
        <v>4.4800000000000004</v>
      </c>
      <c r="K23" s="2">
        <v>34.229999999999997</v>
      </c>
      <c r="L23" s="17">
        <f>(F23+G23+H23)*$I23+J23*$K23</f>
        <v>553.09040000000005</v>
      </c>
      <c r="M23" s="17">
        <v>401</v>
      </c>
      <c r="N23" s="114">
        <f>-L23+M23</f>
        <v>-152.09040000000005</v>
      </c>
    </row>
    <row r="24" spans="1:15" ht="26.25" x14ac:dyDescent="0.4">
      <c r="A24" s="73" t="s">
        <v>59</v>
      </c>
      <c r="B24" s="2" t="s">
        <v>103</v>
      </c>
      <c r="C24" s="4"/>
      <c r="D24" s="4"/>
      <c r="E24" s="2">
        <v>4</v>
      </c>
      <c r="F24" s="2">
        <v>18</v>
      </c>
      <c r="G24" s="2">
        <f t="shared" ref="G24:G30" si="4">F24*0.1</f>
        <v>1.8</v>
      </c>
      <c r="H24" s="2">
        <v>0</v>
      </c>
      <c r="I24" s="4">
        <v>36.340000000000003</v>
      </c>
      <c r="J24" s="66">
        <f t="shared" ref="J24:J29" si="5">2.24*E24</f>
        <v>8.9600000000000009</v>
      </c>
      <c r="K24" s="2">
        <v>34.229999999999997</v>
      </c>
      <c r="L24" s="17">
        <f t="shared" ref="L24:L29" si="6">(F24+G24+H24)*$I24+J24*$K24</f>
        <v>1026.2328</v>
      </c>
      <c r="M24" s="17">
        <f>721+305</f>
        <v>1026</v>
      </c>
      <c r="N24" s="114">
        <f t="shared" ref="N24:N29" si="7">-L24+M24</f>
        <v>-0.23279999999999745</v>
      </c>
    </row>
    <row r="25" spans="1:15" ht="26.25" x14ac:dyDescent="0.4">
      <c r="A25" s="73" t="s">
        <v>59</v>
      </c>
      <c r="B25" s="2" t="s">
        <v>104</v>
      </c>
      <c r="C25" s="4"/>
      <c r="D25" s="4"/>
      <c r="E25" s="2">
        <v>2</v>
      </c>
      <c r="F25" s="2">
        <v>9.5</v>
      </c>
      <c r="G25" s="2">
        <f t="shared" si="4"/>
        <v>0.95000000000000007</v>
      </c>
      <c r="H25" s="2">
        <v>0</v>
      </c>
      <c r="I25" s="4">
        <v>36.340000000000003</v>
      </c>
      <c r="J25" s="66">
        <f t="shared" si="5"/>
        <v>4.4800000000000004</v>
      </c>
      <c r="K25" s="2">
        <v>34.229999999999997</v>
      </c>
      <c r="L25" s="17">
        <f t="shared" si="6"/>
        <v>533.10339999999997</v>
      </c>
      <c r="M25" s="17">
        <f>381+152</f>
        <v>533</v>
      </c>
      <c r="N25" s="114">
        <f t="shared" si="7"/>
        <v>-0.10339999999996508</v>
      </c>
    </row>
    <row r="26" spans="1:15" ht="26.25" x14ac:dyDescent="0.4">
      <c r="A26" s="73" t="s">
        <v>59</v>
      </c>
      <c r="B26" s="2" t="s">
        <v>105</v>
      </c>
      <c r="C26" s="4"/>
      <c r="D26" s="4"/>
      <c r="E26" s="2">
        <v>4</v>
      </c>
      <c r="F26" s="2">
        <v>18.5</v>
      </c>
      <c r="G26" s="2">
        <f t="shared" si="4"/>
        <v>1.85</v>
      </c>
      <c r="H26" s="2">
        <v>0</v>
      </c>
      <c r="I26" s="4">
        <v>36.340000000000003</v>
      </c>
      <c r="J26" s="66">
        <f t="shared" si="5"/>
        <v>8.9600000000000009</v>
      </c>
      <c r="K26" s="2">
        <v>34.229999999999997</v>
      </c>
      <c r="L26" s="17">
        <f t="shared" si="6"/>
        <v>1046.2198000000001</v>
      </c>
      <c r="M26" s="17">
        <f>784+171+43+48</f>
        <v>1046</v>
      </c>
      <c r="N26" s="114">
        <f t="shared" si="7"/>
        <v>-0.21980000000007749</v>
      </c>
      <c r="O26" t="s">
        <v>250</v>
      </c>
    </row>
    <row r="27" spans="1:15" ht="26.25" x14ac:dyDescent="0.4">
      <c r="A27" s="73" t="s">
        <v>59</v>
      </c>
      <c r="B27" s="2" t="s">
        <v>106</v>
      </c>
      <c r="C27" s="4"/>
      <c r="D27" s="4"/>
      <c r="E27" s="2">
        <v>2</v>
      </c>
      <c r="F27" s="2">
        <v>9</v>
      </c>
      <c r="G27" s="2">
        <f t="shared" si="4"/>
        <v>0.9</v>
      </c>
      <c r="H27" s="2">
        <v>0</v>
      </c>
      <c r="I27" s="4">
        <v>36.340000000000003</v>
      </c>
      <c r="J27" s="66">
        <f t="shared" si="5"/>
        <v>4.4800000000000004</v>
      </c>
      <c r="K27" s="2">
        <v>34.229999999999997</v>
      </c>
      <c r="L27" s="17">
        <f t="shared" si="6"/>
        <v>513.1164</v>
      </c>
      <c r="M27" s="17">
        <f>361+152</f>
        <v>513</v>
      </c>
      <c r="N27" s="114">
        <f t="shared" si="7"/>
        <v>-0.11639999999999873</v>
      </c>
    </row>
    <row r="28" spans="1:15" ht="26.25" x14ac:dyDescent="0.4">
      <c r="A28" s="73" t="s">
        <v>59</v>
      </c>
      <c r="B28" s="4" t="s">
        <v>107</v>
      </c>
      <c r="C28" s="4"/>
      <c r="D28" s="4"/>
      <c r="E28" s="2">
        <v>2</v>
      </c>
      <c r="F28" s="2">
        <v>9.5</v>
      </c>
      <c r="G28" s="2">
        <f t="shared" si="4"/>
        <v>0.95000000000000007</v>
      </c>
      <c r="H28" s="2">
        <v>0</v>
      </c>
      <c r="I28" s="4">
        <v>36.340000000000003</v>
      </c>
      <c r="J28" s="66">
        <f t="shared" si="5"/>
        <v>4.4800000000000004</v>
      </c>
      <c r="K28" s="2">
        <v>34.229999999999997</v>
      </c>
      <c r="L28" s="17">
        <f t="shared" si="6"/>
        <v>533.10339999999997</v>
      </c>
      <c r="M28" s="17">
        <f>381+152</f>
        <v>533</v>
      </c>
      <c r="N28" s="114">
        <f t="shared" si="7"/>
        <v>-0.10339999999996508</v>
      </c>
    </row>
    <row r="29" spans="1:15" ht="26.25" x14ac:dyDescent="0.4">
      <c r="A29" s="73" t="s">
        <v>59</v>
      </c>
      <c r="B29" s="2" t="s">
        <v>63</v>
      </c>
      <c r="C29" s="4"/>
      <c r="D29" s="4"/>
      <c r="E29" s="2">
        <v>3</v>
      </c>
      <c r="F29" s="2">
        <v>13.5</v>
      </c>
      <c r="G29" s="2">
        <f t="shared" si="4"/>
        <v>1.35</v>
      </c>
      <c r="H29" s="2">
        <v>0</v>
      </c>
      <c r="I29" s="4">
        <v>36.340000000000003</v>
      </c>
      <c r="J29" s="66">
        <f t="shared" si="5"/>
        <v>6.7200000000000006</v>
      </c>
      <c r="K29" s="2">
        <v>34.229999999999997</v>
      </c>
      <c r="L29" s="17">
        <f t="shared" si="6"/>
        <v>769.67460000000005</v>
      </c>
      <c r="M29" s="17">
        <f>541+229</f>
        <v>770</v>
      </c>
      <c r="N29" s="114">
        <f t="shared" si="7"/>
        <v>0.32539999999994507</v>
      </c>
    </row>
    <row r="30" spans="1:15" ht="26.25" x14ac:dyDescent="0.4">
      <c r="A30" s="73" t="s">
        <v>59</v>
      </c>
      <c r="B30" s="2" t="s">
        <v>66</v>
      </c>
      <c r="C30" s="4"/>
      <c r="D30" s="4"/>
      <c r="E30" s="2">
        <v>4</v>
      </c>
      <c r="F30" s="2">
        <v>19</v>
      </c>
      <c r="G30" s="2">
        <f t="shared" si="4"/>
        <v>1.9000000000000001</v>
      </c>
      <c r="H30" s="2">
        <v>0</v>
      </c>
      <c r="I30" s="4">
        <v>36.340000000000003</v>
      </c>
      <c r="J30" s="120"/>
      <c r="K30" s="120"/>
      <c r="L30" s="117"/>
      <c r="M30" s="117"/>
      <c r="N30" s="117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N7"/>
  <sheetViews>
    <sheetView zoomScale="70" zoomScaleNormal="70" workbookViewId="0">
      <selection activeCell="C44" sqref="C44"/>
    </sheetView>
  </sheetViews>
  <sheetFormatPr defaultRowHeight="15" x14ac:dyDescent="0.25"/>
  <cols>
    <col min="1" max="1" width="35.5703125" customWidth="1"/>
    <col min="2" max="2" width="16.28515625" customWidth="1"/>
    <col min="3" max="3" width="16.140625" customWidth="1"/>
    <col min="13" max="13" width="19.7109375" customWidth="1"/>
  </cols>
  <sheetData>
    <row r="2" spans="1:14" ht="45" x14ac:dyDescent="0.25">
      <c r="A2" s="116" t="s">
        <v>53</v>
      </c>
      <c r="B2" s="116" t="s">
        <v>0</v>
      </c>
      <c r="C2" s="116" t="s">
        <v>1</v>
      </c>
      <c r="D2" s="116" t="s">
        <v>2</v>
      </c>
      <c r="E2" s="116" t="s">
        <v>3</v>
      </c>
      <c r="F2" s="116" t="s">
        <v>21</v>
      </c>
      <c r="G2" s="116" t="s">
        <v>5</v>
      </c>
      <c r="H2" s="116" t="s">
        <v>6</v>
      </c>
      <c r="I2" s="116" t="s">
        <v>56</v>
      </c>
      <c r="J2" s="116" t="s">
        <v>57</v>
      </c>
      <c r="K2" s="116" t="s">
        <v>58</v>
      </c>
      <c r="L2" s="116" t="s">
        <v>4</v>
      </c>
      <c r="M2" s="116" t="s">
        <v>7</v>
      </c>
      <c r="N2" s="116" t="s">
        <v>8</v>
      </c>
    </row>
    <row r="3" spans="1:14" ht="26.25" x14ac:dyDescent="0.4">
      <c r="A3" s="105" t="s">
        <v>111</v>
      </c>
      <c r="B3" s="84" t="s">
        <v>110</v>
      </c>
      <c r="C3" s="2" t="s">
        <v>112</v>
      </c>
      <c r="D3" s="2">
        <v>1</v>
      </c>
      <c r="E3" s="2">
        <v>10</v>
      </c>
      <c r="F3" s="2">
        <f>D3*E3</f>
        <v>10</v>
      </c>
      <c r="G3" s="2">
        <f>F3*0.1</f>
        <v>1</v>
      </c>
      <c r="H3" s="50">
        <v>0</v>
      </c>
      <c r="I3" s="50">
        <v>34.85</v>
      </c>
      <c r="J3" s="50">
        <f>0.71*2</f>
        <v>1.42</v>
      </c>
      <c r="K3" s="2">
        <v>35.729999999999997</v>
      </c>
      <c r="L3" s="17">
        <f>(F3+G3+H3)*I3+J3*K3</f>
        <v>434.08660000000003</v>
      </c>
      <c r="M3" s="17">
        <f>380+54</f>
        <v>434</v>
      </c>
      <c r="N3" s="114">
        <f>-L3+M3</f>
        <v>-8.6600000000032651E-2</v>
      </c>
    </row>
    <row r="4" spans="1:14" ht="26.25" x14ac:dyDescent="0.4">
      <c r="A4" s="105" t="s">
        <v>111</v>
      </c>
      <c r="B4" s="84" t="s">
        <v>109</v>
      </c>
      <c r="C4" s="2" t="s">
        <v>112</v>
      </c>
      <c r="D4" s="2">
        <v>1</v>
      </c>
      <c r="E4" s="2">
        <v>10</v>
      </c>
      <c r="F4" s="2">
        <f>D4*E4</f>
        <v>10</v>
      </c>
      <c r="G4" s="2">
        <f>F4*0.1</f>
        <v>1</v>
      </c>
      <c r="H4" s="50">
        <v>0</v>
      </c>
      <c r="I4" s="50">
        <v>34.85</v>
      </c>
      <c r="J4" s="50">
        <f>0.71*2</f>
        <v>1.42</v>
      </c>
      <c r="K4" s="2">
        <v>35.729999999999997</v>
      </c>
      <c r="L4" s="17">
        <f>(F4+G4+H4)*I4+J4*K4</f>
        <v>434.08660000000003</v>
      </c>
      <c r="M4" s="17">
        <f>380+54</f>
        <v>434</v>
      </c>
      <c r="N4" s="114">
        <f>-L4+M4</f>
        <v>-8.6600000000032651E-2</v>
      </c>
    </row>
    <row r="5" spans="1:14" ht="26.25" x14ac:dyDescent="0.4">
      <c r="A5" s="111" t="s">
        <v>22</v>
      </c>
      <c r="B5" s="84" t="s">
        <v>86</v>
      </c>
      <c r="C5" s="4" t="s">
        <v>108</v>
      </c>
      <c r="D5" s="4">
        <v>1</v>
      </c>
      <c r="E5" s="4">
        <v>76.97</v>
      </c>
      <c r="F5" s="2">
        <f>D5*E5</f>
        <v>76.97</v>
      </c>
      <c r="G5" s="2">
        <f>F5*0.1</f>
        <v>7.6970000000000001</v>
      </c>
      <c r="H5" s="50">
        <v>0</v>
      </c>
      <c r="I5" s="50">
        <v>34.64</v>
      </c>
      <c r="J5" s="50">
        <v>3.14</v>
      </c>
      <c r="K5" s="2">
        <v>35.729999999999997</v>
      </c>
      <c r="L5" s="17">
        <f>(F5+G5+H5)*I5+J5*K5</f>
        <v>3045.05708</v>
      </c>
      <c r="M5" s="17">
        <f>2920+125</f>
        <v>3045</v>
      </c>
      <c r="N5" s="115">
        <f>-L5+M5</f>
        <v>-5.7080000000041764E-2</v>
      </c>
    </row>
    <row r="6" spans="1:14" ht="26.25" x14ac:dyDescent="0.4">
      <c r="A6" s="121" t="s">
        <v>113</v>
      </c>
      <c r="B6" s="123" t="s">
        <v>51</v>
      </c>
      <c r="C6" s="4" t="s">
        <v>114</v>
      </c>
      <c r="D6" s="4">
        <v>2</v>
      </c>
      <c r="E6" s="4">
        <v>6</v>
      </c>
      <c r="F6" s="2">
        <f>D6*E6</f>
        <v>12</v>
      </c>
      <c r="G6" s="2">
        <f>F6*0.1</f>
        <v>1.2000000000000002</v>
      </c>
      <c r="H6" s="50">
        <v>0</v>
      </c>
      <c r="I6" s="4">
        <v>35.409999999999997</v>
      </c>
      <c r="J6" s="4">
        <f>1.15*2</f>
        <v>2.2999999999999998</v>
      </c>
      <c r="K6" s="2">
        <v>35.729999999999997</v>
      </c>
      <c r="L6" s="17">
        <f>(F6+G6+H6)*I6+J6*K6</f>
        <v>549.59099999999989</v>
      </c>
      <c r="M6" s="4">
        <f>475+75</f>
        <v>550</v>
      </c>
      <c r="N6" s="115">
        <f>-L6+M6</f>
        <v>0.4090000000001055</v>
      </c>
    </row>
    <row r="7" spans="1:14" ht="26.25" x14ac:dyDescent="0.4">
      <c r="A7" s="121" t="s">
        <v>113</v>
      </c>
      <c r="B7" s="122" t="s">
        <v>115</v>
      </c>
      <c r="C7" s="4" t="s">
        <v>116</v>
      </c>
      <c r="D7" s="4">
        <v>1</v>
      </c>
      <c r="E7" s="4">
        <v>28</v>
      </c>
      <c r="F7" s="2">
        <f>D7*E7</f>
        <v>28</v>
      </c>
      <c r="G7" s="2">
        <f>F7*0.1</f>
        <v>2.8000000000000003</v>
      </c>
      <c r="H7" s="50">
        <v>0</v>
      </c>
      <c r="I7" s="4">
        <v>35.409999999999997</v>
      </c>
      <c r="J7" s="4">
        <f>1.15*2</f>
        <v>2.2999999999999998</v>
      </c>
      <c r="K7" s="2">
        <v>35.729999999999997</v>
      </c>
      <c r="L7" s="17">
        <f>(F7+G7+H7)*I7+J7*K7</f>
        <v>1172.807</v>
      </c>
      <c r="M7" s="4">
        <v>1100</v>
      </c>
      <c r="N7" s="115">
        <f>-L7+M7</f>
        <v>-72.807000000000016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102"/>
  <sheetViews>
    <sheetView topLeftCell="A34" zoomScale="70" zoomScaleNormal="70" workbookViewId="0">
      <selection activeCell="A51" sqref="A51:XFD51"/>
    </sheetView>
  </sheetViews>
  <sheetFormatPr defaultRowHeight="15" x14ac:dyDescent="0.25"/>
  <cols>
    <col min="1" max="1" width="41.85546875" customWidth="1"/>
    <col min="2" max="2" width="21.140625" customWidth="1"/>
    <col min="3" max="3" width="28" customWidth="1"/>
    <col min="10" max="10" width="9.140625" style="170"/>
    <col min="13" max="13" width="12.85546875" customWidth="1"/>
  </cols>
  <sheetData>
    <row r="1" spans="1:14" ht="28.5" x14ac:dyDescent="0.45">
      <c r="A1" s="91" t="s">
        <v>68</v>
      </c>
      <c r="C1" s="269" t="s">
        <v>203</v>
      </c>
    </row>
    <row r="2" spans="1:14" ht="23.25" x14ac:dyDescent="0.35">
      <c r="A2" s="90" t="s">
        <v>69</v>
      </c>
    </row>
    <row r="3" spans="1:14" ht="23.25" x14ac:dyDescent="0.35">
      <c r="A3" s="90" t="s">
        <v>71</v>
      </c>
    </row>
    <row r="4" spans="1:14" ht="23.25" x14ac:dyDescent="0.35">
      <c r="A4" s="90" t="s">
        <v>70</v>
      </c>
    </row>
    <row r="5" spans="1:14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72"/>
      <c r="K5" s="103"/>
      <c r="L5" s="103"/>
      <c r="M5" s="103"/>
      <c r="N5" s="103"/>
    </row>
    <row r="6" spans="1:14" ht="45" x14ac:dyDescent="0.25">
      <c r="A6" s="93" t="s">
        <v>53</v>
      </c>
      <c r="B6" s="94" t="s">
        <v>0</v>
      </c>
      <c r="C6" s="86" t="s">
        <v>1</v>
      </c>
      <c r="D6" s="86" t="s">
        <v>2</v>
      </c>
      <c r="E6" s="86" t="s">
        <v>196</v>
      </c>
      <c r="F6" s="86" t="s">
        <v>197</v>
      </c>
      <c r="G6" s="86" t="s">
        <v>5</v>
      </c>
      <c r="H6" s="86" t="s">
        <v>195</v>
      </c>
      <c r="I6" s="171" t="s">
        <v>56</v>
      </c>
      <c r="J6" s="173" t="s">
        <v>194</v>
      </c>
      <c r="K6" s="94" t="s">
        <v>58</v>
      </c>
      <c r="L6" s="86" t="s">
        <v>199</v>
      </c>
      <c r="M6" s="86" t="s">
        <v>198</v>
      </c>
      <c r="N6" s="86" t="s">
        <v>200</v>
      </c>
    </row>
    <row r="7" spans="1:14" s="1" customFormat="1" ht="32.25" thickBot="1" x14ac:dyDescent="0.55000000000000004">
      <c r="A7" s="96" t="s">
        <v>55</v>
      </c>
      <c r="B7" s="96" t="s">
        <v>78</v>
      </c>
      <c r="C7" s="95"/>
      <c r="D7" s="95"/>
      <c r="E7" s="95"/>
      <c r="F7" s="95"/>
      <c r="G7" s="95"/>
      <c r="H7" s="95"/>
      <c r="I7" s="95"/>
      <c r="J7" s="174"/>
      <c r="K7" s="95"/>
      <c r="L7" s="95"/>
      <c r="M7" s="95"/>
      <c r="N7" s="95"/>
    </row>
    <row r="8" spans="1:14" ht="26.25" x14ac:dyDescent="0.4">
      <c r="A8" s="105" t="s">
        <v>117</v>
      </c>
      <c r="B8" s="84" t="s">
        <v>120</v>
      </c>
      <c r="C8" s="2" t="s">
        <v>122</v>
      </c>
      <c r="D8" s="175">
        <v>1</v>
      </c>
      <c r="E8" s="175">
        <v>29</v>
      </c>
      <c r="F8" s="175">
        <f t="shared" ref="F8:F17" si="0">D8*E8</f>
        <v>29</v>
      </c>
      <c r="G8" s="175">
        <f t="shared" ref="G8:G17" si="1">F8*0.1</f>
        <v>2.9000000000000004</v>
      </c>
      <c r="H8" s="176"/>
      <c r="I8" s="177">
        <v>50.17</v>
      </c>
      <c r="J8" s="178">
        <v>5.12</v>
      </c>
      <c r="K8" s="179">
        <v>57.65</v>
      </c>
      <c r="L8" s="180">
        <f>(F8+G8+H8)*I8+J8*K8</f>
        <v>1895.5909999999999</v>
      </c>
      <c r="M8" s="180">
        <f>1530+366</f>
        <v>1896</v>
      </c>
      <c r="N8" s="181">
        <f>-L8+M8</f>
        <v>0.4090000000001055</v>
      </c>
    </row>
    <row r="9" spans="1:14" ht="27" thickBot="1" x14ac:dyDescent="0.45">
      <c r="A9" s="161" t="s">
        <v>117</v>
      </c>
      <c r="B9" s="147" t="s">
        <v>76</v>
      </c>
      <c r="C9" s="126" t="s">
        <v>122</v>
      </c>
      <c r="D9" s="182">
        <v>1</v>
      </c>
      <c r="E9" s="182">
        <v>29</v>
      </c>
      <c r="F9" s="182">
        <f>E9</f>
        <v>29</v>
      </c>
      <c r="G9" s="182">
        <f>F9*0.1</f>
        <v>2.9000000000000004</v>
      </c>
      <c r="H9" s="183"/>
      <c r="I9" s="184">
        <v>50.17</v>
      </c>
      <c r="J9" s="178">
        <v>5.12</v>
      </c>
      <c r="K9" s="185">
        <v>57.65</v>
      </c>
      <c r="L9" s="186">
        <f t="shared" ref="L9:L17" si="2">(F9+G9+H9)*I9+J9*K9</f>
        <v>1895.5909999999999</v>
      </c>
      <c r="M9" s="187">
        <f>1600+296</f>
        <v>1896</v>
      </c>
      <c r="N9" s="188">
        <f t="shared" ref="N9:N17" si="3">-L9+M9</f>
        <v>0.4090000000001055</v>
      </c>
    </row>
    <row r="10" spans="1:14" ht="33" thickBot="1" x14ac:dyDescent="0.45">
      <c r="A10" s="164" t="s">
        <v>118</v>
      </c>
      <c r="B10" s="160" t="s">
        <v>121</v>
      </c>
      <c r="C10" s="23" t="s">
        <v>123</v>
      </c>
      <c r="D10" s="189">
        <v>1</v>
      </c>
      <c r="E10" s="189">
        <v>25</v>
      </c>
      <c r="F10" s="189">
        <f>D10*E10</f>
        <v>25</v>
      </c>
      <c r="G10" s="189">
        <f t="shared" si="1"/>
        <v>2.5</v>
      </c>
      <c r="H10" s="190"/>
      <c r="I10" s="191">
        <v>50.17</v>
      </c>
      <c r="J10" s="192">
        <v>1.71</v>
      </c>
      <c r="K10" s="193">
        <v>57.65</v>
      </c>
      <c r="L10" s="194">
        <f t="shared" si="2"/>
        <v>1478.2565</v>
      </c>
      <c r="M10" s="194">
        <f>1300+180</f>
        <v>1480</v>
      </c>
      <c r="N10" s="195">
        <f t="shared" si="3"/>
        <v>1.74350000000004</v>
      </c>
    </row>
    <row r="11" spans="1:14" ht="27" thickBot="1" x14ac:dyDescent="0.45">
      <c r="A11" s="162" t="s">
        <v>119</v>
      </c>
      <c r="B11" s="163" t="s">
        <v>110</v>
      </c>
      <c r="C11" s="127" t="s">
        <v>124</v>
      </c>
      <c r="D11" s="196">
        <v>1</v>
      </c>
      <c r="E11" s="196">
        <v>47.07</v>
      </c>
      <c r="F11" s="196">
        <f t="shared" si="0"/>
        <v>47.07</v>
      </c>
      <c r="G11" s="196">
        <f t="shared" si="1"/>
        <v>4.7069999999999999</v>
      </c>
      <c r="H11" s="197"/>
      <c r="I11" s="191">
        <v>50.17</v>
      </c>
      <c r="J11" s="198">
        <v>22.82</v>
      </c>
      <c r="K11" s="199">
        <v>57.65</v>
      </c>
      <c r="L11" s="200">
        <f>(F11+G11+H11)*I11+J11*K11</f>
        <v>3913.2250899999999</v>
      </c>
      <c r="M11" s="200">
        <f>2450+1463</f>
        <v>3913</v>
      </c>
      <c r="N11" s="201">
        <f t="shared" si="3"/>
        <v>-0.2250899999999092</v>
      </c>
    </row>
    <row r="12" spans="1:14" ht="27" thickBot="1" x14ac:dyDescent="0.45">
      <c r="A12" s="159" t="s">
        <v>125</v>
      </c>
      <c r="B12" s="160" t="s">
        <v>86</v>
      </c>
      <c r="C12" s="157" t="s">
        <v>126</v>
      </c>
      <c r="D12" s="202">
        <v>1</v>
      </c>
      <c r="E12" s="202">
        <v>10.51</v>
      </c>
      <c r="F12" s="189">
        <f t="shared" si="0"/>
        <v>10.51</v>
      </c>
      <c r="G12" s="189">
        <f t="shared" si="1"/>
        <v>1.0509999999999999</v>
      </c>
      <c r="H12" s="190"/>
      <c r="I12" s="191">
        <v>50.17</v>
      </c>
      <c r="J12" s="192">
        <v>0.28000000000000003</v>
      </c>
      <c r="K12" s="193">
        <v>57.65</v>
      </c>
      <c r="L12" s="276">
        <f t="shared" si="2"/>
        <v>596.15737000000001</v>
      </c>
      <c r="M12" s="194">
        <f>555+41</f>
        <v>596</v>
      </c>
      <c r="N12" s="203">
        <f t="shared" si="3"/>
        <v>-0.15737000000001444</v>
      </c>
    </row>
    <row r="13" spans="1:14" ht="26.25" x14ac:dyDescent="0.4">
      <c r="A13" s="158" t="s">
        <v>127</v>
      </c>
      <c r="B13" s="85" t="s">
        <v>128</v>
      </c>
      <c r="C13" s="128" t="s">
        <v>133</v>
      </c>
      <c r="D13" s="204">
        <v>1</v>
      </c>
      <c r="E13" s="204">
        <v>48.75</v>
      </c>
      <c r="F13" s="205">
        <f t="shared" si="0"/>
        <v>48.75</v>
      </c>
      <c r="G13" s="205">
        <f t="shared" si="1"/>
        <v>4.875</v>
      </c>
      <c r="H13" s="206"/>
      <c r="I13" s="207">
        <v>50.17</v>
      </c>
      <c r="J13" s="178">
        <f>0.628*4</f>
        <v>2.512</v>
      </c>
      <c r="K13" s="208">
        <v>57.65</v>
      </c>
      <c r="L13" s="209">
        <f t="shared" si="2"/>
        <v>2835.1830500000001</v>
      </c>
      <c r="M13" s="209">
        <f>1352+1483</f>
        <v>2835</v>
      </c>
      <c r="N13" s="210">
        <f t="shared" si="3"/>
        <v>-0.18305000000009386</v>
      </c>
    </row>
    <row r="14" spans="1:14" ht="26.25" x14ac:dyDescent="0.4">
      <c r="A14" s="124" t="s">
        <v>127</v>
      </c>
      <c r="B14" s="84" t="s">
        <v>129</v>
      </c>
      <c r="C14" s="4" t="s">
        <v>134</v>
      </c>
      <c r="D14" s="211">
        <v>1</v>
      </c>
      <c r="E14" s="211">
        <v>27</v>
      </c>
      <c r="F14" s="175">
        <f t="shared" si="0"/>
        <v>27</v>
      </c>
      <c r="G14" s="175">
        <f t="shared" si="1"/>
        <v>2.7</v>
      </c>
      <c r="H14" s="176"/>
      <c r="I14" s="207">
        <v>50.17</v>
      </c>
      <c r="J14" s="178">
        <f>0.628*2</f>
        <v>1.256</v>
      </c>
      <c r="K14" s="179">
        <v>57.65</v>
      </c>
      <c r="L14" s="180">
        <f t="shared" si="2"/>
        <v>1562.4574</v>
      </c>
      <c r="M14" s="180">
        <f>1430+132</f>
        <v>1562</v>
      </c>
      <c r="N14" s="212">
        <f t="shared" si="3"/>
        <v>-0.45740000000000691</v>
      </c>
    </row>
    <row r="15" spans="1:14" ht="32.25" x14ac:dyDescent="0.4">
      <c r="A15" s="124" t="s">
        <v>127</v>
      </c>
      <c r="B15" s="27" t="s">
        <v>130</v>
      </c>
      <c r="C15" s="2" t="s">
        <v>135</v>
      </c>
      <c r="D15" s="213">
        <v>1</v>
      </c>
      <c r="E15" s="213">
        <v>66</v>
      </c>
      <c r="F15" s="182">
        <f t="shared" si="0"/>
        <v>66</v>
      </c>
      <c r="G15" s="182">
        <f t="shared" si="1"/>
        <v>6.6000000000000005</v>
      </c>
      <c r="H15" s="183"/>
      <c r="I15" s="207">
        <v>50.17</v>
      </c>
      <c r="J15" s="178">
        <f>0.628*5</f>
        <v>3.14</v>
      </c>
      <c r="K15" s="179">
        <v>57.65</v>
      </c>
      <c r="L15" s="186">
        <f t="shared" si="2"/>
        <v>3823.3629999999998</v>
      </c>
      <c r="M15" s="187">
        <f>3500+323</f>
        <v>3823</v>
      </c>
      <c r="N15" s="214">
        <f t="shared" si="3"/>
        <v>-0.36299999999982901</v>
      </c>
    </row>
    <row r="16" spans="1:14" ht="32.25" x14ac:dyDescent="0.4">
      <c r="A16" s="124" t="s">
        <v>127</v>
      </c>
      <c r="B16" s="27" t="s">
        <v>11</v>
      </c>
      <c r="C16" s="2" t="s">
        <v>136</v>
      </c>
      <c r="D16" s="213">
        <v>1</v>
      </c>
      <c r="E16" s="211">
        <v>48.75</v>
      </c>
      <c r="F16" s="182">
        <f t="shared" si="0"/>
        <v>48.75</v>
      </c>
      <c r="G16" s="182">
        <f>F16*0.1</f>
        <v>4.875</v>
      </c>
      <c r="H16" s="183"/>
      <c r="I16" s="207">
        <v>50.17</v>
      </c>
      <c r="J16" s="178">
        <f>0.628*3</f>
        <v>1.8839999999999999</v>
      </c>
      <c r="K16" s="179">
        <v>57.65</v>
      </c>
      <c r="L16" s="186">
        <f t="shared" si="2"/>
        <v>2798.97885</v>
      </c>
      <c r="M16" s="186">
        <f>2630+169</f>
        <v>2799</v>
      </c>
      <c r="N16" s="214">
        <f t="shared" si="3"/>
        <v>2.1150000000034197E-2</v>
      </c>
    </row>
    <row r="17" spans="1:14" ht="26.25" x14ac:dyDescent="0.4">
      <c r="A17" s="124" t="s">
        <v>127</v>
      </c>
      <c r="B17" s="30" t="s">
        <v>131</v>
      </c>
      <c r="C17" s="4" t="s">
        <v>122</v>
      </c>
      <c r="D17" s="211">
        <v>1</v>
      </c>
      <c r="E17" s="211">
        <v>66</v>
      </c>
      <c r="F17" s="175">
        <f t="shared" si="0"/>
        <v>66</v>
      </c>
      <c r="G17" s="175">
        <f t="shared" si="1"/>
        <v>6.6000000000000005</v>
      </c>
      <c r="H17" s="176"/>
      <c r="I17" s="207">
        <v>50.17</v>
      </c>
      <c r="J17" s="178">
        <f>0.628*4</f>
        <v>2.512</v>
      </c>
      <c r="K17" s="179">
        <v>57.65</v>
      </c>
      <c r="L17" s="180">
        <f t="shared" si="2"/>
        <v>3787.1587999999997</v>
      </c>
      <c r="M17" s="180">
        <f>3500+287</f>
        <v>3787</v>
      </c>
      <c r="N17" s="212">
        <f t="shared" si="3"/>
        <v>-0.15879999999970096</v>
      </c>
    </row>
    <row r="18" spans="1:14" ht="27" thickBot="1" x14ac:dyDescent="0.45">
      <c r="A18" s="146" t="s">
        <v>127</v>
      </c>
      <c r="B18" s="147" t="s">
        <v>132</v>
      </c>
      <c r="C18" s="126" t="s">
        <v>137</v>
      </c>
      <c r="D18" s="213">
        <v>1</v>
      </c>
      <c r="E18" s="213">
        <v>15.75</v>
      </c>
      <c r="F18" s="182">
        <f t="shared" ref="F18:F26" si="4">D18*E18</f>
        <v>15.75</v>
      </c>
      <c r="G18" s="182">
        <f t="shared" ref="G18:G35" si="5">F18*0.1</f>
        <v>1.5750000000000002</v>
      </c>
      <c r="H18" s="183"/>
      <c r="I18" s="207">
        <v>50.17</v>
      </c>
      <c r="J18" s="178">
        <f>0.628</f>
        <v>0.628</v>
      </c>
      <c r="K18" s="185">
        <v>57.65</v>
      </c>
      <c r="L18" s="186">
        <f t="shared" ref="L18:L26" si="6">(F18+G18+H18)*I18+J18*K18</f>
        <v>905.39945</v>
      </c>
      <c r="M18" s="186">
        <f>850+55</f>
        <v>905</v>
      </c>
      <c r="N18" s="214">
        <f t="shared" ref="N18:N26" si="7">-L18+M18</f>
        <v>-0.39945000000000164</v>
      </c>
    </row>
    <row r="19" spans="1:14" ht="26.25" x14ac:dyDescent="0.4">
      <c r="A19" s="148" t="s">
        <v>138</v>
      </c>
      <c r="B19" s="143" t="s">
        <v>131</v>
      </c>
      <c r="C19" s="132" t="s">
        <v>139</v>
      </c>
      <c r="D19" s="215">
        <v>1</v>
      </c>
      <c r="E19" s="215">
        <v>48</v>
      </c>
      <c r="F19" s="216">
        <f t="shared" si="4"/>
        <v>48</v>
      </c>
      <c r="G19" s="216">
        <f t="shared" si="5"/>
        <v>4.8000000000000007</v>
      </c>
      <c r="H19" s="217"/>
      <c r="I19" s="177">
        <v>52.69</v>
      </c>
      <c r="J19" s="218">
        <v>2.94</v>
      </c>
      <c r="K19" s="219">
        <v>57.65</v>
      </c>
      <c r="L19" s="220">
        <f t="shared" si="6"/>
        <v>2951.5229999999997</v>
      </c>
      <c r="M19" s="221">
        <f>2700+252</f>
        <v>2952</v>
      </c>
      <c r="N19" s="222">
        <f t="shared" si="7"/>
        <v>0.4770000000003165</v>
      </c>
    </row>
    <row r="20" spans="1:14" ht="27" thickBot="1" x14ac:dyDescent="0.45">
      <c r="A20" s="149" t="s">
        <v>138</v>
      </c>
      <c r="B20" s="31" t="s">
        <v>130</v>
      </c>
      <c r="C20" s="8" t="s">
        <v>140</v>
      </c>
      <c r="D20" s="223">
        <v>1</v>
      </c>
      <c r="E20" s="223">
        <v>24</v>
      </c>
      <c r="F20" s="224">
        <f t="shared" si="4"/>
        <v>24</v>
      </c>
      <c r="G20" s="224">
        <f t="shared" si="5"/>
        <v>2.4000000000000004</v>
      </c>
      <c r="H20" s="225"/>
      <c r="I20" s="226">
        <v>52.69</v>
      </c>
      <c r="J20" s="227">
        <v>0.98</v>
      </c>
      <c r="K20" s="228">
        <v>57.65</v>
      </c>
      <c r="L20" s="229">
        <f t="shared" si="6"/>
        <v>1447.5129999999999</v>
      </c>
      <c r="M20" s="229">
        <f>1351+97</f>
        <v>1448</v>
      </c>
      <c r="N20" s="230">
        <f t="shared" si="7"/>
        <v>0.48700000000008004</v>
      </c>
    </row>
    <row r="21" spans="1:14" ht="26.25" x14ac:dyDescent="0.4">
      <c r="A21" s="135" t="s">
        <v>141</v>
      </c>
      <c r="B21" s="32" t="s">
        <v>142</v>
      </c>
      <c r="C21" s="128" t="s">
        <v>143</v>
      </c>
      <c r="D21" s="231">
        <v>1</v>
      </c>
      <c r="E21" s="231">
        <v>46.98</v>
      </c>
      <c r="F21" s="196">
        <f t="shared" si="4"/>
        <v>46.98</v>
      </c>
      <c r="G21" s="196">
        <f t="shared" si="5"/>
        <v>4.6979999999999995</v>
      </c>
      <c r="H21" s="197"/>
      <c r="I21" s="207">
        <v>50.17</v>
      </c>
      <c r="J21" s="198">
        <v>19.260000000000002</v>
      </c>
      <c r="K21" s="208">
        <v>57.65</v>
      </c>
      <c r="L21" s="200">
        <f t="shared" si="6"/>
        <v>3703.0242600000001</v>
      </c>
      <c r="M21" s="200">
        <f>2532+1055+116</f>
        <v>3703</v>
      </c>
      <c r="N21" s="201">
        <f t="shared" si="7"/>
        <v>-2.426000000014028E-2</v>
      </c>
    </row>
    <row r="22" spans="1:14" ht="27" thickBot="1" x14ac:dyDescent="0.45">
      <c r="A22" s="129" t="s">
        <v>144</v>
      </c>
      <c r="B22" s="27" t="s">
        <v>11</v>
      </c>
      <c r="C22" s="110" t="s">
        <v>145</v>
      </c>
      <c r="D22" s="213">
        <v>1</v>
      </c>
      <c r="E22" s="213">
        <v>24.8</v>
      </c>
      <c r="F22" s="182">
        <f t="shared" si="4"/>
        <v>24.8</v>
      </c>
      <c r="G22" s="182">
        <f t="shared" si="5"/>
        <v>2.4800000000000004</v>
      </c>
      <c r="H22" s="183"/>
      <c r="I22" s="232">
        <v>55.31</v>
      </c>
      <c r="J22" s="233">
        <v>1.875</v>
      </c>
      <c r="K22" s="185">
        <v>57.65</v>
      </c>
      <c r="L22" s="186">
        <f t="shared" si="6"/>
        <v>1616.95055</v>
      </c>
      <c r="M22" s="187">
        <f>1337+280</f>
        <v>1617</v>
      </c>
      <c r="N22" s="214">
        <f t="shared" si="7"/>
        <v>4.94499999999789E-2</v>
      </c>
    </row>
    <row r="23" spans="1:14" ht="26.25" x14ac:dyDescent="0.4">
      <c r="A23" s="142" t="s">
        <v>146</v>
      </c>
      <c r="B23" s="143" t="s">
        <v>147</v>
      </c>
      <c r="C23" s="132" t="s">
        <v>149</v>
      </c>
      <c r="D23" s="215">
        <v>1</v>
      </c>
      <c r="E23" s="215">
        <v>32.799999999999997</v>
      </c>
      <c r="F23" s="216">
        <f t="shared" si="4"/>
        <v>32.799999999999997</v>
      </c>
      <c r="G23" s="216">
        <f t="shared" si="5"/>
        <v>3.28</v>
      </c>
      <c r="H23" s="217"/>
      <c r="I23" s="177">
        <v>54.22</v>
      </c>
      <c r="J23" s="234">
        <v>0.97</v>
      </c>
      <c r="K23" s="219">
        <v>57.65</v>
      </c>
      <c r="L23" s="220">
        <f t="shared" si="6"/>
        <v>2012.1780999999999</v>
      </c>
      <c r="M23" s="221">
        <f>1768+244</f>
        <v>2012</v>
      </c>
      <c r="N23" s="222">
        <f t="shared" si="7"/>
        <v>-0.17809999999985848</v>
      </c>
    </row>
    <row r="24" spans="1:14" ht="26.25" x14ac:dyDescent="0.4">
      <c r="A24" s="144" t="s">
        <v>146</v>
      </c>
      <c r="B24" s="27" t="s">
        <v>110</v>
      </c>
      <c r="C24" s="110" t="s">
        <v>149</v>
      </c>
      <c r="D24" s="213">
        <v>1</v>
      </c>
      <c r="E24" s="211">
        <v>32.799999999999997</v>
      </c>
      <c r="F24" s="182">
        <f t="shared" si="4"/>
        <v>32.799999999999997</v>
      </c>
      <c r="G24" s="182">
        <f t="shared" si="5"/>
        <v>3.28</v>
      </c>
      <c r="H24" s="183"/>
      <c r="I24" s="235">
        <v>54.22</v>
      </c>
      <c r="J24" s="178">
        <v>0.97</v>
      </c>
      <c r="K24" s="179">
        <v>57.65</v>
      </c>
      <c r="L24" s="186">
        <f t="shared" si="6"/>
        <v>2012.1780999999999</v>
      </c>
      <c r="M24" s="187">
        <f>1768+244</f>
        <v>2012</v>
      </c>
      <c r="N24" s="236">
        <f t="shared" si="7"/>
        <v>-0.17809999999985848</v>
      </c>
    </row>
    <row r="25" spans="1:14" ht="27" thickBot="1" x14ac:dyDescent="0.45">
      <c r="A25" s="145" t="s">
        <v>146</v>
      </c>
      <c r="B25" s="31" t="s">
        <v>148</v>
      </c>
      <c r="C25" s="9" t="s">
        <v>150</v>
      </c>
      <c r="D25" s="223">
        <v>1</v>
      </c>
      <c r="E25" s="223">
        <v>28.8</v>
      </c>
      <c r="F25" s="224">
        <f t="shared" si="4"/>
        <v>28.8</v>
      </c>
      <c r="G25" s="224">
        <f t="shared" si="5"/>
        <v>2.8800000000000003</v>
      </c>
      <c r="H25" s="225"/>
      <c r="I25" s="226">
        <v>54.22</v>
      </c>
      <c r="J25" s="227">
        <v>0.97</v>
      </c>
      <c r="K25" s="228">
        <v>57.65</v>
      </c>
      <c r="L25" s="229">
        <f t="shared" si="6"/>
        <v>1773.6100999999999</v>
      </c>
      <c r="M25" s="229">
        <f>1552+222</f>
        <v>1774</v>
      </c>
      <c r="N25" s="230">
        <f t="shared" si="7"/>
        <v>0.38990000000012515</v>
      </c>
    </row>
    <row r="26" spans="1:14" ht="27" thickBot="1" x14ac:dyDescent="0.45">
      <c r="A26" s="141" t="s">
        <v>117</v>
      </c>
      <c r="B26" s="32" t="s">
        <v>19</v>
      </c>
      <c r="C26" s="136" t="s">
        <v>151</v>
      </c>
      <c r="D26" s="231">
        <v>1</v>
      </c>
      <c r="E26" s="231">
        <v>29</v>
      </c>
      <c r="F26" s="196">
        <f t="shared" si="4"/>
        <v>29</v>
      </c>
      <c r="G26" s="196">
        <f t="shared" si="5"/>
        <v>2.9000000000000004</v>
      </c>
      <c r="H26" s="197"/>
      <c r="I26" s="237">
        <v>54.02</v>
      </c>
      <c r="J26" s="198">
        <v>1.875</v>
      </c>
      <c r="K26" s="199">
        <v>57.65</v>
      </c>
      <c r="L26" s="200">
        <f t="shared" si="6"/>
        <v>1831.3317500000001</v>
      </c>
      <c r="M26" s="200">
        <f>1620+211</f>
        <v>1831</v>
      </c>
      <c r="N26" s="201">
        <f t="shared" si="7"/>
        <v>-0.33175000000005639</v>
      </c>
    </row>
    <row r="27" spans="1:14" ht="26.25" x14ac:dyDescent="0.4">
      <c r="A27" s="137" t="s">
        <v>152</v>
      </c>
      <c r="B27" s="138" t="s">
        <v>76</v>
      </c>
      <c r="C27" s="132" t="s">
        <v>159</v>
      </c>
      <c r="D27" s="238">
        <v>1</v>
      </c>
      <c r="E27" s="238">
        <v>44.6</v>
      </c>
      <c r="F27" s="239">
        <f t="shared" ref="F27:F32" si="8">D27*E27</f>
        <v>44.6</v>
      </c>
      <c r="G27" s="239">
        <f t="shared" si="5"/>
        <v>4.46</v>
      </c>
      <c r="H27" s="240"/>
      <c r="I27" s="241">
        <v>51.64</v>
      </c>
      <c r="J27" s="234">
        <f>0.69*8</f>
        <v>5.52</v>
      </c>
      <c r="K27" s="219">
        <v>57.65</v>
      </c>
      <c r="L27" s="242">
        <f t="shared" ref="L27:L32" si="9">(F27+G27+H27)*I27+J27*K27</f>
        <v>2851.6864</v>
      </c>
      <c r="M27" s="242">
        <f>2400+452</f>
        <v>2852</v>
      </c>
      <c r="N27" s="243">
        <f t="shared" ref="N27:N32" si="10">-L27+M27</f>
        <v>0.31359999999995125</v>
      </c>
    </row>
    <row r="28" spans="1:14" ht="26.25" x14ac:dyDescent="0.4">
      <c r="A28" s="139" t="s">
        <v>152</v>
      </c>
      <c r="B28" s="27" t="s">
        <v>106</v>
      </c>
      <c r="C28" s="2" t="s">
        <v>160</v>
      </c>
      <c r="D28" s="213">
        <v>1</v>
      </c>
      <c r="E28" s="213">
        <v>37.6</v>
      </c>
      <c r="F28" s="182">
        <f t="shared" si="8"/>
        <v>37.6</v>
      </c>
      <c r="G28" s="182">
        <f t="shared" si="5"/>
        <v>3.7600000000000002</v>
      </c>
      <c r="H28" s="183"/>
      <c r="I28" s="244">
        <v>51.64</v>
      </c>
      <c r="J28" s="178">
        <f>0.69*3</f>
        <v>2.0699999999999998</v>
      </c>
      <c r="K28" s="179">
        <v>57.65</v>
      </c>
      <c r="L28" s="186">
        <f t="shared" si="9"/>
        <v>2255.1659</v>
      </c>
      <c r="M28" s="186">
        <f>2027+228</f>
        <v>2255</v>
      </c>
      <c r="N28" s="236">
        <f t="shared" si="10"/>
        <v>-0.16589999999996508</v>
      </c>
    </row>
    <row r="29" spans="1:14" ht="26.25" x14ac:dyDescent="0.4">
      <c r="A29" s="139" t="s">
        <v>152</v>
      </c>
      <c r="B29" s="30" t="s">
        <v>153</v>
      </c>
      <c r="C29" s="4" t="s">
        <v>193</v>
      </c>
      <c r="D29" s="211">
        <v>1</v>
      </c>
      <c r="E29" s="211">
        <v>20.8</v>
      </c>
      <c r="F29" s="175">
        <f t="shared" si="8"/>
        <v>20.8</v>
      </c>
      <c r="G29" s="175">
        <f t="shared" si="5"/>
        <v>2.08</v>
      </c>
      <c r="H29" s="176"/>
      <c r="I29" s="244">
        <v>51.64</v>
      </c>
      <c r="J29" s="178">
        <f>0.69*3</f>
        <v>2.0699999999999998</v>
      </c>
      <c r="K29" s="179">
        <v>57.65</v>
      </c>
      <c r="L29" s="180">
        <f t="shared" si="9"/>
        <v>1300.8587</v>
      </c>
      <c r="M29" s="180">
        <f>1283+18</f>
        <v>1301</v>
      </c>
      <c r="N29" s="245">
        <f t="shared" si="10"/>
        <v>0.14130000000000109</v>
      </c>
    </row>
    <row r="30" spans="1:14" ht="26.25" x14ac:dyDescent="0.4">
      <c r="A30" s="139" t="s">
        <v>152</v>
      </c>
      <c r="B30" s="27" t="s">
        <v>154</v>
      </c>
      <c r="C30" s="110" t="s">
        <v>17</v>
      </c>
      <c r="D30" s="213">
        <v>1</v>
      </c>
      <c r="E30" s="213">
        <v>10.4</v>
      </c>
      <c r="F30" s="182">
        <f t="shared" si="8"/>
        <v>10.4</v>
      </c>
      <c r="G30" s="182">
        <f t="shared" si="5"/>
        <v>1.04</v>
      </c>
      <c r="H30" s="183"/>
      <c r="I30" s="244">
        <v>51.64</v>
      </c>
      <c r="J30" s="178">
        <f>0.69</f>
        <v>0.69</v>
      </c>
      <c r="K30" s="179">
        <v>57.65</v>
      </c>
      <c r="L30" s="186">
        <f t="shared" si="9"/>
        <v>630.54010000000005</v>
      </c>
      <c r="M30" s="186">
        <f>561+70</f>
        <v>631</v>
      </c>
      <c r="N30" s="236">
        <f t="shared" si="10"/>
        <v>0.4598999999999478</v>
      </c>
    </row>
    <row r="31" spans="1:14" ht="26.25" x14ac:dyDescent="0.4">
      <c r="A31" s="139" t="s">
        <v>152</v>
      </c>
      <c r="B31" s="27" t="s">
        <v>155</v>
      </c>
      <c r="C31" s="2" t="s">
        <v>157</v>
      </c>
      <c r="D31" s="213">
        <v>1</v>
      </c>
      <c r="E31" s="213">
        <v>25.6</v>
      </c>
      <c r="F31" s="182">
        <f t="shared" si="8"/>
        <v>25.6</v>
      </c>
      <c r="G31" s="182">
        <f t="shared" si="5"/>
        <v>2.5600000000000005</v>
      </c>
      <c r="H31" s="183"/>
      <c r="I31" s="244">
        <v>51.64</v>
      </c>
      <c r="J31" s="178">
        <f>0.69*2</f>
        <v>1.38</v>
      </c>
      <c r="K31" s="179">
        <v>57.65</v>
      </c>
      <c r="L31" s="186">
        <f t="shared" si="9"/>
        <v>1533.7394000000002</v>
      </c>
      <c r="M31" s="187">
        <f>1380+154</f>
        <v>1534</v>
      </c>
      <c r="N31" s="236">
        <f t="shared" si="10"/>
        <v>0.26059999999984029</v>
      </c>
    </row>
    <row r="32" spans="1:14" ht="26.25" x14ac:dyDescent="0.4">
      <c r="A32" s="139" t="s">
        <v>152</v>
      </c>
      <c r="B32" s="30" t="s">
        <v>156</v>
      </c>
      <c r="C32" s="4" t="s">
        <v>159</v>
      </c>
      <c r="D32" s="211">
        <v>1</v>
      </c>
      <c r="E32" s="211">
        <v>66.8</v>
      </c>
      <c r="F32" s="175">
        <f t="shared" si="8"/>
        <v>66.8</v>
      </c>
      <c r="G32" s="175">
        <f t="shared" si="5"/>
        <v>6.68</v>
      </c>
      <c r="H32" s="176"/>
      <c r="I32" s="244">
        <v>51.64</v>
      </c>
      <c r="J32" s="178">
        <f>0.69*9</f>
        <v>6.2099999999999991</v>
      </c>
      <c r="K32" s="179">
        <v>57.65</v>
      </c>
      <c r="L32" s="180">
        <f t="shared" si="9"/>
        <v>4152.5136999999995</v>
      </c>
      <c r="M32" s="180">
        <f>3601+552</f>
        <v>4153</v>
      </c>
      <c r="N32" s="245">
        <f t="shared" si="10"/>
        <v>0.48630000000048312</v>
      </c>
    </row>
    <row r="33" spans="1:16" ht="27" thickBot="1" x14ac:dyDescent="0.45">
      <c r="A33" s="140" t="s">
        <v>152</v>
      </c>
      <c r="B33" s="31" t="s">
        <v>110</v>
      </c>
      <c r="C33" s="8" t="s">
        <v>158</v>
      </c>
      <c r="D33" s="223">
        <v>1</v>
      </c>
      <c r="E33" s="223">
        <v>20.8</v>
      </c>
      <c r="F33" s="224">
        <f>D33*E33</f>
        <v>20.8</v>
      </c>
      <c r="G33" s="224">
        <f t="shared" si="5"/>
        <v>2.08</v>
      </c>
      <c r="H33" s="225"/>
      <c r="I33" s="246">
        <v>51.64</v>
      </c>
      <c r="J33" s="198">
        <f>0.69*2</f>
        <v>1.38</v>
      </c>
      <c r="K33" s="228">
        <v>57.65</v>
      </c>
      <c r="L33" s="229">
        <f>(F33+G33+H33)*I33+J33*K33</f>
        <v>1261.0802000000001</v>
      </c>
      <c r="M33" s="229">
        <f>1121+140</f>
        <v>1261</v>
      </c>
      <c r="N33" s="230">
        <f>-L33+M33</f>
        <v>-8.020000000010441E-2</v>
      </c>
    </row>
    <row r="34" spans="1:16" ht="26.25" x14ac:dyDescent="0.4">
      <c r="A34" s="150" t="s">
        <v>23</v>
      </c>
      <c r="B34" s="138" t="s">
        <v>19</v>
      </c>
      <c r="C34" s="7" t="s">
        <v>47</v>
      </c>
      <c r="D34" s="238">
        <v>1</v>
      </c>
      <c r="E34" s="238">
        <f>12*0.6</f>
        <v>7.1999999999999993</v>
      </c>
      <c r="F34" s="239">
        <f>D34*E34</f>
        <v>7.1999999999999993</v>
      </c>
      <c r="G34" s="239">
        <f t="shared" si="5"/>
        <v>0.72</v>
      </c>
      <c r="H34" s="240"/>
      <c r="I34" s="247">
        <v>51.64</v>
      </c>
      <c r="J34" s="234">
        <f>0.494*2</f>
        <v>0.98799999999999999</v>
      </c>
      <c r="K34" s="219">
        <v>57.65</v>
      </c>
      <c r="L34" s="242">
        <f>(F34+G34+H34)*I34+J34*K34</f>
        <v>465.94699999999995</v>
      </c>
      <c r="M34" s="242">
        <f>388+78</f>
        <v>466</v>
      </c>
      <c r="N34" s="243">
        <f>-L34+M34</f>
        <v>5.3000000000054115E-2</v>
      </c>
      <c r="P34">
        <f>46.5*56</f>
        <v>2604</v>
      </c>
    </row>
    <row r="35" spans="1:16" ht="26.25" x14ac:dyDescent="0.4">
      <c r="A35" s="151" t="s">
        <v>23</v>
      </c>
      <c r="B35" s="30" t="s">
        <v>161</v>
      </c>
      <c r="C35" s="2" t="s">
        <v>47</v>
      </c>
      <c r="D35" s="211">
        <v>1</v>
      </c>
      <c r="E35" s="211">
        <f>10*0.6</f>
        <v>6</v>
      </c>
      <c r="F35" s="175">
        <f>D35*E35</f>
        <v>6</v>
      </c>
      <c r="G35" s="175">
        <f t="shared" si="5"/>
        <v>0.60000000000000009</v>
      </c>
      <c r="H35" s="176"/>
      <c r="I35" s="235">
        <v>51.64</v>
      </c>
      <c r="J35" s="178">
        <f>0.494*2</f>
        <v>0.98799999999999999</v>
      </c>
      <c r="K35" s="179">
        <v>57.65</v>
      </c>
      <c r="L35" s="180">
        <f>(F35+G35+H35)*I35+J35*K35</f>
        <v>397.78219999999999</v>
      </c>
      <c r="M35" s="180">
        <f>323+75</f>
        <v>398</v>
      </c>
      <c r="N35" s="245">
        <f>-L35+M35</f>
        <v>0.2178000000000111</v>
      </c>
    </row>
    <row r="36" spans="1:16" ht="26.25" x14ac:dyDescent="0.4">
      <c r="A36" s="151" t="s">
        <v>23</v>
      </c>
      <c r="B36" s="27" t="s">
        <v>162</v>
      </c>
      <c r="C36" s="2" t="s">
        <v>47</v>
      </c>
      <c r="D36" s="213">
        <v>1</v>
      </c>
      <c r="E36" s="211">
        <f>13.5*0.6</f>
        <v>8.1</v>
      </c>
      <c r="F36" s="182">
        <f t="shared" ref="F36:F41" si="11">D36*E36</f>
        <v>8.1</v>
      </c>
      <c r="G36" s="182">
        <f t="shared" ref="G36:G41" si="12">F36*0.1</f>
        <v>0.81</v>
      </c>
      <c r="H36" s="183"/>
      <c r="I36" s="235">
        <v>51.64</v>
      </c>
      <c r="J36" s="178">
        <f t="shared" ref="J36:J37" si="13">0.494*2</f>
        <v>0.98799999999999999</v>
      </c>
      <c r="K36" s="179">
        <v>57.65</v>
      </c>
      <c r="L36" s="186">
        <f t="shared" ref="L36:L41" si="14">(F36+G36+H36)*I36+J36*K36</f>
        <v>517.07060000000001</v>
      </c>
      <c r="M36" s="186">
        <f>437+80</f>
        <v>517</v>
      </c>
      <c r="N36" s="236">
        <f t="shared" ref="N36:N41" si="15">-L36+M36</f>
        <v>-7.0600000000013097E-2</v>
      </c>
    </row>
    <row r="37" spans="1:16" ht="26.25" x14ac:dyDescent="0.4">
      <c r="A37" s="151" t="s">
        <v>23</v>
      </c>
      <c r="B37" s="30" t="s">
        <v>163</v>
      </c>
      <c r="C37" s="2" t="s">
        <v>47</v>
      </c>
      <c r="D37" s="211">
        <v>1</v>
      </c>
      <c r="E37" s="211">
        <f>12*0.6</f>
        <v>7.1999999999999993</v>
      </c>
      <c r="F37" s="175">
        <f t="shared" si="11"/>
        <v>7.1999999999999993</v>
      </c>
      <c r="G37" s="175">
        <f t="shared" si="12"/>
        <v>0.72</v>
      </c>
      <c r="H37" s="176"/>
      <c r="I37" s="235">
        <v>51.64</v>
      </c>
      <c r="J37" s="178">
        <f t="shared" si="13"/>
        <v>0.98799999999999999</v>
      </c>
      <c r="K37" s="179">
        <v>57.65</v>
      </c>
      <c r="L37" s="180">
        <f t="shared" si="14"/>
        <v>465.94699999999995</v>
      </c>
      <c r="M37" s="180">
        <f>388+78</f>
        <v>466</v>
      </c>
      <c r="N37" s="245">
        <f t="shared" si="15"/>
        <v>5.3000000000054115E-2</v>
      </c>
    </row>
    <row r="38" spans="1:16" ht="26.25" x14ac:dyDescent="0.4">
      <c r="A38" s="151" t="s">
        <v>23</v>
      </c>
      <c r="B38" s="27" t="s">
        <v>155</v>
      </c>
      <c r="C38" s="2" t="s">
        <v>47</v>
      </c>
      <c r="D38" s="213">
        <v>1</v>
      </c>
      <c r="E38" s="211">
        <f>15*0.6</f>
        <v>9</v>
      </c>
      <c r="F38" s="182">
        <f t="shared" si="11"/>
        <v>9</v>
      </c>
      <c r="G38" s="182">
        <f t="shared" si="12"/>
        <v>0.9</v>
      </c>
      <c r="H38" s="183"/>
      <c r="I38" s="235">
        <v>51.64</v>
      </c>
      <c r="J38" s="178">
        <f>0.494*5</f>
        <v>2.4699999999999998</v>
      </c>
      <c r="K38" s="179">
        <v>57.65</v>
      </c>
      <c r="L38" s="186">
        <f t="shared" si="14"/>
        <v>653.63149999999996</v>
      </c>
      <c r="M38" s="248">
        <f>485+169</f>
        <v>654</v>
      </c>
      <c r="N38" s="236">
        <f t="shared" si="15"/>
        <v>0.36850000000004002</v>
      </c>
    </row>
    <row r="39" spans="1:16" ht="26.25" x14ac:dyDescent="0.4">
      <c r="A39" s="151" t="s">
        <v>23</v>
      </c>
      <c r="B39" s="27" t="s">
        <v>164</v>
      </c>
      <c r="C39" s="2" t="s">
        <v>47</v>
      </c>
      <c r="D39" s="211">
        <v>1</v>
      </c>
      <c r="E39" s="211">
        <f>6*0.6</f>
        <v>3.5999999999999996</v>
      </c>
      <c r="F39" s="175">
        <f t="shared" si="11"/>
        <v>3.5999999999999996</v>
      </c>
      <c r="G39" s="175">
        <f t="shared" si="12"/>
        <v>0.36</v>
      </c>
      <c r="H39" s="176"/>
      <c r="I39" s="235">
        <v>51.64</v>
      </c>
      <c r="J39" s="178">
        <f>0.494*1</f>
        <v>0.49399999999999999</v>
      </c>
      <c r="K39" s="179">
        <v>57.65</v>
      </c>
      <c r="L39" s="180">
        <f t="shared" si="14"/>
        <v>232.97349999999997</v>
      </c>
      <c r="M39" s="180">
        <f>194+39</f>
        <v>233</v>
      </c>
      <c r="N39" s="245">
        <f t="shared" si="15"/>
        <v>2.6500000000027057E-2</v>
      </c>
    </row>
    <row r="40" spans="1:16" ht="27" thickBot="1" x14ac:dyDescent="0.45">
      <c r="A40" s="152" t="s">
        <v>23</v>
      </c>
      <c r="B40" s="31" t="s">
        <v>131</v>
      </c>
      <c r="C40" s="9" t="s">
        <v>47</v>
      </c>
      <c r="D40" s="223">
        <v>1</v>
      </c>
      <c r="E40" s="223">
        <f>19*0.6</f>
        <v>11.4</v>
      </c>
      <c r="F40" s="224">
        <f t="shared" si="11"/>
        <v>11.4</v>
      </c>
      <c r="G40" s="224">
        <f t="shared" si="12"/>
        <v>1.1400000000000001</v>
      </c>
      <c r="H40" s="225"/>
      <c r="I40" s="226">
        <v>51.64</v>
      </c>
      <c r="J40" s="227">
        <f>0.494*3</f>
        <v>1.482</v>
      </c>
      <c r="K40" s="228">
        <v>57.65</v>
      </c>
      <c r="L40" s="229">
        <f t="shared" si="14"/>
        <v>733.00289999999995</v>
      </c>
      <c r="M40" s="249">
        <v>800</v>
      </c>
      <c r="N40" s="230">
        <f t="shared" si="15"/>
        <v>66.997100000000046</v>
      </c>
    </row>
    <row r="41" spans="1:16" ht="27" thickBot="1" x14ac:dyDescent="0.45">
      <c r="A41" s="155" t="s">
        <v>125</v>
      </c>
      <c r="B41" s="32" t="s">
        <v>173</v>
      </c>
      <c r="C41" s="136" t="s">
        <v>174</v>
      </c>
      <c r="D41" s="231">
        <v>1</v>
      </c>
      <c r="E41" s="231">
        <v>5.99</v>
      </c>
      <c r="F41" s="196">
        <f t="shared" si="11"/>
        <v>5.99</v>
      </c>
      <c r="G41" s="196">
        <f t="shared" si="12"/>
        <v>0.59900000000000009</v>
      </c>
      <c r="H41" s="197">
        <v>3</v>
      </c>
      <c r="I41" s="237">
        <v>55.31</v>
      </c>
      <c r="J41" s="198">
        <v>1.875</v>
      </c>
      <c r="K41" s="199">
        <v>57.65</v>
      </c>
      <c r="L41" s="200">
        <f t="shared" si="14"/>
        <v>638.46134000000006</v>
      </c>
      <c r="M41" s="200">
        <f>490+148</f>
        <v>638</v>
      </c>
      <c r="N41" s="201">
        <f t="shared" si="15"/>
        <v>-0.46134000000006381</v>
      </c>
    </row>
    <row r="42" spans="1:16" ht="27" thickBot="1" x14ac:dyDescent="0.45">
      <c r="A42" s="156" t="s">
        <v>117</v>
      </c>
      <c r="B42" s="59" t="s">
        <v>180</v>
      </c>
      <c r="C42" s="157" t="s">
        <v>181</v>
      </c>
      <c r="D42" s="202">
        <v>1</v>
      </c>
      <c r="E42" s="202">
        <v>41</v>
      </c>
      <c r="F42" s="189">
        <f t="shared" ref="F42" si="16">D42*E42</f>
        <v>41</v>
      </c>
      <c r="G42" s="189">
        <f t="shared" ref="G42" si="17">F42*0.1</f>
        <v>4.1000000000000005</v>
      </c>
      <c r="H42" s="190"/>
      <c r="I42" s="250">
        <v>55.73</v>
      </c>
      <c r="J42" s="192">
        <v>3.41</v>
      </c>
      <c r="K42" s="193">
        <v>57.65</v>
      </c>
      <c r="L42" s="194">
        <f t="shared" ref="L42" si="18">(F42+G42+H42)*I42+J42*K42</f>
        <v>2710.0094999999997</v>
      </c>
      <c r="M42" s="194">
        <f>1300+1150+260</f>
        <v>2710</v>
      </c>
      <c r="N42" s="203">
        <f t="shared" ref="N42" si="19">-L42+M42</f>
        <v>-9.499999999661668E-3</v>
      </c>
    </row>
    <row r="43" spans="1:16" s="1" customFormat="1" ht="88.5" customHeight="1" thickBot="1" x14ac:dyDescent="0.55000000000000004">
      <c r="A43" s="96" t="s">
        <v>54</v>
      </c>
      <c r="B43" s="96" t="s">
        <v>78</v>
      </c>
      <c r="C43" s="95"/>
      <c r="D43" s="251"/>
      <c r="E43" s="251"/>
      <c r="F43" s="251"/>
      <c r="G43" s="251"/>
      <c r="H43" s="251"/>
      <c r="I43" s="251"/>
      <c r="J43" s="252"/>
      <c r="K43" s="251"/>
      <c r="L43" s="251"/>
      <c r="M43" s="251"/>
      <c r="N43" s="253"/>
    </row>
    <row r="44" spans="1:16" ht="26.25" x14ac:dyDescent="0.4">
      <c r="A44" s="131" t="s">
        <v>95</v>
      </c>
      <c r="B44" s="29" t="s">
        <v>169</v>
      </c>
      <c r="C44" s="132" t="s">
        <v>47</v>
      </c>
      <c r="D44" s="215">
        <v>1</v>
      </c>
      <c r="E44" s="215">
        <f>26.16*0.85</f>
        <v>22.236000000000001</v>
      </c>
      <c r="F44" s="216">
        <f>D44*E44</f>
        <v>22.236000000000001</v>
      </c>
      <c r="G44" s="216">
        <f>F44*0.1</f>
        <v>2.2236000000000002</v>
      </c>
      <c r="H44" s="217"/>
      <c r="I44" s="254">
        <v>54.02</v>
      </c>
      <c r="J44" s="268">
        <f>0.586*5</f>
        <v>2.9299999999999997</v>
      </c>
      <c r="K44" s="216">
        <v>57.65</v>
      </c>
      <c r="L44" s="220">
        <f>(F44+G44+H44)*I44+J44*K44</f>
        <v>1490.222092</v>
      </c>
      <c r="M44" s="220">
        <f>1296+194</f>
        <v>1490</v>
      </c>
      <c r="N44" s="222">
        <f>-L44+M44</f>
        <v>-0.22209199999997509</v>
      </c>
    </row>
    <row r="45" spans="1:16" ht="26.25" x14ac:dyDescent="0.4">
      <c r="A45" s="133" t="s">
        <v>95</v>
      </c>
      <c r="B45" s="30" t="s">
        <v>176</v>
      </c>
      <c r="C45" s="4" t="s">
        <v>47</v>
      </c>
      <c r="D45" s="211">
        <v>1</v>
      </c>
      <c r="E45" s="211">
        <f>4.39*0.85</f>
        <v>3.7314999999999996</v>
      </c>
      <c r="F45" s="175">
        <f>D45*E45</f>
        <v>3.7314999999999996</v>
      </c>
      <c r="G45" s="175">
        <f>F45*0.1</f>
        <v>0.37314999999999998</v>
      </c>
      <c r="H45" s="176"/>
      <c r="I45" s="256">
        <v>54.02</v>
      </c>
      <c r="J45" s="257">
        <f>0.586</f>
        <v>0.58599999999999997</v>
      </c>
      <c r="K45" s="175">
        <v>57.65</v>
      </c>
      <c r="L45" s="180">
        <f>(F45+G45+H45)*I45+J45*K45</f>
        <v>255.51609299999996</v>
      </c>
      <c r="M45" s="180">
        <f>300-44</f>
        <v>256</v>
      </c>
      <c r="N45" s="245">
        <f>-L45+M45</f>
        <v>0.48390700000004472</v>
      </c>
      <c r="O45" s="277" t="s">
        <v>206</v>
      </c>
    </row>
    <row r="46" spans="1:16" ht="26.25" x14ac:dyDescent="0.4">
      <c r="A46" s="133" t="s">
        <v>95</v>
      </c>
      <c r="B46" s="30" t="s">
        <v>106</v>
      </c>
      <c r="C46" s="4" t="s">
        <v>47</v>
      </c>
      <c r="D46" s="211">
        <v>1</v>
      </c>
      <c r="E46" s="211">
        <f>4.78*0.85</f>
        <v>4.0629999999999997</v>
      </c>
      <c r="F46" s="175">
        <f>D46*E46</f>
        <v>4.0629999999999997</v>
      </c>
      <c r="G46" s="175">
        <f>F46*0.1</f>
        <v>0.40629999999999999</v>
      </c>
      <c r="H46" s="176"/>
      <c r="I46" s="258">
        <v>54.02</v>
      </c>
      <c r="J46" s="261">
        <f>0.586*2</f>
        <v>1.1719999999999999</v>
      </c>
      <c r="K46" s="175">
        <v>57.65</v>
      </c>
      <c r="L46" s="180">
        <f>(F46+G46+H46)*I46+J46*K46</f>
        <v>308.99738600000001</v>
      </c>
      <c r="M46" s="180">
        <f>237+72</f>
        <v>309</v>
      </c>
      <c r="N46" s="245">
        <f>-L46+M46</f>
        <v>2.613999999994121E-3</v>
      </c>
    </row>
    <row r="47" spans="1:16" ht="26.25" x14ac:dyDescent="0.4">
      <c r="A47" s="133" t="s">
        <v>95</v>
      </c>
      <c r="B47" s="30" t="s">
        <v>131</v>
      </c>
      <c r="C47" s="4" t="s">
        <v>47</v>
      </c>
      <c r="D47" s="211">
        <v>1</v>
      </c>
      <c r="E47" s="211">
        <f>22.46*0.85</f>
        <v>19.091000000000001</v>
      </c>
      <c r="F47" s="175">
        <f>D47*E47</f>
        <v>19.091000000000001</v>
      </c>
      <c r="G47" s="175">
        <f>F47*0.1</f>
        <v>1.9091000000000002</v>
      </c>
      <c r="H47" s="176"/>
      <c r="I47" s="176">
        <v>54.22</v>
      </c>
      <c r="J47" s="257">
        <f>2.44+0.586*3</f>
        <v>4.1980000000000004</v>
      </c>
      <c r="K47" s="175">
        <v>57.65</v>
      </c>
      <c r="L47" s="180">
        <f>(F47+G47+H47)*I47+J47*K47</f>
        <v>1380.640122</v>
      </c>
      <c r="M47" s="180">
        <f>1200+113</f>
        <v>1313</v>
      </c>
      <c r="N47" s="245">
        <f>-L47+M47</f>
        <v>-67.640122000000019</v>
      </c>
    </row>
    <row r="48" spans="1:16" ht="27" thickBot="1" x14ac:dyDescent="0.45">
      <c r="A48" s="134" t="s">
        <v>95</v>
      </c>
      <c r="B48" s="31" t="s">
        <v>155</v>
      </c>
      <c r="C48" s="8" t="s">
        <v>47</v>
      </c>
      <c r="D48" s="223">
        <v>1</v>
      </c>
      <c r="E48" s="223">
        <f>1.49*0.85</f>
        <v>1.2665</v>
      </c>
      <c r="F48" s="224">
        <f>D48*E48</f>
        <v>1.2665</v>
      </c>
      <c r="G48" s="224">
        <f>F48*0.1</f>
        <v>0.12665000000000001</v>
      </c>
      <c r="H48" s="225"/>
      <c r="I48" s="259">
        <v>55.15</v>
      </c>
      <c r="J48" s="260">
        <v>0.61</v>
      </c>
      <c r="K48" s="224">
        <v>57.65</v>
      </c>
      <c r="L48" s="229">
        <f>(F48+G48+H48)*I48+J48*K48</f>
        <v>111.99872249999999</v>
      </c>
      <c r="M48" s="229">
        <f>74+38</f>
        <v>112</v>
      </c>
      <c r="N48" s="230">
        <f>-L48+M48</f>
        <v>1.2775000000146974E-3</v>
      </c>
    </row>
    <row r="49" spans="1:14" ht="26.25" x14ac:dyDescent="0.4">
      <c r="A49" s="130" t="s">
        <v>165</v>
      </c>
      <c r="B49" s="28" t="s">
        <v>169</v>
      </c>
      <c r="C49" s="64" t="s">
        <v>171</v>
      </c>
      <c r="D49" s="204">
        <v>1</v>
      </c>
      <c r="E49" s="204">
        <v>59</v>
      </c>
      <c r="F49" s="205">
        <f t="shared" ref="F49:F50" si="20">D49*E49</f>
        <v>59</v>
      </c>
      <c r="G49" s="205">
        <f t="shared" ref="G49:G50" si="21">F49*0.1</f>
        <v>5.9</v>
      </c>
      <c r="H49" s="206"/>
      <c r="I49" s="256">
        <v>53.59</v>
      </c>
      <c r="J49" s="261">
        <v>1.0309999999999999</v>
      </c>
      <c r="K49" s="205">
        <v>57.65</v>
      </c>
      <c r="L49" s="209">
        <f t="shared" ref="L49:L50" si="22">(F49+G49+H49)*I49+J49*K49</f>
        <v>3537.4281500000006</v>
      </c>
      <c r="M49" s="209">
        <f>3310+227</f>
        <v>3537</v>
      </c>
      <c r="N49" s="210">
        <f t="shared" ref="N49:N50" si="23">-L49+M49</f>
        <v>-0.42815000000064174</v>
      </c>
    </row>
    <row r="50" spans="1:14" ht="27" thickBot="1" x14ac:dyDescent="0.45">
      <c r="A50" s="129" t="s">
        <v>165</v>
      </c>
      <c r="B50" s="27" t="s">
        <v>170</v>
      </c>
      <c r="C50" s="126" t="s">
        <v>172</v>
      </c>
      <c r="D50" s="213">
        <v>1</v>
      </c>
      <c r="E50" s="213">
        <v>16</v>
      </c>
      <c r="F50" s="182">
        <f t="shared" si="20"/>
        <v>16</v>
      </c>
      <c r="G50" s="182">
        <f t="shared" si="21"/>
        <v>1.6</v>
      </c>
      <c r="H50" s="183"/>
      <c r="I50" s="256">
        <v>53.59</v>
      </c>
      <c r="J50" s="261">
        <v>1.0309999999999999</v>
      </c>
      <c r="K50" s="182">
        <v>57.65</v>
      </c>
      <c r="L50" s="186">
        <f t="shared" si="22"/>
        <v>1002.6211500000001</v>
      </c>
      <c r="M50" s="186">
        <f>900+103</f>
        <v>1003</v>
      </c>
      <c r="N50" s="214">
        <f t="shared" si="23"/>
        <v>0.37884999999994307</v>
      </c>
    </row>
    <row r="51" spans="1:14" ht="26.25" x14ac:dyDescent="0.4">
      <c r="A51" s="131" t="s">
        <v>95</v>
      </c>
      <c r="B51" s="29" t="s">
        <v>190</v>
      </c>
      <c r="C51" s="297" t="s">
        <v>191</v>
      </c>
      <c r="D51" s="215">
        <v>1</v>
      </c>
      <c r="E51" s="215">
        <v>8.49</v>
      </c>
      <c r="F51" s="216">
        <f t="shared" ref="F51:F52" si="24">D51*E51</f>
        <v>8.49</v>
      </c>
      <c r="G51" s="216">
        <f t="shared" ref="G51:G52" si="25">F51*0.1</f>
        <v>0.84900000000000009</v>
      </c>
      <c r="H51" s="217"/>
      <c r="I51" s="262">
        <v>53.34</v>
      </c>
      <c r="J51" s="255">
        <v>6.3726702143249971</v>
      </c>
      <c r="K51" s="216">
        <v>57.65</v>
      </c>
      <c r="L51" s="220">
        <f t="shared" ref="L51:L52" si="26">(F51+G51+H51)*I51+J51*K51</f>
        <v>865.52669785583612</v>
      </c>
      <c r="M51" s="220">
        <f>509+357</f>
        <v>866</v>
      </c>
      <c r="N51" s="222">
        <f t="shared" ref="N51:N52" si="27">-L51+M51</f>
        <v>0.47330214416388117</v>
      </c>
    </row>
    <row r="52" spans="1:14" ht="26.25" x14ac:dyDescent="0.4">
      <c r="A52" s="133" t="s">
        <v>95</v>
      </c>
      <c r="B52" s="30" t="s">
        <v>188</v>
      </c>
      <c r="C52" s="298"/>
      <c r="D52" s="211">
        <v>2</v>
      </c>
      <c r="E52" s="211">
        <v>8.49</v>
      </c>
      <c r="F52" s="175">
        <f t="shared" si="24"/>
        <v>16.98</v>
      </c>
      <c r="G52" s="175">
        <f t="shared" si="25"/>
        <v>1.6980000000000002</v>
      </c>
      <c r="H52" s="176"/>
      <c r="I52" s="256">
        <v>53.34</v>
      </c>
      <c r="J52" s="257">
        <f>6.372670214325*D52</f>
        <v>12.74534042865</v>
      </c>
      <c r="K52" s="175">
        <v>57.65</v>
      </c>
      <c r="L52" s="180">
        <f t="shared" si="26"/>
        <v>1731.0533957116727</v>
      </c>
      <c r="M52" s="180">
        <f>1018+713</f>
        <v>1731</v>
      </c>
      <c r="N52" s="245">
        <f t="shared" si="27"/>
        <v>-5.3395711672692414E-2</v>
      </c>
    </row>
    <row r="53" spans="1:14" ht="26.25" x14ac:dyDescent="0.4">
      <c r="A53" s="133" t="s">
        <v>95</v>
      </c>
      <c r="B53" s="30" t="s">
        <v>169</v>
      </c>
      <c r="C53" s="298"/>
      <c r="D53" s="211">
        <v>1</v>
      </c>
      <c r="E53" s="211">
        <v>8.49</v>
      </c>
      <c r="F53" s="175">
        <f t="shared" ref="F53:F54" si="28">D53*E53</f>
        <v>8.49</v>
      </c>
      <c r="G53" s="175">
        <f t="shared" ref="G53:G54" si="29">F53*0.1</f>
        <v>0.84900000000000009</v>
      </c>
      <c r="H53" s="176"/>
      <c r="I53" s="256">
        <v>53.34</v>
      </c>
      <c r="J53" s="257">
        <v>6.3726702143249971</v>
      </c>
      <c r="K53" s="175">
        <v>57.65</v>
      </c>
      <c r="L53" s="180">
        <f t="shared" ref="L53:L54" si="30">(F53+G53+H53)*I53+J53*K53</f>
        <v>865.52669785583612</v>
      </c>
      <c r="M53" s="180">
        <f>509+357</f>
        <v>866</v>
      </c>
      <c r="N53" s="245">
        <f t="shared" ref="N53:N54" si="31">-L53+M53</f>
        <v>0.47330214416388117</v>
      </c>
    </row>
    <row r="54" spans="1:14" ht="27" thickBot="1" x14ac:dyDescent="0.45">
      <c r="A54" s="134" t="s">
        <v>95</v>
      </c>
      <c r="B54" s="31" t="s">
        <v>189</v>
      </c>
      <c r="C54" s="299"/>
      <c r="D54" s="223">
        <v>1</v>
      </c>
      <c r="E54" s="223">
        <v>8.49</v>
      </c>
      <c r="F54" s="224">
        <f t="shared" si="28"/>
        <v>8.49</v>
      </c>
      <c r="G54" s="224">
        <f t="shared" si="29"/>
        <v>0.84900000000000009</v>
      </c>
      <c r="H54" s="225"/>
      <c r="I54" s="259">
        <v>53.34</v>
      </c>
      <c r="J54" s="260">
        <v>6.3726702143249971</v>
      </c>
      <c r="K54" s="224">
        <v>57.65</v>
      </c>
      <c r="L54" s="229">
        <f t="shared" si="30"/>
        <v>865.52669785583612</v>
      </c>
      <c r="M54" s="229">
        <f>509+357</f>
        <v>866</v>
      </c>
      <c r="N54" s="230">
        <f t="shared" si="31"/>
        <v>0.47330214416388117</v>
      </c>
    </row>
    <row r="55" spans="1:14" ht="26.25" x14ac:dyDescent="0.4">
      <c r="A55" s="165" t="s">
        <v>185</v>
      </c>
      <c r="B55" s="29" t="s">
        <v>186</v>
      </c>
      <c r="C55" s="132" t="s">
        <v>17</v>
      </c>
      <c r="D55" s="215">
        <v>2</v>
      </c>
      <c r="E55" s="215">
        <f>4.5*0.95</f>
        <v>4.2749999999999995</v>
      </c>
      <c r="F55" s="216">
        <f>D55*E55</f>
        <v>8.5499999999999989</v>
      </c>
      <c r="G55" s="216">
        <f>F55*0.1</f>
        <v>0.85499999999999998</v>
      </c>
      <c r="H55" s="240"/>
      <c r="I55" s="262">
        <v>54.02</v>
      </c>
      <c r="J55" s="268">
        <f>0.138*D55</f>
        <v>0.27600000000000002</v>
      </c>
      <c r="K55" s="216">
        <v>57.65</v>
      </c>
      <c r="L55" s="220">
        <f>(F55+G55+H55)*I55+J55*K55</f>
        <v>523.96949999999993</v>
      </c>
      <c r="M55" s="220">
        <f>498+26</f>
        <v>524</v>
      </c>
      <c r="N55" s="222">
        <f>-L55+M55</f>
        <v>3.0500000000074579E-2</v>
      </c>
    </row>
    <row r="56" spans="1:14" ht="26.25" x14ac:dyDescent="0.4">
      <c r="A56" s="166" t="s">
        <v>185</v>
      </c>
      <c r="B56" s="30" t="s">
        <v>63</v>
      </c>
      <c r="C56" s="4" t="s">
        <v>17</v>
      </c>
      <c r="D56" s="211">
        <v>8</v>
      </c>
      <c r="E56" s="211">
        <f t="shared" ref="E56:E57" si="32">4.5*0.95</f>
        <v>4.2749999999999995</v>
      </c>
      <c r="F56" s="175">
        <f>D56*E56</f>
        <v>34.199999999999996</v>
      </c>
      <c r="G56" s="175">
        <f>F56*0.1</f>
        <v>3.42</v>
      </c>
      <c r="H56" s="176"/>
      <c r="I56" s="258">
        <v>54.02</v>
      </c>
      <c r="J56" s="257">
        <f t="shared" ref="J56:J57" si="33">0.138*D56</f>
        <v>1.1040000000000001</v>
      </c>
      <c r="K56" s="175">
        <v>57.65</v>
      </c>
      <c r="L56" s="180">
        <f>(F56+G56+H56)*I56+J56*K56</f>
        <v>2095.8779999999997</v>
      </c>
      <c r="M56" s="180">
        <f>1994+102</f>
        <v>2096</v>
      </c>
      <c r="N56" s="245">
        <f>-L56+M56</f>
        <v>0.12200000000029831</v>
      </c>
    </row>
    <row r="57" spans="1:14" ht="27" thickBot="1" x14ac:dyDescent="0.45">
      <c r="A57" s="167" t="s">
        <v>185</v>
      </c>
      <c r="B57" s="31" t="s">
        <v>187</v>
      </c>
      <c r="C57" s="8" t="s">
        <v>17</v>
      </c>
      <c r="D57" s="223">
        <v>4</v>
      </c>
      <c r="E57" s="223">
        <f t="shared" si="32"/>
        <v>4.2749999999999995</v>
      </c>
      <c r="F57" s="224">
        <f>D57*E57</f>
        <v>17.099999999999998</v>
      </c>
      <c r="G57" s="224">
        <f>F57*0.1</f>
        <v>1.71</v>
      </c>
      <c r="H57" s="206"/>
      <c r="I57" s="263">
        <v>54.02</v>
      </c>
      <c r="J57" s="261">
        <f t="shared" si="33"/>
        <v>0.55200000000000005</v>
      </c>
      <c r="K57" s="224">
        <v>57.65</v>
      </c>
      <c r="L57" s="229">
        <f>(F57+G57+H57)*I57+J57*K57</f>
        <v>1047.9389999999999</v>
      </c>
      <c r="M57" s="229">
        <f>997+57</f>
        <v>1054</v>
      </c>
      <c r="N57" s="230">
        <f>-L57+M57</f>
        <v>6.0610000000001492</v>
      </c>
    </row>
    <row r="58" spans="1:14" ht="26.25" x14ac:dyDescent="0.4">
      <c r="A58" s="153" t="s">
        <v>52</v>
      </c>
      <c r="B58" s="29" t="s">
        <v>182</v>
      </c>
      <c r="C58" s="132" t="s">
        <v>38</v>
      </c>
      <c r="D58" s="215">
        <v>1</v>
      </c>
      <c r="E58" s="215">
        <v>15.99</v>
      </c>
      <c r="F58" s="216">
        <f>D58*E58</f>
        <v>15.99</v>
      </c>
      <c r="G58" s="216">
        <v>0</v>
      </c>
      <c r="H58" s="217"/>
      <c r="I58" s="262">
        <v>54.02</v>
      </c>
      <c r="J58" s="255">
        <v>0.78500000000000003</v>
      </c>
      <c r="K58" s="216">
        <v>57.65</v>
      </c>
      <c r="L58" s="220">
        <f>(F58+G58+H58)*I58+J58*K58</f>
        <v>909.03505000000007</v>
      </c>
      <c r="M58" s="220">
        <v>932</v>
      </c>
      <c r="N58" s="222">
        <f>-L58+M58</f>
        <v>22.964949999999931</v>
      </c>
    </row>
    <row r="59" spans="1:14" ht="27" thickBot="1" x14ac:dyDescent="0.45">
      <c r="A59" s="154" t="s">
        <v>52</v>
      </c>
      <c r="B59" s="31" t="s">
        <v>183</v>
      </c>
      <c r="C59" s="8" t="s">
        <v>184</v>
      </c>
      <c r="D59" s="223">
        <v>2</v>
      </c>
      <c r="E59" s="223">
        <v>14</v>
      </c>
      <c r="F59" s="224">
        <f t="shared" ref="F59" si="34">D59*E59</f>
        <v>28</v>
      </c>
      <c r="G59" s="224">
        <f t="shared" ref="G59" si="35">F59*0.1</f>
        <v>2.8000000000000003</v>
      </c>
      <c r="H59" s="225"/>
      <c r="I59" s="259">
        <v>54.02</v>
      </c>
      <c r="J59" s="261">
        <v>0.78500000000000003</v>
      </c>
      <c r="K59" s="224">
        <v>57.65</v>
      </c>
      <c r="L59" s="229">
        <f t="shared" ref="L59" si="36">(F59+G59+H59)*I59+J59*K59</f>
        <v>1709.07125</v>
      </c>
      <c r="M59" s="229">
        <f>1632+77</f>
        <v>1709</v>
      </c>
      <c r="N59" s="230">
        <f t="shared" ref="N59" si="37">-L59+M59</f>
        <v>-7.124999999996362E-2</v>
      </c>
    </row>
    <row r="60" spans="1:14" ht="33" thickBot="1" x14ac:dyDescent="0.45">
      <c r="A60" s="169" t="s">
        <v>177</v>
      </c>
      <c r="B60" s="59" t="s">
        <v>178</v>
      </c>
      <c r="C60" s="157" t="s">
        <v>179</v>
      </c>
      <c r="D60" s="202">
        <v>1</v>
      </c>
      <c r="E60" s="202">
        <v>127</v>
      </c>
      <c r="F60" s="189">
        <f t="shared" ref="F60" si="38">D60*E60</f>
        <v>127</v>
      </c>
      <c r="G60" s="189">
        <f t="shared" ref="G60" si="39">F60*0.1</f>
        <v>12.700000000000001</v>
      </c>
      <c r="H60" s="190"/>
      <c r="I60" s="264" t="s">
        <v>192</v>
      </c>
      <c r="J60" s="265">
        <v>6.34</v>
      </c>
      <c r="K60" s="189">
        <v>57.65</v>
      </c>
      <c r="L60" s="194">
        <f>(31.67*2+31.99)*1.1*57.86+31.67*1.1*60.62+J60*K60</f>
        <v>8544.6931199999999</v>
      </c>
      <c r="M60" s="194">
        <f>7265+1280</f>
        <v>8545</v>
      </c>
      <c r="N60" s="266">
        <f t="shared" ref="N60" si="40">-L60+M60</f>
        <v>0.30688000000009197</v>
      </c>
    </row>
    <row r="61" spans="1:14" ht="26.25" x14ac:dyDescent="0.4">
      <c r="A61" s="168" t="s">
        <v>166</v>
      </c>
      <c r="B61" s="28" t="s">
        <v>167</v>
      </c>
      <c r="C61" s="64" t="s">
        <v>168</v>
      </c>
      <c r="D61" s="204">
        <v>1</v>
      </c>
      <c r="E61" s="204">
        <v>76</v>
      </c>
      <c r="F61" s="205">
        <f>D61*E61</f>
        <v>76</v>
      </c>
      <c r="G61" s="205">
        <f>F61*0.1</f>
        <v>7.6000000000000005</v>
      </c>
      <c r="H61" s="206"/>
      <c r="I61" s="258">
        <v>55.31</v>
      </c>
      <c r="J61" s="267">
        <v>3.7760893921654213</v>
      </c>
      <c r="K61" s="205">
        <v>57.65</v>
      </c>
      <c r="L61" s="209">
        <f>(F61+G61+H61)*I61+J61*K61</f>
        <v>4841.607553458337</v>
      </c>
      <c r="M61" s="209">
        <f>4290+551</f>
        <v>4841</v>
      </c>
      <c r="N61" s="210">
        <f>-L61+M61</f>
        <v>-0.60755345833695173</v>
      </c>
    </row>
    <row r="62" spans="1:14" ht="26.25" x14ac:dyDescent="0.4">
      <c r="A62" s="125" t="s">
        <v>166</v>
      </c>
      <c r="B62" s="30" t="s">
        <v>175</v>
      </c>
      <c r="C62" s="2" t="s">
        <v>168</v>
      </c>
      <c r="D62" s="211">
        <v>1</v>
      </c>
      <c r="E62" s="211">
        <v>84.8</v>
      </c>
      <c r="F62" s="175">
        <f>D62*E62</f>
        <v>84.8</v>
      </c>
      <c r="G62" s="175">
        <f>F62*0.1</f>
        <v>8.48</v>
      </c>
      <c r="H62" s="176"/>
      <c r="I62" s="256">
        <v>53.59</v>
      </c>
      <c r="J62" s="267">
        <v>3.4339194796067432</v>
      </c>
      <c r="K62" s="175">
        <v>57.65</v>
      </c>
      <c r="L62" s="180">
        <f>(F62+G62+H62)*I62+J62*K62</f>
        <v>5196.8406579993289</v>
      </c>
      <c r="M62" s="180">
        <f>4850+347</f>
        <v>5197</v>
      </c>
      <c r="N62" s="212">
        <f>-L62+M62</f>
        <v>0.15934200067113125</v>
      </c>
    </row>
    <row r="65" spans="1:3" ht="21" x14ac:dyDescent="0.35">
      <c r="A65" s="104"/>
    </row>
    <row r="66" spans="1:3" ht="18.75" x14ac:dyDescent="0.3">
      <c r="A66" s="270" t="s">
        <v>201</v>
      </c>
      <c r="B66" s="270" t="s">
        <v>202</v>
      </c>
      <c r="C66" s="271"/>
    </row>
    <row r="67" spans="1:3" ht="18.75" x14ac:dyDescent="0.3">
      <c r="A67" s="272" t="s">
        <v>153</v>
      </c>
      <c r="B67" s="273">
        <f>'4'!N29</f>
        <v>0.14130000000000109</v>
      </c>
      <c r="C67" s="274" t="s">
        <v>204</v>
      </c>
    </row>
    <row r="68" spans="1:3" ht="18.75" x14ac:dyDescent="0.3">
      <c r="A68" s="272" t="s">
        <v>120</v>
      </c>
      <c r="B68" s="273">
        <f>'4'!N8</f>
        <v>0.4090000000001055</v>
      </c>
      <c r="C68" s="271"/>
    </row>
    <row r="69" spans="1:3" ht="18.75" x14ac:dyDescent="0.3">
      <c r="A69" s="272" t="s">
        <v>154</v>
      </c>
      <c r="B69" s="273">
        <f>'4'!N30</f>
        <v>0.4598999999999478</v>
      </c>
      <c r="C69" s="271"/>
    </row>
    <row r="70" spans="1:3" ht="18.75" x14ac:dyDescent="0.3">
      <c r="A70" s="272" t="s">
        <v>86</v>
      </c>
      <c r="B70" s="273">
        <f>'4'!N12</f>
        <v>-0.15737000000001444</v>
      </c>
      <c r="C70" s="271"/>
    </row>
    <row r="71" spans="1:3" ht="18.75" x14ac:dyDescent="0.3">
      <c r="A71" s="272" t="s">
        <v>110</v>
      </c>
      <c r="B71" s="273">
        <f>'4'!N11+'4'!N24+'4'!N33</f>
        <v>-0.48338999999987209</v>
      </c>
      <c r="C71" s="271"/>
    </row>
    <row r="72" spans="1:3" ht="18.75" x14ac:dyDescent="0.3">
      <c r="A72" s="272" t="s">
        <v>173</v>
      </c>
      <c r="B72" s="273">
        <f>'4'!N41</f>
        <v>-0.46134000000006381</v>
      </c>
      <c r="C72" s="271"/>
    </row>
    <row r="73" spans="1:3" ht="18.75" x14ac:dyDescent="0.3">
      <c r="A73" s="272" t="s">
        <v>170</v>
      </c>
      <c r="B73" s="273">
        <f>'4'!N50</f>
        <v>0.37884999999994307</v>
      </c>
      <c r="C73" s="271"/>
    </row>
    <row r="74" spans="1:3" ht="18.75" x14ac:dyDescent="0.3">
      <c r="A74" s="272" t="s">
        <v>130</v>
      </c>
      <c r="B74" s="273">
        <f>'4'!N15+'4'!N20+'4'!N42</f>
        <v>0.11450000000058935</v>
      </c>
      <c r="C74" s="271"/>
    </row>
    <row r="75" spans="1:3" ht="18.75" x14ac:dyDescent="0.3">
      <c r="A75" s="272" t="s">
        <v>131</v>
      </c>
      <c r="B75" s="273">
        <f>'4'!N17+'4'!N19+'4'!N40+'4'!N47</f>
        <v>-0.32482199999935801</v>
      </c>
      <c r="C75" s="271"/>
    </row>
    <row r="76" spans="1:3" ht="18.75" x14ac:dyDescent="0.3">
      <c r="A76" s="272" t="s">
        <v>163</v>
      </c>
      <c r="B76" s="273">
        <f>'4'!N37</f>
        <v>5.3000000000054115E-2</v>
      </c>
      <c r="C76" s="271"/>
    </row>
    <row r="77" spans="1:3" ht="18.75" x14ac:dyDescent="0.3">
      <c r="A77" s="272" t="s">
        <v>156</v>
      </c>
      <c r="B77" s="273">
        <f>'4'!N32</f>
        <v>0.48630000000048312</v>
      </c>
      <c r="C77" s="271"/>
    </row>
    <row r="78" spans="1:3" ht="18.75" x14ac:dyDescent="0.3">
      <c r="A78" s="272" t="s">
        <v>190</v>
      </c>
      <c r="B78" s="273">
        <f>'4'!N51</f>
        <v>0.47330214416388117</v>
      </c>
      <c r="C78" s="271"/>
    </row>
    <row r="79" spans="1:3" ht="18.75" x14ac:dyDescent="0.3">
      <c r="A79" s="272" t="s">
        <v>186</v>
      </c>
      <c r="B79" s="273">
        <f>'4'!N55+'4'!N59</f>
        <v>-4.0749999999889042E-2</v>
      </c>
      <c r="C79" s="271"/>
    </row>
    <row r="80" spans="1:3" ht="18.75" x14ac:dyDescent="0.3">
      <c r="A80" s="272" t="s">
        <v>164</v>
      </c>
      <c r="B80" s="273">
        <f>'4'!N39</f>
        <v>2.6500000000027057E-2</v>
      </c>
      <c r="C80" s="271"/>
    </row>
    <row r="81" spans="1:3" ht="18.75" x14ac:dyDescent="0.3">
      <c r="A81" s="272" t="s">
        <v>76</v>
      </c>
      <c r="B81" s="273">
        <f>'4'!N9+'4'!N27</f>
        <v>0.72260000000005675</v>
      </c>
      <c r="C81" s="271"/>
    </row>
    <row r="82" spans="1:3" ht="18.75" x14ac:dyDescent="0.3">
      <c r="A82" s="272" t="s">
        <v>187</v>
      </c>
      <c r="B82" s="273">
        <f>'4'!N57</f>
        <v>6.0610000000001492</v>
      </c>
      <c r="C82" s="271"/>
    </row>
    <row r="83" spans="1:3" ht="18.75" x14ac:dyDescent="0.3">
      <c r="A83" s="272" t="s">
        <v>162</v>
      </c>
      <c r="B83" s="273">
        <f>'4'!N36</f>
        <v>-7.0600000000013097E-2</v>
      </c>
      <c r="C83" s="271"/>
    </row>
    <row r="84" spans="1:3" ht="18.75" x14ac:dyDescent="0.3">
      <c r="A84" s="272" t="s">
        <v>63</v>
      </c>
      <c r="B84" s="273">
        <f>'4'!N56</f>
        <v>0.12200000000029831</v>
      </c>
      <c r="C84" s="271"/>
    </row>
    <row r="85" spans="1:3" ht="18.75" x14ac:dyDescent="0.3">
      <c r="A85" s="272" t="s">
        <v>155</v>
      </c>
      <c r="B85" s="273">
        <f>'4'!N31+'4'!N38+'4'!N48</f>
        <v>0.63037749999989501</v>
      </c>
      <c r="C85" s="271"/>
    </row>
    <row r="86" spans="1:3" ht="18.75" x14ac:dyDescent="0.3">
      <c r="A86" s="272" t="s">
        <v>167</v>
      </c>
      <c r="B86" s="273">
        <f>'4'!N61</f>
        <v>-0.60755345833695173</v>
      </c>
      <c r="C86" s="271"/>
    </row>
    <row r="87" spans="1:3" ht="18.75" x14ac:dyDescent="0.3">
      <c r="A87" s="272" t="s">
        <v>128</v>
      </c>
      <c r="B87" s="273">
        <f>'4'!N13+'4'!N25</f>
        <v>0.20685000000003129</v>
      </c>
      <c r="C87" s="271"/>
    </row>
    <row r="88" spans="1:3" ht="18.75" x14ac:dyDescent="0.3">
      <c r="A88" s="272" t="s">
        <v>188</v>
      </c>
      <c r="B88" s="273">
        <f>'4'!N52</f>
        <v>-5.3395711672692414E-2</v>
      </c>
      <c r="C88" s="271"/>
    </row>
    <row r="89" spans="1:3" ht="18.75" x14ac:dyDescent="0.3">
      <c r="A89" s="272" t="s">
        <v>106</v>
      </c>
      <c r="B89" s="273">
        <f>'4'!N28+'4'!N46</f>
        <v>-0.16328599999997095</v>
      </c>
      <c r="C89" s="271"/>
    </row>
    <row r="90" spans="1:3" ht="18.75" x14ac:dyDescent="0.3">
      <c r="A90" s="272" t="s">
        <v>132</v>
      </c>
      <c r="B90" s="273">
        <f>'4'!N18</f>
        <v>-0.39945000000000164</v>
      </c>
      <c r="C90" s="271"/>
    </row>
    <row r="91" spans="1:3" ht="18.75" x14ac:dyDescent="0.3">
      <c r="A91" s="272" t="s">
        <v>169</v>
      </c>
      <c r="B91" s="273">
        <f>'4'!N44+'4'!N49+'4'!N53</f>
        <v>-0.17693985583673566</v>
      </c>
      <c r="C91" s="271"/>
    </row>
    <row r="92" spans="1:3" ht="18.75" x14ac:dyDescent="0.3">
      <c r="A92" s="272" t="s">
        <v>176</v>
      </c>
      <c r="B92" s="275">
        <f>'4'!N45</f>
        <v>0.48390700000004472</v>
      </c>
      <c r="C92" s="271" t="s">
        <v>205</v>
      </c>
    </row>
    <row r="93" spans="1:3" ht="18.75" x14ac:dyDescent="0.3">
      <c r="A93" s="272" t="s">
        <v>189</v>
      </c>
      <c r="B93" s="273">
        <f>'4'!N54</f>
        <v>0.47330214416388117</v>
      </c>
      <c r="C93" s="271"/>
    </row>
    <row r="94" spans="1:3" ht="18.75" x14ac:dyDescent="0.3">
      <c r="A94" s="272" t="s">
        <v>161</v>
      </c>
      <c r="B94" s="273">
        <f>'4'!N35</f>
        <v>0.2178000000000111</v>
      </c>
      <c r="C94" s="271"/>
    </row>
    <row r="95" spans="1:3" ht="18.75" x14ac:dyDescent="0.3">
      <c r="A95" s="272" t="s">
        <v>175</v>
      </c>
      <c r="B95" s="273">
        <f>'4'!N62</f>
        <v>0.15934200067113125</v>
      </c>
      <c r="C95" s="271"/>
    </row>
    <row r="96" spans="1:3" ht="18.75" x14ac:dyDescent="0.3">
      <c r="A96" s="272" t="s">
        <v>178</v>
      </c>
      <c r="B96" s="273">
        <f>'4'!N60</f>
        <v>0.30688000000009197</v>
      </c>
      <c r="C96" s="271"/>
    </row>
    <row r="97" spans="1:3" ht="18.75" x14ac:dyDescent="0.3">
      <c r="A97" s="272" t="s">
        <v>129</v>
      </c>
      <c r="B97" s="273">
        <f>'4'!N14</f>
        <v>-0.45740000000000691</v>
      </c>
      <c r="C97" s="271"/>
    </row>
    <row r="98" spans="1:3" ht="18.75" x14ac:dyDescent="0.3">
      <c r="A98" s="272" t="s">
        <v>11</v>
      </c>
      <c r="B98" s="273">
        <f>'4'!N16+'4'!N22+'4'!N23</f>
        <v>-0.10749999999984539</v>
      </c>
      <c r="C98" s="271"/>
    </row>
    <row r="99" spans="1:3" ht="18.75" x14ac:dyDescent="0.3">
      <c r="A99" s="272" t="s">
        <v>142</v>
      </c>
      <c r="B99" s="273">
        <f>'4'!N21</f>
        <v>-2.426000000014028E-2</v>
      </c>
      <c r="C99" s="271"/>
    </row>
    <row r="100" spans="1:3" ht="18.75" x14ac:dyDescent="0.3">
      <c r="A100" s="272" t="s">
        <v>121</v>
      </c>
      <c r="B100" s="273">
        <f>'4'!N10</f>
        <v>1.74350000000004</v>
      </c>
      <c r="C100" s="271"/>
    </row>
    <row r="101" spans="1:3" ht="18.75" x14ac:dyDescent="0.3">
      <c r="A101" s="272" t="s">
        <v>182</v>
      </c>
      <c r="B101" s="273">
        <f>'4'!N58</f>
        <v>22.964949999999931</v>
      </c>
      <c r="C101" s="271"/>
    </row>
    <row r="102" spans="1:3" ht="18.75" x14ac:dyDescent="0.3">
      <c r="A102" s="272" t="s">
        <v>19</v>
      </c>
      <c r="B102" s="273">
        <f>'4'!N26+'4'!N34</f>
        <v>-0.27875000000000227</v>
      </c>
      <c r="C102" s="271"/>
    </row>
  </sheetData>
  <mergeCells count="1">
    <mergeCell ref="C51:C54"/>
  </mergeCells>
  <hyperlinks>
    <hyperlink ref="B39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7"/>
  <sheetViews>
    <sheetView topLeftCell="A19" zoomScale="70" zoomScaleNormal="70" workbookViewId="0">
      <selection activeCell="M23" sqref="M23"/>
    </sheetView>
  </sheetViews>
  <sheetFormatPr defaultRowHeight="15" x14ac:dyDescent="0.25"/>
  <cols>
    <col min="1" max="1" width="35.28515625" customWidth="1"/>
    <col min="2" max="2" width="18.5703125" customWidth="1"/>
    <col min="3" max="3" width="21.42578125" customWidth="1"/>
    <col min="13" max="13" width="15.28515625" customWidth="1"/>
  </cols>
  <sheetData>
    <row r="1" spans="1:14" ht="28.5" x14ac:dyDescent="0.45">
      <c r="A1" s="91" t="s">
        <v>68</v>
      </c>
      <c r="C1" s="269"/>
      <c r="J1" s="170"/>
    </row>
    <row r="2" spans="1:14" ht="23.25" x14ac:dyDescent="0.35">
      <c r="A2" s="90" t="s">
        <v>69</v>
      </c>
      <c r="J2" s="170"/>
    </row>
    <row r="3" spans="1:14" ht="23.25" x14ac:dyDescent="0.35">
      <c r="A3" s="90" t="s">
        <v>71</v>
      </c>
      <c r="J3" s="170"/>
    </row>
    <row r="4" spans="1:14" ht="23.25" x14ac:dyDescent="0.35">
      <c r="A4" s="90" t="s">
        <v>70</v>
      </c>
      <c r="J4" s="170"/>
    </row>
    <row r="5" spans="1:14" x14ac:dyDescent="0.25">
      <c r="A5" s="280"/>
      <c r="B5" s="280"/>
      <c r="C5" s="280"/>
      <c r="D5" s="280"/>
      <c r="E5" s="280"/>
      <c r="F5" s="280"/>
      <c r="G5" s="280"/>
      <c r="H5" s="280"/>
      <c r="I5" s="280"/>
      <c r="J5" s="172"/>
      <c r="K5" s="280"/>
      <c r="L5" s="280"/>
      <c r="M5" s="280"/>
      <c r="N5" s="280"/>
    </row>
    <row r="6" spans="1:14" ht="45" x14ac:dyDescent="0.25">
      <c r="A6" s="116" t="s">
        <v>53</v>
      </c>
      <c r="B6" s="116" t="s">
        <v>0</v>
      </c>
      <c r="C6" s="116" t="s">
        <v>1</v>
      </c>
      <c r="D6" s="116" t="s">
        <v>2</v>
      </c>
      <c r="E6" s="116" t="s">
        <v>196</v>
      </c>
      <c r="F6" s="116" t="s">
        <v>197</v>
      </c>
      <c r="G6" s="116" t="s">
        <v>5</v>
      </c>
      <c r="H6" s="116" t="s">
        <v>195</v>
      </c>
      <c r="I6" s="116" t="s">
        <v>56</v>
      </c>
      <c r="J6" s="281" t="s">
        <v>194</v>
      </c>
      <c r="K6" s="116" t="s">
        <v>58</v>
      </c>
      <c r="L6" s="116" t="s">
        <v>199</v>
      </c>
      <c r="M6" s="116" t="s">
        <v>198</v>
      </c>
      <c r="N6" s="116" t="s">
        <v>200</v>
      </c>
    </row>
    <row r="7" spans="1:14" ht="47.25" x14ac:dyDescent="0.4">
      <c r="A7" s="282" t="s">
        <v>23</v>
      </c>
      <c r="B7" s="84" t="s">
        <v>169</v>
      </c>
      <c r="C7" s="2" t="s">
        <v>212</v>
      </c>
      <c r="D7" s="175"/>
      <c r="E7" s="175"/>
      <c r="F7" s="175">
        <v>8</v>
      </c>
      <c r="G7" s="175">
        <f t="shared" ref="G7:G35" si="0">F7*0.1</f>
        <v>0.8</v>
      </c>
      <c r="H7" s="176">
        <f>0.4*3</f>
        <v>1.2000000000000002</v>
      </c>
      <c r="I7" s="278">
        <v>62.49</v>
      </c>
      <c r="J7" s="278"/>
      <c r="K7" s="175">
        <v>53.86</v>
      </c>
      <c r="L7" s="180">
        <f>(F7+G7+H7)*I7+J7*K7</f>
        <v>624.9</v>
      </c>
      <c r="M7" s="180">
        <f>550+75</f>
        <v>625</v>
      </c>
      <c r="N7" s="181">
        <f>-L7+M7</f>
        <v>0.10000000000002274</v>
      </c>
    </row>
    <row r="8" spans="1:14" ht="32.25" x14ac:dyDescent="0.4">
      <c r="A8" s="282" t="s">
        <v>23</v>
      </c>
      <c r="B8" s="84" t="s">
        <v>207</v>
      </c>
      <c r="C8" s="2" t="s">
        <v>213</v>
      </c>
      <c r="D8" s="175"/>
      <c r="E8" s="175"/>
      <c r="F8" s="175">
        <v>2</v>
      </c>
      <c r="G8" s="175">
        <f t="shared" si="0"/>
        <v>0.2</v>
      </c>
      <c r="H8" s="176">
        <f>0.4*2</f>
        <v>0.8</v>
      </c>
      <c r="I8" s="278">
        <v>62.49</v>
      </c>
      <c r="J8" s="278"/>
      <c r="K8" s="175">
        <v>53.86</v>
      </c>
      <c r="L8" s="180">
        <f t="shared" ref="L8:L35" si="1">(F8+G8+H8)*I8+J8*K8</f>
        <v>187.47</v>
      </c>
      <c r="M8" s="248">
        <f>140+47</f>
        <v>187</v>
      </c>
      <c r="N8" s="181">
        <f t="shared" ref="N8:N31" si="2">-L8+M8</f>
        <v>-0.46999999999999886</v>
      </c>
    </row>
    <row r="9" spans="1:14" ht="32.25" x14ac:dyDescent="0.4">
      <c r="A9" s="282" t="s">
        <v>23</v>
      </c>
      <c r="B9" s="84" t="s">
        <v>208</v>
      </c>
      <c r="C9" s="2" t="s">
        <v>214</v>
      </c>
      <c r="D9" s="175"/>
      <c r="E9" s="175"/>
      <c r="F9" s="175">
        <v>2</v>
      </c>
      <c r="G9" s="175">
        <f t="shared" si="0"/>
        <v>0.2</v>
      </c>
      <c r="H9" s="176">
        <f>0.4*2</f>
        <v>0.8</v>
      </c>
      <c r="I9" s="278">
        <v>62.49</v>
      </c>
      <c r="J9" s="278"/>
      <c r="K9" s="175">
        <v>53.86</v>
      </c>
      <c r="L9" s="180">
        <f t="shared" si="1"/>
        <v>187.47</v>
      </c>
      <c r="M9" s="180">
        <f>138+49</f>
        <v>187</v>
      </c>
      <c r="N9" s="181">
        <f t="shared" si="2"/>
        <v>-0.46999999999999886</v>
      </c>
    </row>
    <row r="10" spans="1:14" ht="26.25" x14ac:dyDescent="0.4">
      <c r="A10" s="282" t="s">
        <v>23</v>
      </c>
      <c r="B10" s="84" t="s">
        <v>209</v>
      </c>
      <c r="C10" s="2" t="s">
        <v>215</v>
      </c>
      <c r="D10" s="175"/>
      <c r="E10" s="175"/>
      <c r="F10" s="175">
        <v>1</v>
      </c>
      <c r="G10" s="175">
        <f t="shared" si="0"/>
        <v>0.1</v>
      </c>
      <c r="H10" s="176">
        <f>0.4</f>
        <v>0.4</v>
      </c>
      <c r="I10" s="278">
        <v>62.49</v>
      </c>
      <c r="J10" s="278"/>
      <c r="K10" s="175">
        <v>53.86</v>
      </c>
      <c r="L10" s="180">
        <f t="shared" si="1"/>
        <v>93.734999999999999</v>
      </c>
      <c r="M10" s="180">
        <f>70+24</f>
        <v>94</v>
      </c>
      <c r="N10" s="212">
        <f t="shared" si="2"/>
        <v>0.26500000000000057</v>
      </c>
    </row>
    <row r="11" spans="1:14" ht="47.25" x14ac:dyDescent="0.4">
      <c r="A11" s="282" t="s">
        <v>23</v>
      </c>
      <c r="B11" s="84" t="s">
        <v>210</v>
      </c>
      <c r="C11" s="2" t="s">
        <v>216</v>
      </c>
      <c r="D11" s="211"/>
      <c r="E11" s="211"/>
      <c r="F11" s="175">
        <v>3</v>
      </c>
      <c r="G11" s="175">
        <f t="shared" si="0"/>
        <v>0.30000000000000004</v>
      </c>
      <c r="H11" s="176">
        <f>0.4*3</f>
        <v>1.2000000000000002</v>
      </c>
      <c r="I11" s="278">
        <v>62.49</v>
      </c>
      <c r="J11" s="278"/>
      <c r="K11" s="175">
        <v>53.86</v>
      </c>
      <c r="L11" s="180">
        <f t="shared" si="1"/>
        <v>281.20499999999998</v>
      </c>
      <c r="M11" s="180">
        <f>206+75</f>
        <v>281</v>
      </c>
      <c r="N11" s="212">
        <f t="shared" si="2"/>
        <v>-0.20499999999998408</v>
      </c>
    </row>
    <row r="12" spans="1:14" ht="32.25" x14ac:dyDescent="0.4">
      <c r="A12" s="282" t="s">
        <v>23</v>
      </c>
      <c r="B12" s="84" t="s">
        <v>211</v>
      </c>
      <c r="C12" s="2" t="s">
        <v>217</v>
      </c>
      <c r="D12" s="211"/>
      <c r="E12" s="211"/>
      <c r="F12" s="175">
        <v>2</v>
      </c>
      <c r="G12" s="175">
        <f t="shared" si="0"/>
        <v>0.2</v>
      </c>
      <c r="H12" s="176">
        <f>0.4*2</f>
        <v>0.8</v>
      </c>
      <c r="I12" s="278">
        <v>62.49</v>
      </c>
      <c r="J12" s="278"/>
      <c r="K12" s="175">
        <v>53.86</v>
      </c>
      <c r="L12" s="180">
        <f t="shared" si="1"/>
        <v>187.47</v>
      </c>
      <c r="M12" s="180">
        <f>150+37</f>
        <v>187</v>
      </c>
      <c r="N12" s="212">
        <f t="shared" si="2"/>
        <v>-0.46999999999999886</v>
      </c>
    </row>
    <row r="13" spans="1:14" ht="32.25" x14ac:dyDescent="0.4">
      <c r="A13" s="282" t="s">
        <v>23</v>
      </c>
      <c r="B13" s="84" t="s">
        <v>188</v>
      </c>
      <c r="C13" s="2" t="s">
        <v>218</v>
      </c>
      <c r="D13" s="211"/>
      <c r="E13" s="211"/>
      <c r="F13" s="175">
        <v>2</v>
      </c>
      <c r="G13" s="175">
        <f t="shared" si="0"/>
        <v>0.2</v>
      </c>
      <c r="H13" s="176">
        <f>0.4*2</f>
        <v>0.8</v>
      </c>
      <c r="I13" s="278">
        <v>62.49</v>
      </c>
      <c r="J13" s="278"/>
      <c r="K13" s="175">
        <v>53.86</v>
      </c>
      <c r="L13" s="180">
        <f t="shared" si="1"/>
        <v>187.47</v>
      </c>
      <c r="M13" s="180">
        <f>138+49</f>
        <v>187</v>
      </c>
      <c r="N13" s="212">
        <f t="shared" si="2"/>
        <v>-0.46999999999999886</v>
      </c>
    </row>
    <row r="14" spans="1:14" ht="47.25" x14ac:dyDescent="0.4">
      <c r="A14" s="283" t="s">
        <v>22</v>
      </c>
      <c r="B14" s="84" t="s">
        <v>219</v>
      </c>
      <c r="C14" s="2" t="s">
        <v>224</v>
      </c>
      <c r="D14" s="211">
        <v>1</v>
      </c>
      <c r="E14" s="211">
        <v>21.98</v>
      </c>
      <c r="F14" s="175">
        <f t="shared" ref="F14:F35" si="3">D14*E14</f>
        <v>21.98</v>
      </c>
      <c r="G14" s="175">
        <f t="shared" si="0"/>
        <v>2.198</v>
      </c>
      <c r="H14" s="176">
        <v>0.61</v>
      </c>
      <c r="I14" s="278">
        <v>62.52</v>
      </c>
      <c r="J14" s="278"/>
      <c r="K14" s="175">
        <v>53.86</v>
      </c>
      <c r="L14" s="180">
        <f t="shared" si="1"/>
        <v>1549.74576</v>
      </c>
      <c r="M14" s="248">
        <v>1512</v>
      </c>
      <c r="N14" s="212">
        <f t="shared" si="2"/>
        <v>-37.745760000000018</v>
      </c>
    </row>
    <row r="15" spans="1:14" ht="32.25" x14ac:dyDescent="0.4">
      <c r="A15" s="283" t="s">
        <v>22</v>
      </c>
      <c r="B15" s="84" t="s">
        <v>220</v>
      </c>
      <c r="C15" s="2" t="s">
        <v>225</v>
      </c>
      <c r="D15" s="211">
        <v>1</v>
      </c>
      <c r="E15" s="211">
        <v>14.99</v>
      </c>
      <c r="F15" s="175">
        <f t="shared" si="3"/>
        <v>14.99</v>
      </c>
      <c r="G15" s="175">
        <f t="shared" si="0"/>
        <v>1.4990000000000001</v>
      </c>
      <c r="H15" s="176">
        <v>3.1230000000000002</v>
      </c>
      <c r="I15" s="278">
        <v>62.89</v>
      </c>
      <c r="J15" s="278"/>
      <c r="K15" s="175">
        <v>53.86</v>
      </c>
      <c r="L15" s="180">
        <f t="shared" si="1"/>
        <v>1233.3986800000002</v>
      </c>
      <c r="M15" s="180">
        <f>1031+202</f>
        <v>1233</v>
      </c>
      <c r="N15" s="212">
        <f t="shared" si="2"/>
        <v>-0.3986800000002404</v>
      </c>
    </row>
    <row r="16" spans="1:14" ht="26.25" x14ac:dyDescent="0.4">
      <c r="A16" s="283" t="s">
        <v>22</v>
      </c>
      <c r="B16" s="84" t="s">
        <v>221</v>
      </c>
      <c r="C16" s="4" t="s">
        <v>226</v>
      </c>
      <c r="D16" s="211">
        <v>1</v>
      </c>
      <c r="E16" s="211">
        <v>7.99</v>
      </c>
      <c r="F16" s="175">
        <f t="shared" si="3"/>
        <v>7.99</v>
      </c>
      <c r="G16" s="175">
        <f t="shared" si="0"/>
        <v>0.79900000000000004</v>
      </c>
      <c r="H16" s="176">
        <v>2.13</v>
      </c>
      <c r="I16" s="278">
        <v>62.89</v>
      </c>
      <c r="J16" s="278"/>
      <c r="K16" s="175">
        <v>53.86</v>
      </c>
      <c r="L16" s="180">
        <f t="shared" si="1"/>
        <v>686.69591000000003</v>
      </c>
      <c r="M16" s="180">
        <f>550+137</f>
        <v>687</v>
      </c>
      <c r="N16" s="212">
        <f t="shared" si="2"/>
        <v>0.30408999999997377</v>
      </c>
    </row>
    <row r="17" spans="1:14" ht="77.25" x14ac:dyDescent="0.4">
      <c r="A17" s="283" t="s">
        <v>22</v>
      </c>
      <c r="B17" s="84" t="s">
        <v>222</v>
      </c>
      <c r="C17" s="2" t="s">
        <v>227</v>
      </c>
      <c r="D17" s="211">
        <v>1</v>
      </c>
      <c r="E17" s="211">
        <v>7.94</v>
      </c>
      <c r="F17" s="175">
        <f t="shared" si="3"/>
        <v>7.94</v>
      </c>
      <c r="G17" s="175">
        <f t="shared" si="0"/>
        <v>0.79400000000000004</v>
      </c>
      <c r="H17" s="176">
        <v>3.55</v>
      </c>
      <c r="I17" s="278">
        <v>62.89</v>
      </c>
      <c r="J17" s="278"/>
      <c r="K17" s="175">
        <v>53.86</v>
      </c>
      <c r="L17" s="180">
        <f t="shared" si="1"/>
        <v>772.54075999999998</v>
      </c>
      <c r="M17" s="180">
        <f>546+250</f>
        <v>796</v>
      </c>
      <c r="N17" s="212">
        <f t="shared" si="2"/>
        <v>23.459240000000023</v>
      </c>
    </row>
    <row r="18" spans="1:14" ht="62.25" x14ac:dyDescent="0.4">
      <c r="A18" s="283" t="s">
        <v>22</v>
      </c>
      <c r="B18" s="84" t="s">
        <v>223</v>
      </c>
      <c r="C18" s="2" t="s">
        <v>228</v>
      </c>
      <c r="D18" s="211">
        <v>1</v>
      </c>
      <c r="E18" s="211">
        <v>13.02</v>
      </c>
      <c r="F18" s="175">
        <f t="shared" si="3"/>
        <v>13.02</v>
      </c>
      <c r="G18" s="175">
        <f t="shared" si="0"/>
        <v>1.302</v>
      </c>
      <c r="H18" s="176">
        <v>5.0999999999999996</v>
      </c>
      <c r="I18" s="278">
        <v>62.89</v>
      </c>
      <c r="J18" s="278"/>
      <c r="K18" s="175">
        <v>53.86</v>
      </c>
      <c r="L18" s="180">
        <f t="shared" si="1"/>
        <v>1221.4495799999997</v>
      </c>
      <c r="M18" s="248">
        <f>1000+221</f>
        <v>1221</v>
      </c>
      <c r="N18" s="212">
        <f t="shared" si="2"/>
        <v>-0.44957999999974163</v>
      </c>
    </row>
    <row r="19" spans="1:14" ht="47.25" x14ac:dyDescent="0.4">
      <c r="A19" s="283" t="s">
        <v>22</v>
      </c>
      <c r="B19" s="84" t="s">
        <v>73</v>
      </c>
      <c r="C19" s="2" t="s">
        <v>229</v>
      </c>
      <c r="D19" s="211">
        <v>1</v>
      </c>
      <c r="E19" s="211">
        <v>32</v>
      </c>
      <c r="F19" s="175">
        <f t="shared" si="3"/>
        <v>32</v>
      </c>
      <c r="G19" s="175">
        <f t="shared" si="0"/>
        <v>3.2</v>
      </c>
      <c r="H19" s="176">
        <v>2.23</v>
      </c>
      <c r="I19" s="278">
        <v>62.89</v>
      </c>
      <c r="J19" s="278"/>
      <c r="K19" s="175">
        <v>53.86</v>
      </c>
      <c r="L19" s="180">
        <f t="shared" si="1"/>
        <v>2353.9726999999998</v>
      </c>
      <c r="M19" s="180">
        <f>2202+152</f>
        <v>2354</v>
      </c>
      <c r="N19" s="212">
        <f t="shared" si="2"/>
        <v>2.7300000000195723E-2</v>
      </c>
    </row>
    <row r="20" spans="1:14" ht="47.25" x14ac:dyDescent="0.4">
      <c r="A20" s="284" t="s">
        <v>95</v>
      </c>
      <c r="B20" s="84" t="s">
        <v>188</v>
      </c>
      <c r="C20" s="2" t="s">
        <v>230</v>
      </c>
      <c r="D20" s="211">
        <v>1</v>
      </c>
      <c r="E20" s="211">
        <v>8.49</v>
      </c>
      <c r="F20" s="175">
        <f t="shared" si="3"/>
        <v>8.49</v>
      </c>
      <c r="G20" s="175">
        <f t="shared" si="0"/>
        <v>0.84900000000000009</v>
      </c>
      <c r="H20" s="176">
        <v>5.74</v>
      </c>
      <c r="I20" s="278">
        <v>62.85</v>
      </c>
      <c r="J20" s="278"/>
      <c r="K20" s="175">
        <v>53.86</v>
      </c>
      <c r="L20" s="180">
        <f t="shared" si="1"/>
        <v>947.71515000000011</v>
      </c>
      <c r="M20" s="180">
        <f>584+364</f>
        <v>948</v>
      </c>
      <c r="N20" s="212">
        <f t="shared" si="2"/>
        <v>0.28484999999989213</v>
      </c>
    </row>
    <row r="21" spans="1:14" ht="26.25" x14ac:dyDescent="0.4">
      <c r="A21" s="284" t="s">
        <v>95</v>
      </c>
      <c r="B21" s="84" t="s">
        <v>106</v>
      </c>
      <c r="C21" s="2" t="s">
        <v>231</v>
      </c>
      <c r="D21" s="211">
        <v>1</v>
      </c>
      <c r="E21" s="211">
        <v>8.2799999999999994</v>
      </c>
      <c r="F21" s="175">
        <f t="shared" si="3"/>
        <v>8.2799999999999994</v>
      </c>
      <c r="G21" s="175">
        <f t="shared" si="0"/>
        <v>0.82799999999999996</v>
      </c>
      <c r="H21" s="176">
        <v>4.0999999999999996</v>
      </c>
      <c r="I21" s="278">
        <v>62.85</v>
      </c>
      <c r="J21" s="278"/>
      <c r="K21" s="175">
        <v>53.86</v>
      </c>
      <c r="L21" s="180">
        <f t="shared" si="1"/>
        <v>830.12279999999987</v>
      </c>
      <c r="M21" s="248">
        <f>570+260</f>
        <v>830</v>
      </c>
      <c r="N21" s="212">
        <f t="shared" si="2"/>
        <v>-0.12279999999987012</v>
      </c>
    </row>
    <row r="22" spans="1:14" ht="26.25" x14ac:dyDescent="0.4">
      <c r="A22" s="284" t="s">
        <v>95</v>
      </c>
      <c r="B22" s="84" t="s">
        <v>19</v>
      </c>
      <c r="C22" s="2" t="s">
        <v>232</v>
      </c>
      <c r="D22" s="211">
        <v>1</v>
      </c>
      <c r="E22" s="211">
        <v>7.29</v>
      </c>
      <c r="F22" s="175">
        <f t="shared" si="3"/>
        <v>7.29</v>
      </c>
      <c r="G22" s="175">
        <f t="shared" si="0"/>
        <v>0.72900000000000009</v>
      </c>
      <c r="H22" s="176">
        <v>1.23</v>
      </c>
      <c r="I22" s="278">
        <v>62.85</v>
      </c>
      <c r="J22" s="278"/>
      <c r="K22" s="175">
        <v>53.86</v>
      </c>
      <c r="L22" s="180">
        <f t="shared" si="1"/>
        <v>581.29965000000004</v>
      </c>
      <c r="M22" s="248">
        <f>502+79</f>
        <v>581</v>
      </c>
      <c r="N22" s="212">
        <f t="shared" si="2"/>
        <v>-0.29965000000004238</v>
      </c>
    </row>
    <row r="23" spans="1:14" ht="26.25" x14ac:dyDescent="0.4">
      <c r="A23" s="284" t="s">
        <v>95</v>
      </c>
      <c r="B23" s="84" t="s">
        <v>169</v>
      </c>
      <c r="C23" s="2" t="s">
        <v>233</v>
      </c>
      <c r="D23" s="211">
        <v>1</v>
      </c>
      <c r="E23" s="211">
        <v>3.98</v>
      </c>
      <c r="F23" s="175">
        <f t="shared" si="3"/>
        <v>3.98</v>
      </c>
      <c r="G23" s="175">
        <f t="shared" si="0"/>
        <v>0.39800000000000002</v>
      </c>
      <c r="H23" s="176">
        <v>1.64</v>
      </c>
      <c r="I23" s="278">
        <v>62.85</v>
      </c>
      <c r="J23" s="278"/>
      <c r="K23" s="175">
        <v>53.86</v>
      </c>
      <c r="L23" s="180">
        <f t="shared" si="1"/>
        <v>378.23129999999998</v>
      </c>
      <c r="M23" s="248">
        <f>274+104</f>
        <v>378</v>
      </c>
      <c r="N23" s="212">
        <f t="shared" si="2"/>
        <v>-0.23129999999997608</v>
      </c>
    </row>
    <row r="24" spans="1:14" ht="26.25" x14ac:dyDescent="0.4">
      <c r="A24" s="285" t="s">
        <v>117</v>
      </c>
      <c r="B24" s="84" t="s">
        <v>128</v>
      </c>
      <c r="C24" s="2" t="s">
        <v>122</v>
      </c>
      <c r="D24" s="211">
        <v>1</v>
      </c>
      <c r="E24" s="211">
        <v>29</v>
      </c>
      <c r="F24" s="175">
        <f t="shared" si="3"/>
        <v>29</v>
      </c>
      <c r="G24" s="175">
        <f t="shared" si="0"/>
        <v>2.9000000000000004</v>
      </c>
      <c r="H24" s="176">
        <v>1.23</v>
      </c>
      <c r="I24" s="278">
        <v>62.85</v>
      </c>
      <c r="J24" s="278"/>
      <c r="K24" s="175">
        <v>53.86</v>
      </c>
      <c r="L24" s="180">
        <f t="shared" si="1"/>
        <v>2082.2204999999999</v>
      </c>
      <c r="M24" s="180">
        <f>1995+87</f>
        <v>2082</v>
      </c>
      <c r="N24" s="212">
        <f t="shared" si="2"/>
        <v>-0.22049999999990177</v>
      </c>
    </row>
    <row r="25" spans="1:14" ht="32.25" x14ac:dyDescent="0.4">
      <c r="A25" s="286" t="s">
        <v>234</v>
      </c>
      <c r="B25" s="84" t="s">
        <v>128</v>
      </c>
      <c r="C25" s="2" t="s">
        <v>235</v>
      </c>
      <c r="D25" s="211">
        <v>1</v>
      </c>
      <c r="E25" s="211">
        <v>24</v>
      </c>
      <c r="F25" s="175">
        <f t="shared" si="3"/>
        <v>24</v>
      </c>
      <c r="G25" s="175">
        <f t="shared" si="0"/>
        <v>2.4000000000000004</v>
      </c>
      <c r="H25" s="176">
        <v>0.41</v>
      </c>
      <c r="I25" s="278">
        <v>62.85</v>
      </c>
      <c r="J25" s="278"/>
      <c r="K25" s="175">
        <v>53.86</v>
      </c>
      <c r="L25" s="180">
        <f t="shared" si="1"/>
        <v>1685.0084999999999</v>
      </c>
      <c r="M25" s="180">
        <f>1651+34</f>
        <v>1685</v>
      </c>
      <c r="N25" s="212">
        <f t="shared" si="2"/>
        <v>-8.4999999999126885E-3</v>
      </c>
    </row>
    <row r="26" spans="1:14" ht="32.25" x14ac:dyDescent="0.4">
      <c r="A26" s="286" t="s">
        <v>234</v>
      </c>
      <c r="B26" s="84" t="s">
        <v>73</v>
      </c>
      <c r="C26" s="2" t="s">
        <v>235</v>
      </c>
      <c r="D26" s="211">
        <v>1</v>
      </c>
      <c r="E26" s="211">
        <v>24</v>
      </c>
      <c r="F26" s="175">
        <f t="shared" si="3"/>
        <v>24</v>
      </c>
      <c r="G26" s="175">
        <f t="shared" si="0"/>
        <v>2.4000000000000004</v>
      </c>
      <c r="H26" s="176">
        <v>0.41</v>
      </c>
      <c r="I26" s="278">
        <v>62.85</v>
      </c>
      <c r="J26" s="278"/>
      <c r="K26" s="175">
        <v>53.86</v>
      </c>
      <c r="L26" s="180">
        <f t="shared" si="1"/>
        <v>1685.0084999999999</v>
      </c>
      <c r="M26" s="180">
        <f>1651+34</f>
        <v>1685</v>
      </c>
      <c r="N26" s="212">
        <f t="shared" si="2"/>
        <v>-8.4999999999126885E-3</v>
      </c>
    </row>
    <row r="27" spans="1:14" ht="47.25" x14ac:dyDescent="0.4">
      <c r="A27" s="287" t="s">
        <v>24</v>
      </c>
      <c r="B27" s="84" t="s">
        <v>236</v>
      </c>
      <c r="C27" s="2" t="s">
        <v>237</v>
      </c>
      <c r="D27" s="211">
        <v>1</v>
      </c>
      <c r="E27" s="211">
        <v>28</v>
      </c>
      <c r="F27" s="175">
        <f t="shared" si="3"/>
        <v>28</v>
      </c>
      <c r="G27" s="175">
        <f t="shared" si="0"/>
        <v>2.8000000000000003</v>
      </c>
      <c r="H27" s="176"/>
      <c r="I27" s="278">
        <v>62.85</v>
      </c>
      <c r="J27" s="278">
        <v>2.87</v>
      </c>
      <c r="K27" s="175">
        <v>53.86</v>
      </c>
      <c r="L27" s="180">
        <f t="shared" si="1"/>
        <v>2090.3582000000001</v>
      </c>
      <c r="M27" s="180">
        <f>1926+164</f>
        <v>2090</v>
      </c>
      <c r="N27" s="212">
        <f t="shared" si="2"/>
        <v>-0.35820000000012442</v>
      </c>
    </row>
    <row r="28" spans="1:14" ht="26.25" x14ac:dyDescent="0.4">
      <c r="A28" s="288" t="s">
        <v>125</v>
      </c>
      <c r="B28" s="84" t="s">
        <v>173</v>
      </c>
      <c r="C28" s="4" t="s">
        <v>238</v>
      </c>
      <c r="D28" s="211">
        <v>1</v>
      </c>
      <c r="E28" s="211">
        <v>28.99</v>
      </c>
      <c r="F28" s="175">
        <f t="shared" si="3"/>
        <v>28.99</v>
      </c>
      <c r="G28" s="175">
        <f t="shared" si="0"/>
        <v>2.899</v>
      </c>
      <c r="H28" s="176">
        <v>5.85</v>
      </c>
      <c r="I28" s="278">
        <v>64.400000000000006</v>
      </c>
      <c r="J28" s="278">
        <v>1.58</v>
      </c>
      <c r="K28" s="175">
        <v>53.86</v>
      </c>
      <c r="L28" s="180">
        <f>(F28+G28+H28)*I28+J28*K28</f>
        <v>2515.4904000000001</v>
      </c>
      <c r="M28" s="180">
        <f>2360+155</f>
        <v>2515</v>
      </c>
      <c r="N28" s="212">
        <f t="shared" si="2"/>
        <v>-0.49040000000013606</v>
      </c>
    </row>
    <row r="29" spans="1:14" ht="62.25" x14ac:dyDescent="0.4">
      <c r="A29" s="289" t="s">
        <v>111</v>
      </c>
      <c r="B29" s="84" t="s">
        <v>239</v>
      </c>
      <c r="C29" s="2" t="s">
        <v>243</v>
      </c>
      <c r="D29" s="211">
        <v>1</v>
      </c>
      <c r="E29" s="211">
        <v>9</v>
      </c>
      <c r="F29" s="175">
        <f t="shared" si="3"/>
        <v>9</v>
      </c>
      <c r="G29" s="175">
        <f t="shared" si="0"/>
        <v>0.9</v>
      </c>
      <c r="H29" s="176"/>
      <c r="I29" s="278">
        <v>63.71</v>
      </c>
      <c r="J29" s="278">
        <f>0.357*2</f>
        <v>0.71399999999999997</v>
      </c>
      <c r="K29" s="175">
        <v>53.86</v>
      </c>
      <c r="L29" s="180">
        <f t="shared" si="1"/>
        <v>669.18504000000007</v>
      </c>
      <c r="M29" s="180">
        <f>344+275+50</f>
        <v>669</v>
      </c>
      <c r="N29" s="212">
        <f t="shared" si="2"/>
        <v>-0.18504000000007181</v>
      </c>
    </row>
    <row r="30" spans="1:14" ht="47.25" x14ac:dyDescent="0.4">
      <c r="A30" s="289" t="s">
        <v>111</v>
      </c>
      <c r="B30" s="84" t="s">
        <v>240</v>
      </c>
      <c r="C30" s="2" t="s">
        <v>241</v>
      </c>
      <c r="D30" s="211">
        <v>1</v>
      </c>
      <c r="E30" s="211">
        <v>11</v>
      </c>
      <c r="F30" s="175">
        <f t="shared" si="3"/>
        <v>11</v>
      </c>
      <c r="G30" s="175">
        <f t="shared" si="0"/>
        <v>1.1000000000000001</v>
      </c>
      <c r="H30" s="176"/>
      <c r="I30" s="278">
        <v>63.71</v>
      </c>
      <c r="J30" s="278">
        <f t="shared" ref="J30:J32" si="4">0.357*2</f>
        <v>0.71399999999999997</v>
      </c>
      <c r="K30" s="175">
        <v>53.86</v>
      </c>
      <c r="L30" s="180">
        <f t="shared" si="1"/>
        <v>809.34703999999999</v>
      </c>
      <c r="M30" s="248">
        <f>757+52</f>
        <v>809</v>
      </c>
      <c r="N30" s="212">
        <f t="shared" si="2"/>
        <v>-0.34703999999999269</v>
      </c>
    </row>
    <row r="31" spans="1:14" ht="26.25" x14ac:dyDescent="0.4">
      <c r="A31" s="289" t="s">
        <v>111</v>
      </c>
      <c r="B31" s="84" t="s">
        <v>153</v>
      </c>
      <c r="C31" s="2" t="s">
        <v>242</v>
      </c>
      <c r="D31" s="211">
        <v>1</v>
      </c>
      <c r="E31" s="211">
        <v>11</v>
      </c>
      <c r="F31" s="175">
        <f t="shared" si="3"/>
        <v>11</v>
      </c>
      <c r="G31" s="175">
        <f t="shared" si="0"/>
        <v>1.1000000000000001</v>
      </c>
      <c r="H31" s="176"/>
      <c r="I31" s="278">
        <v>63.71</v>
      </c>
      <c r="J31" s="278">
        <f t="shared" si="4"/>
        <v>0.71399999999999997</v>
      </c>
      <c r="K31" s="175">
        <v>53.86</v>
      </c>
      <c r="L31" s="180">
        <f t="shared" si="1"/>
        <v>809.34703999999999</v>
      </c>
      <c r="M31" s="180">
        <f>757+52</f>
        <v>809</v>
      </c>
      <c r="N31" s="212">
        <f t="shared" si="2"/>
        <v>-0.34703999999999269</v>
      </c>
    </row>
    <row r="32" spans="1:14" ht="47.25" x14ac:dyDescent="0.4">
      <c r="A32" s="289" t="s">
        <v>111</v>
      </c>
      <c r="B32" s="84" t="s">
        <v>244</v>
      </c>
      <c r="C32" s="2" t="s">
        <v>245</v>
      </c>
      <c r="D32" s="211">
        <v>1</v>
      </c>
      <c r="E32" s="211">
        <v>10</v>
      </c>
      <c r="F32" s="175">
        <f t="shared" si="3"/>
        <v>10</v>
      </c>
      <c r="G32" s="175">
        <f t="shared" si="0"/>
        <v>1</v>
      </c>
      <c r="H32" s="176"/>
      <c r="I32" s="278">
        <v>63.71</v>
      </c>
      <c r="J32" s="278">
        <f t="shared" si="4"/>
        <v>0.71399999999999997</v>
      </c>
      <c r="K32" s="175">
        <v>53.86</v>
      </c>
      <c r="L32" s="180">
        <f t="shared" si="1"/>
        <v>739.26604000000009</v>
      </c>
      <c r="M32" s="180">
        <f>688+51</f>
        <v>739</v>
      </c>
      <c r="N32" s="212">
        <f>-L32+M32</f>
        <v>-0.26604000000008909</v>
      </c>
    </row>
    <row r="33" spans="1:15" ht="26.25" x14ac:dyDescent="0.4">
      <c r="A33" s="111" t="s">
        <v>117</v>
      </c>
      <c r="B33" s="84" t="s">
        <v>246</v>
      </c>
      <c r="C33" s="2" t="s">
        <v>122</v>
      </c>
      <c r="D33" s="211">
        <v>1</v>
      </c>
      <c r="E33" s="211">
        <v>29</v>
      </c>
      <c r="F33" s="175">
        <f t="shared" si="3"/>
        <v>29</v>
      </c>
      <c r="G33" s="175">
        <f t="shared" si="0"/>
        <v>2.9000000000000004</v>
      </c>
      <c r="H33" s="176"/>
      <c r="I33" s="278">
        <v>61.33</v>
      </c>
      <c r="J33" s="278">
        <v>1.6</v>
      </c>
      <c r="K33" s="175">
        <v>53.86</v>
      </c>
      <c r="L33" s="180">
        <f>(F33+G33+H33)*I33+J33*K33</f>
        <v>2042.6029999999998</v>
      </c>
      <c r="M33" s="180">
        <f>2000+43</f>
        <v>2043</v>
      </c>
      <c r="N33" s="212">
        <f>-L33+M33</f>
        <v>0.39700000000016189</v>
      </c>
    </row>
    <row r="34" spans="1:15" ht="26.25" x14ac:dyDescent="0.4">
      <c r="A34" s="111" t="s">
        <v>117</v>
      </c>
      <c r="B34" s="84" t="s">
        <v>247</v>
      </c>
      <c r="C34" s="2" t="s">
        <v>122</v>
      </c>
      <c r="D34" s="211">
        <v>1</v>
      </c>
      <c r="E34" s="211">
        <v>29</v>
      </c>
      <c r="F34" s="175">
        <f t="shared" si="3"/>
        <v>29</v>
      </c>
      <c r="G34" s="175">
        <f t="shared" si="0"/>
        <v>2.9000000000000004</v>
      </c>
      <c r="H34" s="176"/>
      <c r="I34" s="278">
        <v>61.33</v>
      </c>
      <c r="J34" s="278">
        <v>1.6</v>
      </c>
      <c r="K34" s="175">
        <v>53.86</v>
      </c>
      <c r="L34" s="180">
        <f t="shared" si="1"/>
        <v>2042.6029999999998</v>
      </c>
      <c r="M34" s="180">
        <f>2200-34-40-83</f>
        <v>2043</v>
      </c>
      <c r="N34" s="212">
        <f>-L34+M34</f>
        <v>0.39700000000016189</v>
      </c>
      <c r="O34" t="s">
        <v>249</v>
      </c>
    </row>
    <row r="35" spans="1:15" ht="47.25" x14ac:dyDescent="0.4">
      <c r="A35" s="287" t="s">
        <v>24</v>
      </c>
      <c r="B35" s="84" t="s">
        <v>44</v>
      </c>
      <c r="C35" s="2" t="s">
        <v>248</v>
      </c>
      <c r="D35" s="211">
        <v>1</v>
      </c>
      <c r="E35" s="211">
        <v>48</v>
      </c>
      <c r="F35" s="175">
        <f t="shared" si="3"/>
        <v>48</v>
      </c>
      <c r="G35" s="175">
        <f t="shared" si="0"/>
        <v>4.8000000000000007</v>
      </c>
      <c r="H35" s="176"/>
      <c r="I35" s="278">
        <v>61.33</v>
      </c>
      <c r="J35" s="278">
        <v>3.53</v>
      </c>
      <c r="K35" s="175">
        <v>53.86</v>
      </c>
      <c r="L35" s="180">
        <f t="shared" si="1"/>
        <v>3428.3497999999995</v>
      </c>
      <c r="M35" s="180">
        <v>3300</v>
      </c>
      <c r="N35" s="212">
        <f>-L35+M35+128</f>
        <v>-0.34979999999950451</v>
      </c>
    </row>
    <row r="37" spans="1:15" ht="26.25" x14ac:dyDescent="0.4">
      <c r="A37" s="27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28"/>
  <sheetViews>
    <sheetView zoomScale="70" zoomScaleNormal="70" workbookViewId="0">
      <selection activeCell="P18" sqref="P18"/>
    </sheetView>
  </sheetViews>
  <sheetFormatPr defaultRowHeight="15" x14ac:dyDescent="0.25"/>
  <cols>
    <col min="1" max="1" width="36.140625" customWidth="1"/>
    <col min="2" max="2" width="15.42578125" customWidth="1"/>
    <col min="3" max="3" width="26.42578125" customWidth="1"/>
    <col min="8" max="8" width="11.28515625" customWidth="1"/>
    <col min="10" max="10" width="11" customWidth="1"/>
    <col min="11" max="11" width="11.85546875" customWidth="1"/>
    <col min="13" max="13" width="11.7109375" customWidth="1"/>
  </cols>
  <sheetData>
    <row r="1" spans="1:14" ht="28.5" x14ac:dyDescent="0.45">
      <c r="A1" s="91" t="s">
        <v>68</v>
      </c>
      <c r="C1" s="269"/>
      <c r="J1" s="170"/>
    </row>
    <row r="2" spans="1:14" ht="23.25" x14ac:dyDescent="0.35">
      <c r="A2" s="90" t="s">
        <v>69</v>
      </c>
      <c r="J2" s="170"/>
    </row>
    <row r="3" spans="1:14" ht="23.25" x14ac:dyDescent="0.35">
      <c r="A3" s="90" t="s">
        <v>71</v>
      </c>
      <c r="J3" s="170"/>
    </row>
    <row r="4" spans="1:14" ht="23.25" x14ac:dyDescent="0.35">
      <c r="A4" s="90" t="s">
        <v>70</v>
      </c>
      <c r="J4" s="170"/>
    </row>
    <row r="5" spans="1:14" x14ac:dyDescent="0.25">
      <c r="A5" s="280"/>
      <c r="B5" s="280"/>
      <c r="C5" s="280"/>
      <c r="D5" s="280"/>
      <c r="E5" s="280"/>
      <c r="F5" s="280"/>
      <c r="G5" s="280"/>
      <c r="H5" s="280"/>
      <c r="I5" s="280"/>
      <c r="J5" s="172"/>
      <c r="K5" s="280"/>
      <c r="L5" s="280"/>
      <c r="M5" s="280"/>
      <c r="N5" s="280"/>
    </row>
    <row r="6" spans="1:14" ht="45" x14ac:dyDescent="0.25">
      <c r="A6" s="116" t="s">
        <v>53</v>
      </c>
      <c r="B6" s="116" t="s">
        <v>0</v>
      </c>
      <c r="C6" s="116" t="s">
        <v>1</v>
      </c>
      <c r="D6" s="116" t="s">
        <v>2</v>
      </c>
      <c r="E6" s="116" t="s">
        <v>196</v>
      </c>
      <c r="F6" s="116" t="s">
        <v>197</v>
      </c>
      <c r="G6" s="116" t="s">
        <v>5</v>
      </c>
      <c r="H6" s="116" t="s">
        <v>195</v>
      </c>
      <c r="I6" s="116" t="s">
        <v>56</v>
      </c>
      <c r="J6" s="281" t="s">
        <v>194</v>
      </c>
      <c r="K6" s="116" t="s">
        <v>58</v>
      </c>
      <c r="L6" s="116" t="s">
        <v>199</v>
      </c>
      <c r="M6" s="116" t="s">
        <v>198</v>
      </c>
      <c r="N6" s="116" t="s">
        <v>200</v>
      </c>
    </row>
    <row r="7" spans="1:14" ht="32.25" x14ac:dyDescent="0.4">
      <c r="A7" s="283" t="s">
        <v>22</v>
      </c>
      <c r="B7" s="84" t="s">
        <v>251</v>
      </c>
      <c r="C7" s="2" t="s">
        <v>255</v>
      </c>
      <c r="D7" s="175">
        <v>1</v>
      </c>
      <c r="E7" s="175">
        <v>47.99</v>
      </c>
      <c r="F7" s="175">
        <f>D7*E7</f>
        <v>47.99</v>
      </c>
      <c r="G7" s="175">
        <f>F7*0.1</f>
        <v>4.7990000000000004</v>
      </c>
      <c r="H7" s="176"/>
      <c r="I7" s="278">
        <v>58.45</v>
      </c>
      <c r="J7" s="278">
        <v>8.98</v>
      </c>
      <c r="K7" s="175">
        <v>65.460999999999999</v>
      </c>
      <c r="L7" s="180">
        <f>(F7+G7+H7)*I7+J7*K7</f>
        <v>3673.3568300000006</v>
      </c>
      <c r="M7" s="180">
        <f>3048+625</f>
        <v>3673</v>
      </c>
      <c r="N7" s="181">
        <f>-L7+M7</f>
        <v>-0.35683000000062748</v>
      </c>
    </row>
    <row r="8" spans="1:14" ht="32.25" x14ac:dyDescent="0.4">
      <c r="A8" s="283" t="s">
        <v>22</v>
      </c>
      <c r="B8" s="84" t="s">
        <v>44</v>
      </c>
      <c r="C8" s="2" t="s">
        <v>257</v>
      </c>
      <c r="D8" s="175"/>
      <c r="E8" s="175"/>
      <c r="F8" s="175">
        <v>48.72</v>
      </c>
      <c r="G8" s="175">
        <f t="shared" ref="G8:G15" si="0">F8*0.1</f>
        <v>4.8719999999999999</v>
      </c>
      <c r="H8" s="176"/>
      <c r="I8" s="278">
        <v>58.45</v>
      </c>
      <c r="J8" s="278">
        <v>2.21</v>
      </c>
      <c r="K8" s="175">
        <v>65.460999999999999</v>
      </c>
      <c r="L8" s="180">
        <f>(F8+G8+H8)*I8+J8*K21</f>
        <v>3277.1212100000002</v>
      </c>
      <c r="M8" s="248">
        <f>3094+183</f>
        <v>3277</v>
      </c>
      <c r="N8" s="181">
        <f t="shared" ref="N8:N15" si="1">-L8+M8</f>
        <v>-0.12121000000024651</v>
      </c>
    </row>
    <row r="9" spans="1:14" ht="26.25" x14ac:dyDescent="0.4">
      <c r="A9" s="283" t="s">
        <v>22</v>
      </c>
      <c r="B9" s="84" t="s">
        <v>252</v>
      </c>
      <c r="C9" s="2" t="s">
        <v>140</v>
      </c>
      <c r="D9" s="175"/>
      <c r="E9" s="175"/>
      <c r="F9" s="175">
        <v>6.59</v>
      </c>
      <c r="G9" s="175">
        <f t="shared" si="0"/>
        <v>0.65900000000000003</v>
      </c>
      <c r="H9" s="176"/>
      <c r="I9" s="278">
        <v>58.45</v>
      </c>
      <c r="J9" s="278">
        <v>1.59</v>
      </c>
      <c r="K9" s="175">
        <v>65.460999999999999</v>
      </c>
      <c r="L9" s="180">
        <f t="shared" ref="L9:L15" si="2">(F9+G9+H9)*I9+J9*K9</f>
        <v>527.78704000000005</v>
      </c>
      <c r="M9" s="180">
        <v>500</v>
      </c>
      <c r="N9" s="181">
        <f t="shared" si="1"/>
        <v>-27.787040000000047</v>
      </c>
    </row>
    <row r="10" spans="1:14" ht="26.25" x14ac:dyDescent="0.4">
      <c r="A10" s="283" t="s">
        <v>22</v>
      </c>
      <c r="B10" s="84" t="s">
        <v>253</v>
      </c>
      <c r="C10" s="2" t="s">
        <v>256</v>
      </c>
      <c r="D10" s="175">
        <v>2</v>
      </c>
      <c r="E10" s="175">
        <v>5.5</v>
      </c>
      <c r="F10" s="175">
        <f t="shared" ref="F10:F15" si="3">D10*E10</f>
        <v>11</v>
      </c>
      <c r="G10" s="175">
        <f t="shared" si="0"/>
        <v>1.1000000000000001</v>
      </c>
      <c r="H10" s="176">
        <v>8.49</v>
      </c>
      <c r="I10" s="278">
        <v>58.45</v>
      </c>
      <c r="J10" s="278">
        <v>0.62</v>
      </c>
      <c r="K10" s="175">
        <v>65.460999999999999</v>
      </c>
      <c r="L10" s="180">
        <f>(F10+G10+H10)*I10+J10*K10</f>
        <v>1244.07132</v>
      </c>
      <c r="M10" s="180">
        <f>500+689+55</f>
        <v>1244</v>
      </c>
      <c r="N10" s="212">
        <f t="shared" si="1"/>
        <v>-7.1320000000014261E-2</v>
      </c>
    </row>
    <row r="11" spans="1:14" ht="26.25" x14ac:dyDescent="0.4">
      <c r="A11" s="282" t="s">
        <v>141</v>
      </c>
      <c r="B11" s="84" t="s">
        <v>254</v>
      </c>
      <c r="C11" s="2" t="s">
        <v>258</v>
      </c>
      <c r="D11" s="211">
        <v>1</v>
      </c>
      <c r="E11" s="211">
        <v>34.99</v>
      </c>
      <c r="F11" s="175">
        <f t="shared" si="3"/>
        <v>34.99</v>
      </c>
      <c r="G11" s="175">
        <f t="shared" si="0"/>
        <v>3.4990000000000006</v>
      </c>
      <c r="H11" s="176"/>
      <c r="I11" s="278">
        <v>58.08</v>
      </c>
      <c r="J11" s="278">
        <v>8.66</v>
      </c>
      <c r="K11" s="175">
        <v>65.460999999999999</v>
      </c>
      <c r="L11" s="180">
        <f t="shared" si="2"/>
        <v>2802.3333800000005</v>
      </c>
      <c r="M11" s="180">
        <f>2222+580</f>
        <v>2802</v>
      </c>
      <c r="N11" s="212">
        <f t="shared" si="1"/>
        <v>-0.33338000000048851</v>
      </c>
    </row>
    <row r="12" spans="1:14" ht="26.25" x14ac:dyDescent="0.4">
      <c r="A12" s="284" t="s">
        <v>95</v>
      </c>
      <c r="B12" s="84" t="s">
        <v>260</v>
      </c>
      <c r="C12" s="2" t="s">
        <v>264</v>
      </c>
      <c r="D12" s="211">
        <v>1</v>
      </c>
      <c r="E12" s="211">
        <v>4.79</v>
      </c>
      <c r="F12" s="175">
        <f t="shared" si="3"/>
        <v>4.79</v>
      </c>
      <c r="G12" s="175">
        <f t="shared" si="0"/>
        <v>0.47900000000000004</v>
      </c>
      <c r="H12" s="176"/>
      <c r="I12" s="278">
        <v>58.37</v>
      </c>
      <c r="J12" s="278">
        <v>0.67</v>
      </c>
      <c r="K12" s="175">
        <v>65.460999999999999</v>
      </c>
      <c r="L12" s="180">
        <f t="shared" si="2"/>
        <v>351.41040000000004</v>
      </c>
      <c r="M12" s="180">
        <f>304+47</f>
        <v>351</v>
      </c>
      <c r="N12" s="212">
        <f t="shared" si="1"/>
        <v>-0.41040000000003829</v>
      </c>
    </row>
    <row r="13" spans="1:14" ht="26.25" x14ac:dyDescent="0.4">
      <c r="A13" s="284" t="s">
        <v>95</v>
      </c>
      <c r="B13" s="84" t="s">
        <v>261</v>
      </c>
      <c r="C13" s="2" t="s">
        <v>265</v>
      </c>
      <c r="D13" s="211">
        <v>1</v>
      </c>
      <c r="E13" s="211">
        <v>6.23</v>
      </c>
      <c r="F13" s="175">
        <f t="shared" si="3"/>
        <v>6.23</v>
      </c>
      <c r="G13" s="175">
        <f t="shared" si="0"/>
        <v>0.62300000000000011</v>
      </c>
      <c r="H13" s="176"/>
      <c r="I13" s="278">
        <v>58.37</v>
      </c>
      <c r="J13" s="278">
        <v>0.67</v>
      </c>
      <c r="K13" s="175">
        <v>65.460999999999999</v>
      </c>
      <c r="L13" s="180">
        <f t="shared" si="2"/>
        <v>443.86848000000003</v>
      </c>
      <c r="M13" s="180">
        <f>396+48</f>
        <v>444</v>
      </c>
      <c r="N13" s="212">
        <f t="shared" si="1"/>
        <v>0.13151999999996633</v>
      </c>
    </row>
    <row r="14" spans="1:14" ht="32.25" x14ac:dyDescent="0.4">
      <c r="A14" s="284" t="s">
        <v>95</v>
      </c>
      <c r="B14" s="84" t="s">
        <v>262</v>
      </c>
      <c r="C14" s="2" t="s">
        <v>266</v>
      </c>
      <c r="D14" s="211">
        <v>1</v>
      </c>
      <c r="E14" s="211">
        <v>7.99</v>
      </c>
      <c r="F14" s="175">
        <f t="shared" si="3"/>
        <v>7.99</v>
      </c>
      <c r="G14" s="175">
        <f t="shared" si="0"/>
        <v>0.79900000000000004</v>
      </c>
      <c r="H14" s="176"/>
      <c r="I14" s="278">
        <v>58.37</v>
      </c>
      <c r="J14" s="278">
        <v>6.3</v>
      </c>
      <c r="K14" s="175">
        <v>65.460999999999999</v>
      </c>
      <c r="L14" s="180">
        <f t="shared" si="2"/>
        <v>925.41822999999999</v>
      </c>
      <c r="M14" s="248">
        <f>507+418</f>
        <v>925</v>
      </c>
      <c r="N14" s="212">
        <f t="shared" si="1"/>
        <v>-0.41822999999999411</v>
      </c>
    </row>
    <row r="15" spans="1:14" ht="32.25" x14ac:dyDescent="0.4">
      <c r="A15" s="284" t="s">
        <v>95</v>
      </c>
      <c r="B15" s="84" t="s">
        <v>251</v>
      </c>
      <c r="C15" s="2" t="s">
        <v>267</v>
      </c>
      <c r="D15" s="211">
        <v>1</v>
      </c>
      <c r="E15" s="211">
        <v>24.99</v>
      </c>
      <c r="F15" s="175">
        <f t="shared" si="3"/>
        <v>24.99</v>
      </c>
      <c r="G15" s="175">
        <f t="shared" si="0"/>
        <v>2.4990000000000001</v>
      </c>
      <c r="H15" s="176"/>
      <c r="I15" s="278">
        <v>58.37</v>
      </c>
      <c r="J15" s="278">
        <v>1.58</v>
      </c>
      <c r="K15" s="175">
        <v>65.460999999999999</v>
      </c>
      <c r="L15" s="180">
        <f t="shared" si="2"/>
        <v>1707.9613099999999</v>
      </c>
      <c r="M15" s="180">
        <f>1590+125</f>
        <v>1715</v>
      </c>
      <c r="N15" s="212">
        <f t="shared" si="1"/>
        <v>7.0386900000000878</v>
      </c>
    </row>
    <row r="16" spans="1:14" ht="26.25" x14ac:dyDescent="0.4">
      <c r="A16" s="284" t="s">
        <v>95</v>
      </c>
      <c r="B16" s="84" t="s">
        <v>263</v>
      </c>
      <c r="C16" s="2" t="s">
        <v>268</v>
      </c>
      <c r="D16" s="211">
        <v>2</v>
      </c>
      <c r="E16" s="211">
        <v>5.99</v>
      </c>
      <c r="F16" s="175">
        <f t="shared" ref="F16:F27" si="4">D16*E16</f>
        <v>11.98</v>
      </c>
      <c r="G16" s="175">
        <f t="shared" ref="G16:G27" si="5">F16*0.1</f>
        <v>1.1980000000000002</v>
      </c>
      <c r="H16" s="176"/>
      <c r="I16" s="278">
        <v>58.37</v>
      </c>
      <c r="J16" s="278">
        <f>0.67*2</f>
        <v>1.34</v>
      </c>
      <c r="K16" s="175">
        <v>65.460999999999999</v>
      </c>
      <c r="L16" s="180">
        <f t="shared" ref="L16:L28" si="6">(F16+G16+H16)*I16+J16*K16</f>
        <v>856.91760000000011</v>
      </c>
      <c r="M16" s="180">
        <f>761+96</f>
        <v>857</v>
      </c>
      <c r="N16" s="212">
        <f t="shared" ref="N16:N28" si="7">-L16+M16</f>
        <v>8.2399999999893225E-2</v>
      </c>
    </row>
    <row r="17" spans="1:16" ht="26.25" x14ac:dyDescent="0.4">
      <c r="A17" s="283" t="s">
        <v>22</v>
      </c>
      <c r="B17" s="84" t="s">
        <v>252</v>
      </c>
      <c r="C17" s="2" t="s">
        <v>15</v>
      </c>
      <c r="D17" s="211">
        <v>2</v>
      </c>
      <c r="E17" s="211">
        <v>19</v>
      </c>
      <c r="F17" s="175">
        <f t="shared" si="4"/>
        <v>38</v>
      </c>
      <c r="G17" s="175">
        <f t="shared" si="5"/>
        <v>3.8000000000000003</v>
      </c>
      <c r="H17" s="176"/>
      <c r="I17" s="278">
        <v>58.27</v>
      </c>
      <c r="J17" s="278">
        <v>0.62</v>
      </c>
      <c r="K17" s="175">
        <v>65.460999999999999</v>
      </c>
      <c r="L17" s="180">
        <f>(F17+G17+H17)*I17+J17*K17</f>
        <v>2476.2718199999999</v>
      </c>
      <c r="M17" s="248">
        <v>3469</v>
      </c>
      <c r="N17" s="212">
        <f>-L17+M17</f>
        <v>992.72818000000007</v>
      </c>
      <c r="O17">
        <f>1.9*I17</f>
        <v>110.71299999999999</v>
      </c>
      <c r="P17" t="s">
        <v>286</v>
      </c>
    </row>
    <row r="18" spans="1:16" ht="26.25" x14ac:dyDescent="0.4">
      <c r="A18" s="283" t="s">
        <v>22</v>
      </c>
      <c r="B18" s="84" t="s">
        <v>272</v>
      </c>
      <c r="C18" s="2" t="s">
        <v>273</v>
      </c>
      <c r="D18" s="211"/>
      <c r="E18" s="211"/>
      <c r="F18" s="175">
        <v>36.799999999999997</v>
      </c>
      <c r="G18" s="175">
        <f t="shared" si="5"/>
        <v>3.6799999999999997</v>
      </c>
      <c r="H18" s="176"/>
      <c r="I18" s="278">
        <v>59.49</v>
      </c>
      <c r="J18" s="278">
        <v>1.8</v>
      </c>
      <c r="K18" s="175">
        <v>65.460999999999999</v>
      </c>
      <c r="L18" s="180">
        <f t="shared" si="6"/>
        <v>2525.9849999999997</v>
      </c>
      <c r="M18" s="180">
        <f>2340+186</f>
        <v>2526</v>
      </c>
      <c r="N18" s="212">
        <f t="shared" si="7"/>
        <v>1.5000000000327418E-2</v>
      </c>
    </row>
    <row r="19" spans="1:16" ht="29.25" customHeight="1" x14ac:dyDescent="0.4">
      <c r="A19" s="282" t="s">
        <v>127</v>
      </c>
      <c r="B19" s="84" t="s">
        <v>269</v>
      </c>
      <c r="C19" s="2" t="s">
        <v>270</v>
      </c>
      <c r="D19" s="211">
        <v>1</v>
      </c>
      <c r="E19" s="211">
        <v>18</v>
      </c>
      <c r="F19" s="175">
        <f t="shared" si="4"/>
        <v>18</v>
      </c>
      <c r="G19" s="175">
        <f t="shared" si="5"/>
        <v>1.8</v>
      </c>
      <c r="H19" s="176"/>
      <c r="I19" s="278">
        <v>58.27</v>
      </c>
      <c r="J19" s="278">
        <v>1.43</v>
      </c>
      <c r="K19" s="175">
        <v>65.460999999999999</v>
      </c>
      <c r="L19" s="180">
        <f t="shared" si="6"/>
        <v>1247.3552300000001</v>
      </c>
      <c r="M19" s="180">
        <f>1150+97</f>
        <v>1247</v>
      </c>
      <c r="N19" s="212">
        <f t="shared" si="7"/>
        <v>-0.35523000000011962</v>
      </c>
    </row>
    <row r="20" spans="1:16" ht="29.25" customHeight="1" x14ac:dyDescent="0.4">
      <c r="A20" s="282" t="s">
        <v>127</v>
      </c>
      <c r="B20" s="84" t="s">
        <v>252</v>
      </c>
      <c r="C20" s="2" t="s">
        <v>270</v>
      </c>
      <c r="D20" s="211">
        <v>1</v>
      </c>
      <c r="E20" s="211">
        <v>18</v>
      </c>
      <c r="F20" s="175">
        <f t="shared" si="4"/>
        <v>18</v>
      </c>
      <c r="G20" s="175">
        <f t="shared" si="5"/>
        <v>1.8</v>
      </c>
      <c r="H20" s="176"/>
      <c r="I20" s="278">
        <v>58.27</v>
      </c>
      <c r="J20" s="278">
        <v>1.43</v>
      </c>
      <c r="K20" s="175">
        <v>65.460999999999999</v>
      </c>
      <c r="L20" s="180">
        <f t="shared" si="6"/>
        <v>1247.3552300000001</v>
      </c>
      <c r="M20" s="180">
        <v>282</v>
      </c>
      <c r="N20" s="212">
        <f t="shared" si="7"/>
        <v>-965.35523000000012</v>
      </c>
    </row>
    <row r="21" spans="1:16" ht="26.25" x14ac:dyDescent="0.4">
      <c r="A21" s="285" t="s">
        <v>234</v>
      </c>
      <c r="B21" s="84" t="s">
        <v>271</v>
      </c>
      <c r="C21" s="2" t="s">
        <v>159</v>
      </c>
      <c r="D21" s="211">
        <v>1</v>
      </c>
      <c r="E21" s="211"/>
      <c r="F21" s="175">
        <v>120</v>
      </c>
      <c r="G21" s="175">
        <f t="shared" si="5"/>
        <v>12</v>
      </c>
      <c r="H21" s="176"/>
      <c r="I21" s="278">
        <v>58.27</v>
      </c>
      <c r="J21" s="278">
        <v>2.54</v>
      </c>
      <c r="K21" s="175">
        <v>65.460999999999999</v>
      </c>
      <c r="L21" s="180">
        <f>(F21+G21+H21)*I21+J21*K21</f>
        <v>7857.9109400000007</v>
      </c>
      <c r="M21" s="180">
        <f>5300+2350+208</f>
        <v>7858</v>
      </c>
      <c r="N21" s="212">
        <f t="shared" si="7"/>
        <v>8.905999999933556E-2</v>
      </c>
    </row>
    <row r="22" spans="1:16" ht="26.25" x14ac:dyDescent="0.4">
      <c r="A22" s="290" t="s">
        <v>111</v>
      </c>
      <c r="B22" s="84" t="s">
        <v>274</v>
      </c>
      <c r="C22" s="2" t="s">
        <v>278</v>
      </c>
      <c r="D22" s="211">
        <v>1</v>
      </c>
      <c r="E22" s="211">
        <v>6</v>
      </c>
      <c r="F22" s="175">
        <f t="shared" si="4"/>
        <v>6</v>
      </c>
      <c r="G22" s="175">
        <f t="shared" si="5"/>
        <v>0.60000000000000009</v>
      </c>
      <c r="H22" s="176"/>
      <c r="I22" s="278">
        <v>59.49</v>
      </c>
      <c r="J22" s="278">
        <f>0.45</f>
        <v>0.45</v>
      </c>
      <c r="K22" s="175">
        <v>65.460999999999999</v>
      </c>
      <c r="L22" s="180">
        <f t="shared" si="6"/>
        <v>422.09145000000001</v>
      </c>
      <c r="M22" s="248">
        <f>381+41</f>
        <v>422</v>
      </c>
      <c r="N22" s="212">
        <f t="shared" si="7"/>
        <v>-9.1450000000008913E-2</v>
      </c>
    </row>
    <row r="23" spans="1:16" ht="26.25" x14ac:dyDescent="0.4">
      <c r="A23" s="290" t="s">
        <v>111</v>
      </c>
      <c r="B23" s="84" t="s">
        <v>275</v>
      </c>
      <c r="C23" s="2" t="s">
        <v>279</v>
      </c>
      <c r="D23" s="211">
        <v>1</v>
      </c>
      <c r="E23" s="211"/>
      <c r="F23" s="175">
        <v>10.5</v>
      </c>
      <c r="G23" s="175">
        <f t="shared" si="5"/>
        <v>1.05</v>
      </c>
      <c r="H23" s="176"/>
      <c r="I23" s="278">
        <v>59.49</v>
      </c>
      <c r="J23" s="278">
        <v>0.9</v>
      </c>
      <c r="K23" s="175">
        <v>65.460999999999999</v>
      </c>
      <c r="L23" s="180">
        <f t="shared" si="6"/>
        <v>746.02440000000001</v>
      </c>
      <c r="M23" s="248">
        <f>668+78</f>
        <v>746</v>
      </c>
      <c r="N23" s="212">
        <f t="shared" si="7"/>
        <v>-2.4400000000014188E-2</v>
      </c>
    </row>
    <row r="24" spans="1:16" ht="26.25" x14ac:dyDescent="0.4">
      <c r="A24" s="290" t="s">
        <v>111</v>
      </c>
      <c r="B24" s="84" t="s">
        <v>263</v>
      </c>
      <c r="C24" s="2" t="s">
        <v>280</v>
      </c>
      <c r="D24" s="211">
        <v>2</v>
      </c>
      <c r="E24" s="211">
        <v>5</v>
      </c>
      <c r="F24" s="175">
        <f t="shared" ref="F24:F26" si="8">D24*E24</f>
        <v>10</v>
      </c>
      <c r="G24" s="175">
        <f t="shared" ref="G24:G26" si="9">F24*0.1</f>
        <v>1</v>
      </c>
      <c r="H24" s="176"/>
      <c r="I24" s="278">
        <v>59.49</v>
      </c>
      <c r="J24" s="278">
        <v>0.9</v>
      </c>
      <c r="K24" s="175">
        <v>65.460999999999999</v>
      </c>
      <c r="L24" s="180">
        <f>(F24+G24+H24)*I24+J24*K24</f>
        <v>713.30489999999998</v>
      </c>
      <c r="M24" s="180">
        <f>636+77</f>
        <v>713</v>
      </c>
      <c r="N24" s="212">
        <f t="shared" ref="N24:N26" si="10">-L24+M24</f>
        <v>-0.30489999999997508</v>
      </c>
    </row>
    <row r="25" spans="1:16" ht="26.25" x14ac:dyDescent="0.4">
      <c r="A25" s="290" t="s">
        <v>111</v>
      </c>
      <c r="B25" s="84" t="s">
        <v>276</v>
      </c>
      <c r="C25" s="2" t="s">
        <v>281</v>
      </c>
      <c r="D25" s="211">
        <v>1</v>
      </c>
      <c r="E25" s="211"/>
      <c r="F25" s="175">
        <v>13</v>
      </c>
      <c r="G25" s="175">
        <f t="shared" si="9"/>
        <v>1.3</v>
      </c>
      <c r="H25" s="176"/>
      <c r="I25" s="278">
        <v>59.49</v>
      </c>
      <c r="J25" s="278">
        <v>0.9</v>
      </c>
      <c r="K25" s="175">
        <v>65.460999999999999</v>
      </c>
      <c r="L25" s="180">
        <f t="shared" ref="L25:L26" si="11">(F25+G25+H25)*I25+J25*K25</f>
        <v>909.6219000000001</v>
      </c>
      <c r="M25" s="180">
        <f>827+83</f>
        <v>910</v>
      </c>
      <c r="N25" s="212">
        <f t="shared" si="10"/>
        <v>0.37809999999990396</v>
      </c>
    </row>
    <row r="26" spans="1:16" ht="26.25" x14ac:dyDescent="0.4">
      <c r="A26" s="290" t="s">
        <v>111</v>
      </c>
      <c r="B26" s="84" t="s">
        <v>277</v>
      </c>
      <c r="C26" s="2" t="s">
        <v>18</v>
      </c>
      <c r="D26" s="211">
        <v>1</v>
      </c>
      <c r="E26" s="211">
        <v>4</v>
      </c>
      <c r="F26" s="175">
        <f t="shared" si="8"/>
        <v>4</v>
      </c>
      <c r="G26" s="175">
        <f t="shared" si="9"/>
        <v>0.4</v>
      </c>
      <c r="H26" s="176"/>
      <c r="I26" s="278">
        <v>59.49</v>
      </c>
      <c r="J26" s="278">
        <f>0.45</f>
        <v>0.45</v>
      </c>
      <c r="K26" s="175">
        <v>65.460999999999999</v>
      </c>
      <c r="L26" s="180">
        <f t="shared" si="11"/>
        <v>291.21345000000002</v>
      </c>
      <c r="M26" s="248">
        <f>254+37</f>
        <v>291</v>
      </c>
      <c r="N26" s="212">
        <f t="shared" si="10"/>
        <v>-0.21345000000002301</v>
      </c>
    </row>
    <row r="27" spans="1:16" ht="26.25" x14ac:dyDescent="0.4">
      <c r="A27" s="284" t="s">
        <v>95</v>
      </c>
      <c r="B27" s="84" t="s">
        <v>236</v>
      </c>
      <c r="C27" s="2" t="s">
        <v>282</v>
      </c>
      <c r="D27" s="211">
        <v>1</v>
      </c>
      <c r="E27" s="211">
        <v>8.99</v>
      </c>
      <c r="F27" s="175">
        <f t="shared" si="4"/>
        <v>8.99</v>
      </c>
      <c r="G27" s="175">
        <f t="shared" si="5"/>
        <v>0.89900000000000002</v>
      </c>
      <c r="H27" s="176"/>
      <c r="I27" s="278">
        <v>58.27</v>
      </c>
      <c r="J27" s="278">
        <v>7.94</v>
      </c>
      <c r="K27" s="175">
        <v>65.460999999999999</v>
      </c>
      <c r="L27" s="180">
        <f t="shared" si="6"/>
        <v>1095.9923699999999</v>
      </c>
      <c r="M27" s="180">
        <f>572+520</f>
        <v>1092</v>
      </c>
      <c r="N27" s="212">
        <f t="shared" si="7"/>
        <v>-3.9923699999999371</v>
      </c>
    </row>
    <row r="28" spans="1:16" ht="22.5" customHeight="1" x14ac:dyDescent="0.4">
      <c r="A28" s="291" t="s">
        <v>52</v>
      </c>
      <c r="B28" s="122" t="s">
        <v>283</v>
      </c>
      <c r="C28" s="4" t="s">
        <v>284</v>
      </c>
      <c r="D28" s="211">
        <v>1</v>
      </c>
      <c r="E28" s="211">
        <v>14</v>
      </c>
      <c r="F28" s="175">
        <f t="shared" ref="F28" si="12">D28*E28</f>
        <v>14</v>
      </c>
      <c r="G28" s="175">
        <f>F28*0.05</f>
        <v>0.70000000000000007</v>
      </c>
      <c r="H28" s="4"/>
      <c r="I28" s="278">
        <v>58.27</v>
      </c>
      <c r="J28" s="278">
        <v>0.7</v>
      </c>
      <c r="K28" s="175">
        <v>65.460999999999999</v>
      </c>
      <c r="L28" s="180">
        <f t="shared" si="6"/>
        <v>902.3916999999999</v>
      </c>
      <c r="M28" s="211">
        <f>890+12</f>
        <v>902</v>
      </c>
      <c r="N28" s="212">
        <f t="shared" si="7"/>
        <v>-0.39169999999990068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tabSelected="1" zoomScale="70" zoomScaleNormal="70" workbookViewId="0">
      <selection activeCell="N6" sqref="N6:N43"/>
    </sheetView>
  </sheetViews>
  <sheetFormatPr defaultRowHeight="15" x14ac:dyDescent="0.25"/>
  <cols>
    <col min="1" max="1" width="38.85546875" customWidth="1"/>
    <col min="2" max="2" width="15.7109375" customWidth="1"/>
    <col min="3" max="3" width="25.5703125" customWidth="1"/>
    <col min="6" max="6" width="11.7109375" customWidth="1"/>
    <col min="8" max="8" width="12.28515625" customWidth="1"/>
    <col min="10" max="10" width="11.5703125" customWidth="1"/>
    <col min="11" max="11" width="12.7109375" customWidth="1"/>
    <col min="13" max="13" width="12.85546875" customWidth="1"/>
    <col min="14" max="14" width="17.7109375" customWidth="1"/>
  </cols>
  <sheetData>
    <row r="1" spans="1:15" ht="23.25" x14ac:dyDescent="0.35">
      <c r="A1" s="90" t="s">
        <v>69</v>
      </c>
      <c r="J1" s="170"/>
    </row>
    <row r="2" spans="1:15" ht="23.25" x14ac:dyDescent="0.35">
      <c r="A2" s="90" t="s">
        <v>71</v>
      </c>
      <c r="J2" s="170"/>
    </row>
    <row r="3" spans="1:15" ht="23.25" x14ac:dyDescent="0.35">
      <c r="A3" s="90" t="s">
        <v>70</v>
      </c>
      <c r="J3" s="170"/>
    </row>
    <row r="4" spans="1:15" ht="27.75" customHeight="1" x14ac:dyDescent="0.25">
      <c r="A4" s="280"/>
      <c r="B4" s="280"/>
      <c r="C4" s="280"/>
      <c r="D4" s="280"/>
      <c r="E4" s="280"/>
      <c r="F4" s="280"/>
      <c r="G4" s="280"/>
      <c r="H4" s="280"/>
      <c r="I4" s="280"/>
      <c r="J4" s="172"/>
      <c r="K4" s="280"/>
      <c r="L4" s="280"/>
      <c r="M4" s="280"/>
      <c r="N4" s="280"/>
    </row>
    <row r="5" spans="1:15" ht="30" x14ac:dyDescent="0.25">
      <c r="A5" s="116" t="s">
        <v>53</v>
      </c>
      <c r="B5" s="116" t="s">
        <v>0</v>
      </c>
      <c r="C5" s="116" t="s">
        <v>1</v>
      </c>
      <c r="D5" s="116" t="s">
        <v>2</v>
      </c>
      <c r="E5" s="116" t="s">
        <v>196</v>
      </c>
      <c r="F5" s="116" t="s">
        <v>197</v>
      </c>
      <c r="G5" s="116" t="s">
        <v>5</v>
      </c>
      <c r="H5" s="116" t="s">
        <v>195</v>
      </c>
      <c r="I5" s="116" t="s">
        <v>56</v>
      </c>
      <c r="J5" s="281" t="s">
        <v>194</v>
      </c>
      <c r="K5" s="116" t="s">
        <v>58</v>
      </c>
      <c r="L5" s="116" t="s">
        <v>199</v>
      </c>
      <c r="M5" s="116" t="s">
        <v>198</v>
      </c>
      <c r="N5" s="116" t="s">
        <v>200</v>
      </c>
    </row>
    <row r="6" spans="1:15" ht="26.25" x14ac:dyDescent="0.4">
      <c r="A6" s="283" t="s">
        <v>141</v>
      </c>
      <c r="B6" s="296" t="s">
        <v>272</v>
      </c>
      <c r="C6" s="2" t="s">
        <v>285</v>
      </c>
      <c r="D6" s="175"/>
      <c r="E6" s="175"/>
      <c r="F6" s="175">
        <v>106.98</v>
      </c>
      <c r="G6" s="175">
        <f>F6*0.1</f>
        <v>10.698</v>
      </c>
      <c r="H6" s="176"/>
      <c r="I6" s="278">
        <f>67.7691*1.02</f>
        <v>69.124482</v>
      </c>
      <c r="J6" s="278"/>
      <c r="K6" s="175"/>
      <c r="L6" s="180">
        <f>(F6+G6+H6)*I6+J6*K6</f>
        <v>8134.4307927959999</v>
      </c>
      <c r="M6" s="180"/>
      <c r="N6" s="181">
        <f>-L6+M6</f>
        <v>-8134.4307927959999</v>
      </c>
    </row>
    <row r="7" spans="1:15" ht="32.25" x14ac:dyDescent="0.4">
      <c r="A7" s="287" t="s">
        <v>146</v>
      </c>
      <c r="B7" s="296" t="s">
        <v>272</v>
      </c>
      <c r="C7" s="2" t="s">
        <v>324</v>
      </c>
      <c r="D7" s="175"/>
      <c r="E7" s="175"/>
      <c r="F7" s="175">
        <v>32</v>
      </c>
      <c r="G7" s="175">
        <f t="shared" ref="G7:G43" si="0">F7*0.1</f>
        <v>3.2</v>
      </c>
      <c r="H7" s="176"/>
      <c r="I7" s="278">
        <f t="shared" ref="I7:I43" si="1">67.7691*1.02</f>
        <v>69.124482</v>
      </c>
      <c r="J7" s="278"/>
      <c r="K7" s="175"/>
      <c r="L7" s="180">
        <f>(F7+G7+H7)*I7+J7*K20</f>
        <v>2433.1817664</v>
      </c>
      <c r="M7" s="248"/>
      <c r="N7" s="181">
        <f t="shared" ref="N7:N27" si="2">-L7+M7</f>
        <v>-2433.1817664</v>
      </c>
    </row>
    <row r="8" spans="1:15" ht="32.25" x14ac:dyDescent="0.4">
      <c r="A8" s="287" t="s">
        <v>146</v>
      </c>
      <c r="B8" s="84" t="s">
        <v>11</v>
      </c>
      <c r="C8" s="2" t="s">
        <v>325</v>
      </c>
      <c r="D8" s="175"/>
      <c r="E8" s="175"/>
      <c r="F8" s="175">
        <v>38</v>
      </c>
      <c r="G8" s="175">
        <f t="shared" si="0"/>
        <v>3.8000000000000003</v>
      </c>
      <c r="H8" s="176"/>
      <c r="I8" s="278">
        <f t="shared" si="1"/>
        <v>69.124482</v>
      </c>
      <c r="J8" s="278"/>
      <c r="K8" s="175"/>
      <c r="L8" s="180">
        <f t="shared" ref="L8:L27" si="3">(F8+G8+H8)*I8+J8*K8</f>
        <v>2889.4033476</v>
      </c>
      <c r="M8" s="180"/>
      <c r="N8" s="181">
        <f t="shared" si="2"/>
        <v>-2889.4033476</v>
      </c>
    </row>
    <row r="9" spans="1:15" ht="26.25" x14ac:dyDescent="0.4">
      <c r="A9" s="282" t="s">
        <v>22</v>
      </c>
      <c r="B9" s="84" t="s">
        <v>252</v>
      </c>
      <c r="C9" s="2" t="s">
        <v>289</v>
      </c>
      <c r="D9" s="175"/>
      <c r="E9" s="175"/>
      <c r="F9" s="175">
        <f>49.99-19</f>
        <v>30.990000000000002</v>
      </c>
      <c r="G9" s="175">
        <f t="shared" si="0"/>
        <v>3.0990000000000002</v>
      </c>
      <c r="H9" s="176"/>
      <c r="I9" s="278">
        <f t="shared" si="1"/>
        <v>69.124482</v>
      </c>
      <c r="J9" s="278"/>
      <c r="K9" s="175"/>
      <c r="L9" s="180">
        <f>(F9+G9+H9)*I9+J9*K9</f>
        <v>2356.384466898</v>
      </c>
      <c r="M9" s="180">
        <f>110</f>
        <v>110</v>
      </c>
      <c r="N9" s="212">
        <f>-L9+M9</f>
        <v>-2246.384466898</v>
      </c>
      <c r="O9" s="293" t="s">
        <v>287</v>
      </c>
    </row>
    <row r="10" spans="1:15" ht="35.25" customHeight="1" x14ac:dyDescent="0.4">
      <c r="A10" s="282" t="s">
        <v>22</v>
      </c>
      <c r="B10" s="296" t="s">
        <v>272</v>
      </c>
      <c r="C10" s="2" t="s">
        <v>288</v>
      </c>
      <c r="D10" s="211"/>
      <c r="E10" s="211"/>
      <c r="F10" s="175">
        <v>21.54</v>
      </c>
      <c r="G10" s="175">
        <f t="shared" si="0"/>
        <v>2.1539999999999999</v>
      </c>
      <c r="H10" s="176"/>
      <c r="I10" s="278">
        <f t="shared" si="1"/>
        <v>69.124482</v>
      </c>
      <c r="J10" s="278"/>
      <c r="K10" s="175"/>
      <c r="L10" s="180">
        <f t="shared" si="3"/>
        <v>1637.8354765080001</v>
      </c>
      <c r="M10" s="180"/>
      <c r="N10" s="212">
        <f t="shared" si="2"/>
        <v>-1637.8354765080001</v>
      </c>
    </row>
    <row r="11" spans="1:15" ht="32.25" customHeight="1" x14ac:dyDescent="0.4">
      <c r="A11" s="282" t="s">
        <v>22</v>
      </c>
      <c r="B11" s="296" t="s">
        <v>272</v>
      </c>
      <c r="C11" s="2" t="s">
        <v>290</v>
      </c>
      <c r="D11" s="211"/>
      <c r="E11" s="211"/>
      <c r="F11" s="175">
        <v>22.5</v>
      </c>
      <c r="G11" s="175">
        <f t="shared" si="0"/>
        <v>2.25</v>
      </c>
      <c r="H11" s="176"/>
      <c r="I11" s="278">
        <f t="shared" si="1"/>
        <v>69.124482</v>
      </c>
      <c r="J11" s="278"/>
      <c r="K11" s="175"/>
      <c r="L11" s="180">
        <f t="shared" si="3"/>
        <v>1710.8309294999999</v>
      </c>
      <c r="M11" s="180"/>
      <c r="N11" s="212">
        <f t="shared" si="2"/>
        <v>-1710.8309294999999</v>
      </c>
    </row>
    <row r="12" spans="1:15" ht="32.25" x14ac:dyDescent="0.4">
      <c r="A12" s="282" t="s">
        <v>22</v>
      </c>
      <c r="B12" s="84" t="s">
        <v>44</v>
      </c>
      <c r="C12" s="2" t="s">
        <v>293</v>
      </c>
      <c r="D12" s="211"/>
      <c r="E12" s="211"/>
      <c r="F12" s="175">
        <v>22.9</v>
      </c>
      <c r="G12" s="175">
        <f t="shared" si="0"/>
        <v>2.29</v>
      </c>
      <c r="H12" s="176"/>
      <c r="I12" s="278">
        <f t="shared" si="1"/>
        <v>69.124482</v>
      </c>
      <c r="J12" s="278"/>
      <c r="K12" s="175"/>
      <c r="L12" s="180">
        <f t="shared" si="3"/>
        <v>1741.2457015799998</v>
      </c>
      <c r="M12" s="180"/>
      <c r="N12" s="212">
        <f t="shared" si="2"/>
        <v>-1741.2457015799998</v>
      </c>
    </row>
    <row r="13" spans="1:15" ht="32.25" x14ac:dyDescent="0.4">
      <c r="A13" s="282" t="s">
        <v>22</v>
      </c>
      <c r="B13" s="84" t="s">
        <v>291</v>
      </c>
      <c r="C13" s="2" t="s">
        <v>292</v>
      </c>
      <c r="D13" s="211"/>
      <c r="E13" s="211"/>
      <c r="F13" s="175">
        <v>38.5</v>
      </c>
      <c r="G13" s="175">
        <f t="shared" si="0"/>
        <v>3.85</v>
      </c>
      <c r="H13" s="176"/>
      <c r="I13" s="278">
        <f t="shared" si="1"/>
        <v>69.124482</v>
      </c>
      <c r="J13" s="278"/>
      <c r="K13" s="175"/>
      <c r="L13" s="180">
        <f t="shared" si="3"/>
        <v>2927.4218126999999</v>
      </c>
      <c r="M13" s="248"/>
      <c r="N13" s="212">
        <f t="shared" si="2"/>
        <v>-2927.4218126999999</v>
      </c>
    </row>
    <row r="14" spans="1:15" ht="32.25" customHeight="1" x14ac:dyDescent="0.4">
      <c r="A14" s="282" t="s">
        <v>22</v>
      </c>
      <c r="B14" s="84" t="s">
        <v>294</v>
      </c>
      <c r="C14" s="2" t="s">
        <v>295</v>
      </c>
      <c r="D14" s="211"/>
      <c r="E14" s="211"/>
      <c r="F14" s="175">
        <v>32.840000000000003</v>
      </c>
      <c r="G14" s="175">
        <f t="shared" si="0"/>
        <v>3.2840000000000007</v>
      </c>
      <c r="H14" s="176"/>
      <c r="I14" s="278">
        <f t="shared" si="1"/>
        <v>69.124482</v>
      </c>
      <c r="J14" s="278"/>
      <c r="K14" s="175"/>
      <c r="L14" s="180">
        <f t="shared" si="3"/>
        <v>2497.0527877680001</v>
      </c>
      <c r="M14" s="180"/>
      <c r="N14" s="212">
        <f t="shared" si="2"/>
        <v>-2497.0527877680001</v>
      </c>
    </row>
    <row r="15" spans="1:15" ht="39" customHeight="1" x14ac:dyDescent="0.4">
      <c r="A15" s="284" t="s">
        <v>296</v>
      </c>
      <c r="B15" s="296" t="s">
        <v>272</v>
      </c>
      <c r="C15" s="2" t="s">
        <v>297</v>
      </c>
      <c r="D15" s="211"/>
      <c r="E15" s="211"/>
      <c r="F15" s="175">
        <v>89.99</v>
      </c>
      <c r="G15" s="175">
        <f t="shared" si="0"/>
        <v>8.9990000000000006</v>
      </c>
      <c r="H15" s="176"/>
      <c r="I15" s="278">
        <f t="shared" si="1"/>
        <v>69.124482</v>
      </c>
      <c r="J15" s="278"/>
      <c r="K15" s="175"/>
      <c r="L15" s="180">
        <f t="shared" si="3"/>
        <v>6842.5633486979996</v>
      </c>
      <c r="M15" s="180"/>
      <c r="N15" s="212">
        <f t="shared" si="2"/>
        <v>-6842.5633486979996</v>
      </c>
    </row>
    <row r="16" spans="1:15" ht="34.5" customHeight="1" x14ac:dyDescent="0.4">
      <c r="A16" s="283" t="s">
        <v>298</v>
      </c>
      <c r="B16" s="84" t="s">
        <v>299</v>
      </c>
      <c r="C16" s="2" t="s">
        <v>300</v>
      </c>
      <c r="D16" s="211"/>
      <c r="E16" s="211"/>
      <c r="F16" s="175">
        <v>18.75</v>
      </c>
      <c r="G16" s="175">
        <f t="shared" si="0"/>
        <v>1.875</v>
      </c>
      <c r="H16" s="176"/>
      <c r="I16" s="278">
        <f t="shared" si="1"/>
        <v>69.124482</v>
      </c>
      <c r="J16" s="278"/>
      <c r="K16" s="175"/>
      <c r="L16" s="180">
        <f>(F16+G16+H16)*I16+J16*K16</f>
        <v>1425.69244125</v>
      </c>
      <c r="M16" s="248"/>
      <c r="N16" s="212">
        <f>-L16+M16</f>
        <v>-1425.69244125</v>
      </c>
    </row>
    <row r="17" spans="1:14" ht="26.25" x14ac:dyDescent="0.4">
      <c r="A17" s="292" t="s">
        <v>125</v>
      </c>
      <c r="B17" s="84" t="s">
        <v>236</v>
      </c>
      <c r="C17" s="2" t="s">
        <v>301</v>
      </c>
      <c r="D17" s="211"/>
      <c r="E17" s="211"/>
      <c r="F17" s="175">
        <v>7.99</v>
      </c>
      <c r="G17" s="175">
        <f t="shared" si="0"/>
        <v>0.79900000000000004</v>
      </c>
      <c r="H17" s="176"/>
      <c r="I17" s="278">
        <f t="shared" si="1"/>
        <v>69.124482</v>
      </c>
      <c r="J17" s="278"/>
      <c r="K17" s="175"/>
      <c r="L17" s="180">
        <f t="shared" si="3"/>
        <v>607.53507229799993</v>
      </c>
      <c r="M17" s="180"/>
      <c r="N17" s="212">
        <f t="shared" si="2"/>
        <v>-607.53507229799993</v>
      </c>
    </row>
    <row r="18" spans="1:14" ht="26.25" x14ac:dyDescent="0.4">
      <c r="A18" s="294" t="s">
        <v>118</v>
      </c>
      <c r="B18" s="84" t="s">
        <v>14</v>
      </c>
      <c r="C18" s="2" t="s">
        <v>18</v>
      </c>
      <c r="D18" s="211"/>
      <c r="E18" s="211"/>
      <c r="F18" s="175">
        <v>14</v>
      </c>
      <c r="G18" s="175">
        <f t="shared" si="0"/>
        <v>1.4000000000000001</v>
      </c>
      <c r="H18" s="176"/>
      <c r="I18" s="278">
        <f t="shared" si="1"/>
        <v>69.124482</v>
      </c>
      <c r="J18" s="278"/>
      <c r="K18" s="175"/>
      <c r="L18" s="180">
        <f t="shared" si="3"/>
        <v>1064.5170227999999</v>
      </c>
      <c r="M18" s="180"/>
      <c r="N18" s="212">
        <f t="shared" si="2"/>
        <v>-1064.5170227999999</v>
      </c>
    </row>
    <row r="19" spans="1:14" ht="26.25" x14ac:dyDescent="0.4">
      <c r="A19" s="294" t="s">
        <v>118</v>
      </c>
      <c r="B19" s="84" t="s">
        <v>302</v>
      </c>
      <c r="C19" s="2" t="s">
        <v>303</v>
      </c>
      <c r="D19" s="211"/>
      <c r="E19" s="211"/>
      <c r="F19" s="175">
        <v>27</v>
      </c>
      <c r="G19" s="175">
        <f t="shared" si="0"/>
        <v>2.7</v>
      </c>
      <c r="H19" s="176"/>
      <c r="I19" s="278">
        <f t="shared" si="1"/>
        <v>69.124482</v>
      </c>
      <c r="J19" s="278"/>
      <c r="K19" s="175"/>
      <c r="L19" s="180">
        <f t="shared" si="3"/>
        <v>2052.9971154</v>
      </c>
      <c r="M19" s="180"/>
      <c r="N19" s="212">
        <f t="shared" si="2"/>
        <v>-2052.9971154</v>
      </c>
    </row>
    <row r="20" spans="1:14" ht="26.25" x14ac:dyDescent="0.4">
      <c r="A20" s="294" t="s">
        <v>118</v>
      </c>
      <c r="B20" s="84" t="s">
        <v>11</v>
      </c>
      <c r="C20" s="2" t="s">
        <v>304</v>
      </c>
      <c r="D20" s="211"/>
      <c r="E20" s="211"/>
      <c r="F20" s="175">
        <v>21</v>
      </c>
      <c r="G20" s="175">
        <f t="shared" si="0"/>
        <v>2.1</v>
      </c>
      <c r="H20" s="176"/>
      <c r="I20" s="278">
        <f t="shared" si="1"/>
        <v>69.124482</v>
      </c>
      <c r="J20" s="278"/>
      <c r="K20" s="175"/>
      <c r="L20" s="180">
        <f>(F20+G20+H20)*I20+J20*K20</f>
        <v>1596.7755342</v>
      </c>
      <c r="M20" s="180"/>
      <c r="N20" s="212">
        <f t="shared" si="2"/>
        <v>-1596.7755342</v>
      </c>
    </row>
    <row r="21" spans="1:14" ht="26.25" x14ac:dyDescent="0.4">
      <c r="A21" s="294" t="s">
        <v>118</v>
      </c>
      <c r="B21" s="296" t="s">
        <v>272</v>
      </c>
      <c r="C21" s="2" t="s">
        <v>305</v>
      </c>
      <c r="D21" s="211"/>
      <c r="E21" s="211"/>
      <c r="F21" s="175">
        <v>40</v>
      </c>
      <c r="G21" s="175">
        <f t="shared" si="0"/>
        <v>4</v>
      </c>
      <c r="H21" s="176"/>
      <c r="I21" s="278">
        <f t="shared" si="1"/>
        <v>69.124482</v>
      </c>
      <c r="J21" s="278"/>
      <c r="K21" s="175"/>
      <c r="L21" s="180">
        <f t="shared" si="3"/>
        <v>3041.4772080000002</v>
      </c>
      <c r="M21" s="248"/>
      <c r="N21" s="212">
        <f t="shared" si="2"/>
        <v>-3041.4772080000002</v>
      </c>
    </row>
    <row r="22" spans="1:14" ht="36.75" customHeight="1" x14ac:dyDescent="0.4">
      <c r="A22" s="308" t="s">
        <v>127</v>
      </c>
      <c r="B22" s="84" t="s">
        <v>306</v>
      </c>
      <c r="C22" s="2" t="s">
        <v>308</v>
      </c>
      <c r="D22" s="211"/>
      <c r="E22" s="211"/>
      <c r="F22" s="175">
        <v>13.5</v>
      </c>
      <c r="G22" s="175">
        <f t="shared" si="0"/>
        <v>1.35</v>
      </c>
      <c r="H22" s="176"/>
      <c r="I22" s="278">
        <f t="shared" si="1"/>
        <v>69.124482</v>
      </c>
      <c r="J22" s="278"/>
      <c r="K22" s="175"/>
      <c r="L22" s="180">
        <f t="shared" si="3"/>
        <v>1026.4985577</v>
      </c>
      <c r="M22" s="248"/>
      <c r="N22" s="212">
        <f t="shared" si="2"/>
        <v>-1026.4985577</v>
      </c>
    </row>
    <row r="23" spans="1:14" ht="21.75" customHeight="1" x14ac:dyDescent="0.4">
      <c r="A23" s="308" t="s">
        <v>127</v>
      </c>
      <c r="B23" s="84" t="s">
        <v>131</v>
      </c>
      <c r="C23" s="4" t="s">
        <v>309</v>
      </c>
      <c r="D23" s="211"/>
      <c r="E23" s="211"/>
      <c r="F23" s="175">
        <v>15</v>
      </c>
      <c r="G23" s="175">
        <f t="shared" si="0"/>
        <v>1.5</v>
      </c>
      <c r="H23" s="176"/>
      <c r="I23" s="278">
        <f t="shared" si="1"/>
        <v>69.124482</v>
      </c>
      <c r="J23" s="278"/>
      <c r="K23" s="175"/>
      <c r="L23" s="180">
        <f>(F23+G23+H23)*I23+J23*K23</f>
        <v>1140.5539530000001</v>
      </c>
      <c r="M23" s="180"/>
      <c r="N23" s="212">
        <f t="shared" si="2"/>
        <v>-1140.5539530000001</v>
      </c>
    </row>
    <row r="24" spans="1:14" ht="24" customHeight="1" x14ac:dyDescent="0.4">
      <c r="A24" s="308" t="s">
        <v>127</v>
      </c>
      <c r="B24" s="84" t="s">
        <v>302</v>
      </c>
      <c r="C24" s="2" t="s">
        <v>310</v>
      </c>
      <c r="D24" s="211"/>
      <c r="E24" s="211"/>
      <c r="F24" s="175">
        <v>32.25</v>
      </c>
      <c r="G24" s="175">
        <f t="shared" si="0"/>
        <v>3.2250000000000001</v>
      </c>
      <c r="H24" s="176"/>
      <c r="I24" s="278">
        <f t="shared" si="1"/>
        <v>69.124482</v>
      </c>
      <c r="J24" s="278"/>
      <c r="K24" s="175"/>
      <c r="L24" s="180">
        <f t="shared" ref="L24:L25" si="4">(F24+G24+H24)*I24+J24*K24</f>
        <v>2452.19099895</v>
      </c>
      <c r="M24" s="180"/>
      <c r="N24" s="212">
        <f t="shared" si="2"/>
        <v>-2452.19099895</v>
      </c>
    </row>
    <row r="25" spans="1:14" ht="21.75" customHeight="1" x14ac:dyDescent="0.4">
      <c r="A25" s="308" t="s">
        <v>127</v>
      </c>
      <c r="B25" s="84" t="s">
        <v>307</v>
      </c>
      <c r="C25" s="2" t="s">
        <v>311</v>
      </c>
      <c r="D25" s="211"/>
      <c r="E25" s="211"/>
      <c r="F25" s="175">
        <v>9.99</v>
      </c>
      <c r="G25" s="175">
        <f t="shared" si="0"/>
        <v>0.99900000000000011</v>
      </c>
      <c r="H25" s="176"/>
      <c r="I25" s="278">
        <f t="shared" si="1"/>
        <v>69.124482</v>
      </c>
      <c r="J25" s="278"/>
      <c r="K25" s="175"/>
      <c r="L25" s="180">
        <f t="shared" si="4"/>
        <v>759.6089326980001</v>
      </c>
      <c r="M25" s="248"/>
      <c r="N25" s="212">
        <f t="shared" si="2"/>
        <v>-759.6089326980001</v>
      </c>
    </row>
    <row r="26" spans="1:14" ht="32.25" x14ac:dyDescent="0.4">
      <c r="A26" s="308" t="s">
        <v>127</v>
      </c>
      <c r="B26" s="84" t="s">
        <v>129</v>
      </c>
      <c r="C26" s="2" t="s">
        <v>312</v>
      </c>
      <c r="D26" s="211"/>
      <c r="E26" s="211"/>
      <c r="F26" s="175">
        <v>13.5</v>
      </c>
      <c r="G26" s="175">
        <f t="shared" si="0"/>
        <v>1.35</v>
      </c>
      <c r="H26" s="176"/>
      <c r="I26" s="278">
        <f t="shared" si="1"/>
        <v>69.124482</v>
      </c>
      <c r="J26" s="278"/>
      <c r="K26" s="175"/>
      <c r="L26" s="180">
        <f t="shared" si="3"/>
        <v>1026.4985577</v>
      </c>
      <c r="M26" s="180"/>
      <c r="N26" s="212">
        <f t="shared" si="2"/>
        <v>-1026.4985577</v>
      </c>
    </row>
    <row r="27" spans="1:14" ht="34.5" customHeight="1" x14ac:dyDescent="0.4">
      <c r="A27" s="308" t="s">
        <v>127</v>
      </c>
      <c r="B27" s="296" t="s">
        <v>272</v>
      </c>
      <c r="C27" s="2" t="s">
        <v>313</v>
      </c>
      <c r="D27" s="211"/>
      <c r="E27" s="211"/>
      <c r="F27" s="175">
        <v>48.75</v>
      </c>
      <c r="G27" s="175">
        <f t="shared" si="0"/>
        <v>4.875</v>
      </c>
      <c r="H27" s="4"/>
      <c r="I27" s="278">
        <f t="shared" si="1"/>
        <v>69.124482</v>
      </c>
      <c r="J27" s="278"/>
      <c r="K27" s="175"/>
      <c r="L27" s="180">
        <f t="shared" si="3"/>
        <v>3706.80034725</v>
      </c>
      <c r="M27" s="211"/>
      <c r="N27" s="212">
        <f t="shared" si="2"/>
        <v>-3706.80034725</v>
      </c>
    </row>
    <row r="28" spans="1:14" ht="26.25" x14ac:dyDescent="0.4">
      <c r="A28" s="288" t="s">
        <v>95</v>
      </c>
      <c r="B28" s="84" t="s">
        <v>302</v>
      </c>
      <c r="C28" s="2" t="s">
        <v>317</v>
      </c>
      <c r="D28" s="2"/>
      <c r="E28" s="2"/>
      <c r="F28" s="175">
        <v>9.93</v>
      </c>
      <c r="G28" s="175">
        <f t="shared" si="0"/>
        <v>0.99299999999999999</v>
      </c>
      <c r="H28" s="4"/>
      <c r="I28" s="278">
        <f t="shared" si="1"/>
        <v>69.124482</v>
      </c>
      <c r="J28" s="278"/>
      <c r="K28" s="175"/>
      <c r="L28" s="180">
        <f t="shared" ref="L28:L42" si="5">(F28+G28+H28)*I28+J28*K28</f>
        <v>755.04671688600001</v>
      </c>
      <c r="M28" s="211"/>
      <c r="N28" s="212">
        <f t="shared" ref="N28:N42" si="6">-L28+M28</f>
        <v>-755.04671688600001</v>
      </c>
    </row>
    <row r="29" spans="1:14" ht="26.25" x14ac:dyDescent="0.4">
      <c r="A29" s="288" t="s">
        <v>95</v>
      </c>
      <c r="B29" s="84" t="s">
        <v>188</v>
      </c>
      <c r="C29" s="2" t="s">
        <v>318</v>
      </c>
      <c r="D29" s="2"/>
      <c r="E29" s="2"/>
      <c r="F29" s="175">
        <v>9.85</v>
      </c>
      <c r="G29" s="175">
        <f t="shared" si="0"/>
        <v>0.98499999999999999</v>
      </c>
      <c r="H29" s="4"/>
      <c r="I29" s="278">
        <f t="shared" si="1"/>
        <v>69.124482</v>
      </c>
      <c r="J29" s="278"/>
      <c r="K29" s="175"/>
      <c r="L29" s="180">
        <f t="shared" si="5"/>
        <v>748.96376246999989</v>
      </c>
      <c r="M29" s="211"/>
      <c r="N29" s="212">
        <f t="shared" si="6"/>
        <v>-748.96376246999989</v>
      </c>
    </row>
    <row r="30" spans="1:14" ht="26.25" x14ac:dyDescent="0.4">
      <c r="A30" s="288" t="s">
        <v>95</v>
      </c>
      <c r="B30" s="84" t="s">
        <v>299</v>
      </c>
      <c r="C30" s="2" t="s">
        <v>319</v>
      </c>
      <c r="D30" s="2"/>
      <c r="E30" s="2"/>
      <c r="F30" s="175">
        <v>2.97</v>
      </c>
      <c r="G30" s="175">
        <f t="shared" si="0"/>
        <v>0.29700000000000004</v>
      </c>
      <c r="H30" s="4"/>
      <c r="I30" s="278">
        <f t="shared" si="1"/>
        <v>69.124482</v>
      </c>
      <c r="J30" s="278"/>
      <c r="K30" s="175"/>
      <c r="L30" s="180">
        <f t="shared" si="5"/>
        <v>225.82968269400001</v>
      </c>
      <c r="M30" s="211"/>
      <c r="N30" s="212">
        <f t="shared" si="6"/>
        <v>-225.82968269400001</v>
      </c>
    </row>
    <row r="31" spans="1:14" ht="26.25" x14ac:dyDescent="0.4">
      <c r="A31" s="288" t="s">
        <v>95</v>
      </c>
      <c r="B31" s="84" t="s">
        <v>221</v>
      </c>
      <c r="C31" s="2" t="s">
        <v>17</v>
      </c>
      <c r="D31" s="2"/>
      <c r="E31" s="2"/>
      <c r="F31" s="175">
        <v>6.76</v>
      </c>
      <c r="G31" s="175">
        <f t="shared" si="0"/>
        <v>0.67600000000000005</v>
      </c>
      <c r="H31" s="4"/>
      <c r="I31" s="278">
        <f t="shared" si="1"/>
        <v>69.124482</v>
      </c>
      <c r="J31" s="278"/>
      <c r="K31" s="175"/>
      <c r="L31" s="180">
        <f t="shared" si="5"/>
        <v>514.00964815199995</v>
      </c>
      <c r="M31" s="211"/>
      <c r="N31" s="212">
        <f t="shared" si="6"/>
        <v>-514.00964815199995</v>
      </c>
    </row>
    <row r="32" spans="1:14" ht="26.25" x14ac:dyDescent="0.4">
      <c r="A32" s="288" t="s">
        <v>95</v>
      </c>
      <c r="B32" s="84" t="s">
        <v>314</v>
      </c>
      <c r="C32" s="2" t="s">
        <v>321</v>
      </c>
      <c r="D32" s="2"/>
      <c r="E32" s="2"/>
      <c r="F32" s="175">
        <v>24.93</v>
      </c>
      <c r="G32" s="175">
        <f t="shared" si="0"/>
        <v>2.4930000000000003</v>
      </c>
      <c r="H32" s="4"/>
      <c r="I32" s="278">
        <f t="shared" si="1"/>
        <v>69.124482</v>
      </c>
      <c r="J32" s="278"/>
      <c r="K32" s="175"/>
      <c r="L32" s="180">
        <f t="shared" si="5"/>
        <v>1895.6006698860001</v>
      </c>
      <c r="M32" s="211"/>
      <c r="N32" s="212">
        <f t="shared" si="6"/>
        <v>-1895.6006698860001</v>
      </c>
    </row>
    <row r="33" spans="1:15" ht="26.25" x14ac:dyDescent="0.4">
      <c r="A33" s="288" t="s">
        <v>95</v>
      </c>
      <c r="B33" s="84" t="s">
        <v>19</v>
      </c>
      <c r="C33" s="2" t="s">
        <v>320</v>
      </c>
      <c r="D33" s="2"/>
      <c r="E33" s="2"/>
      <c r="F33" s="175">
        <v>12.4</v>
      </c>
      <c r="G33" s="175">
        <f t="shared" si="0"/>
        <v>1.2400000000000002</v>
      </c>
      <c r="H33" s="4"/>
      <c r="I33" s="278">
        <f t="shared" si="1"/>
        <v>69.124482</v>
      </c>
      <c r="J33" s="278"/>
      <c r="K33" s="175"/>
      <c r="L33" s="180">
        <f t="shared" ref="L33:L38" si="7">(F33+G33+H33)*I33+J33*K33</f>
        <v>942.85793448000004</v>
      </c>
      <c r="M33" s="211"/>
      <c r="N33" s="212">
        <f t="shared" ref="N33:N38" si="8">-L33+M33</f>
        <v>-942.85793448000004</v>
      </c>
    </row>
    <row r="34" spans="1:15" ht="26.25" x14ac:dyDescent="0.4">
      <c r="A34" s="288" t="s">
        <v>95</v>
      </c>
      <c r="B34" s="84" t="s">
        <v>103</v>
      </c>
      <c r="C34" s="2" t="s">
        <v>322</v>
      </c>
      <c r="D34" s="2"/>
      <c r="E34" s="2"/>
      <c r="F34" s="175">
        <v>4.49</v>
      </c>
      <c r="G34" s="175">
        <f t="shared" si="0"/>
        <v>0.44900000000000007</v>
      </c>
      <c r="H34" s="4"/>
      <c r="I34" s="278">
        <f t="shared" si="1"/>
        <v>69.124482</v>
      </c>
      <c r="J34" s="278"/>
      <c r="K34" s="175"/>
      <c r="L34" s="180">
        <f t="shared" si="7"/>
        <v>341.405816598</v>
      </c>
      <c r="M34" s="211"/>
      <c r="N34" s="212">
        <f t="shared" si="8"/>
        <v>-341.405816598</v>
      </c>
    </row>
    <row r="35" spans="1:15" ht="26.25" x14ac:dyDescent="0.4">
      <c r="A35" s="288" t="s">
        <v>95</v>
      </c>
      <c r="B35" s="84" t="s">
        <v>315</v>
      </c>
      <c r="C35" s="2" t="s">
        <v>321</v>
      </c>
      <c r="D35" s="2"/>
      <c r="E35" s="2"/>
      <c r="F35" s="175">
        <v>24.65</v>
      </c>
      <c r="G35" s="175">
        <f t="shared" si="0"/>
        <v>2.4649999999999999</v>
      </c>
      <c r="H35" s="4"/>
      <c r="I35" s="278">
        <f t="shared" si="1"/>
        <v>69.124482</v>
      </c>
      <c r="J35" s="278"/>
      <c r="K35" s="175"/>
      <c r="L35" s="180">
        <f t="shared" si="7"/>
        <v>1874.3103294299999</v>
      </c>
      <c r="M35" s="211"/>
      <c r="N35" s="212">
        <f t="shared" si="8"/>
        <v>-1874.3103294299999</v>
      </c>
    </row>
    <row r="36" spans="1:15" ht="26.25" x14ac:dyDescent="0.4">
      <c r="A36" s="288" t="s">
        <v>95</v>
      </c>
      <c r="B36" s="84" t="s">
        <v>316</v>
      </c>
      <c r="C36" s="2" t="s">
        <v>323</v>
      </c>
      <c r="D36" s="2"/>
      <c r="E36" s="2"/>
      <c r="F36" s="175">
        <v>4.25</v>
      </c>
      <c r="G36" s="175">
        <f t="shared" si="0"/>
        <v>0.42500000000000004</v>
      </c>
      <c r="H36" s="4"/>
      <c r="I36" s="278">
        <f t="shared" si="1"/>
        <v>69.124482</v>
      </c>
      <c r="J36" s="278"/>
      <c r="K36" s="175"/>
      <c r="L36" s="180">
        <f t="shared" si="7"/>
        <v>323.15695334999998</v>
      </c>
      <c r="M36" s="211"/>
      <c r="N36" s="212">
        <f t="shared" si="8"/>
        <v>-323.15695334999998</v>
      </c>
    </row>
    <row r="37" spans="1:15" ht="26.25" x14ac:dyDescent="0.4">
      <c r="A37" s="288" t="s">
        <v>95</v>
      </c>
      <c r="B37" s="84" t="s">
        <v>169</v>
      </c>
      <c r="C37" s="2" t="s">
        <v>321</v>
      </c>
      <c r="D37" s="2"/>
      <c r="E37" s="2"/>
      <c r="F37" s="175">
        <v>58.37</v>
      </c>
      <c r="G37" s="175">
        <f t="shared" si="0"/>
        <v>5.8369999999999997</v>
      </c>
      <c r="H37" s="4"/>
      <c r="I37" s="278">
        <f t="shared" si="1"/>
        <v>69.124482</v>
      </c>
      <c r="J37" s="278"/>
      <c r="K37" s="175"/>
      <c r="L37" s="180">
        <f t="shared" si="7"/>
        <v>4438.2756157739996</v>
      </c>
      <c r="M37" s="211"/>
      <c r="N37" s="212">
        <f t="shared" si="8"/>
        <v>-4438.2756157739996</v>
      </c>
    </row>
    <row r="38" spans="1:15" ht="26.25" x14ac:dyDescent="0.4">
      <c r="A38" s="288" t="s">
        <v>95</v>
      </c>
      <c r="B38" s="296" t="s">
        <v>272</v>
      </c>
      <c r="C38" s="2" t="s">
        <v>323</v>
      </c>
      <c r="D38" s="2"/>
      <c r="E38" s="2"/>
      <c r="F38" s="175">
        <v>4.25</v>
      </c>
      <c r="G38" s="175">
        <f t="shared" si="0"/>
        <v>0.42500000000000004</v>
      </c>
      <c r="H38" s="4"/>
      <c r="I38" s="278">
        <f t="shared" si="1"/>
        <v>69.124482</v>
      </c>
      <c r="J38" s="278"/>
      <c r="K38" s="175"/>
      <c r="L38" s="180">
        <f t="shared" si="7"/>
        <v>323.15695334999998</v>
      </c>
      <c r="M38" s="211"/>
      <c r="N38" s="212">
        <f t="shared" si="8"/>
        <v>-323.15695334999998</v>
      </c>
    </row>
    <row r="39" spans="1:15" ht="26.25" x14ac:dyDescent="0.4">
      <c r="A39" s="288" t="s">
        <v>95</v>
      </c>
      <c r="B39" s="84" t="s">
        <v>131</v>
      </c>
      <c r="C39" s="2" t="s">
        <v>321</v>
      </c>
      <c r="D39" s="2"/>
      <c r="E39" s="2"/>
      <c r="F39" s="175">
        <v>25.77</v>
      </c>
      <c r="G39" s="175">
        <f t="shared" si="0"/>
        <v>2.577</v>
      </c>
      <c r="H39" s="4"/>
      <c r="I39" s="278">
        <f t="shared" si="1"/>
        <v>69.124482</v>
      </c>
      <c r="J39" s="278"/>
      <c r="K39" s="175"/>
      <c r="L39" s="180">
        <f t="shared" si="5"/>
        <v>1959.471691254</v>
      </c>
      <c r="M39" s="211"/>
      <c r="N39" s="212">
        <f t="shared" si="6"/>
        <v>-1959.471691254</v>
      </c>
    </row>
    <row r="40" spans="1:15" ht="26.25" x14ac:dyDescent="0.4">
      <c r="A40" s="295" t="s">
        <v>111</v>
      </c>
      <c r="B40" s="84" t="s">
        <v>326</v>
      </c>
      <c r="C40" s="300"/>
      <c r="D40" s="300"/>
      <c r="E40" s="300"/>
      <c r="F40" s="301">
        <f t="shared" ref="F40:F42" si="9">D40*E40</f>
        <v>0</v>
      </c>
      <c r="G40" s="301">
        <f t="shared" si="0"/>
        <v>0</v>
      </c>
      <c r="H40" s="302"/>
      <c r="I40" s="303">
        <f t="shared" si="1"/>
        <v>69.124482</v>
      </c>
      <c r="J40" s="303"/>
      <c r="K40" s="301"/>
      <c r="L40" s="304">
        <f t="shared" si="5"/>
        <v>0</v>
      </c>
      <c r="M40" s="305"/>
      <c r="N40" s="306">
        <f t="shared" si="6"/>
        <v>0</v>
      </c>
      <c r="O40" s="307" t="s">
        <v>328</v>
      </c>
    </row>
    <row r="41" spans="1:15" ht="26.25" x14ac:dyDescent="0.4">
      <c r="A41" s="295" t="s">
        <v>111</v>
      </c>
      <c r="B41" s="84" t="s">
        <v>272</v>
      </c>
      <c r="C41" s="300"/>
      <c r="D41" s="300"/>
      <c r="E41" s="300"/>
      <c r="F41" s="301">
        <f t="shared" si="9"/>
        <v>0</v>
      </c>
      <c r="G41" s="301">
        <f t="shared" si="0"/>
        <v>0</v>
      </c>
      <c r="H41" s="302"/>
      <c r="I41" s="303">
        <f t="shared" si="1"/>
        <v>69.124482</v>
      </c>
      <c r="J41" s="303"/>
      <c r="K41" s="301"/>
      <c r="L41" s="304">
        <f t="shared" si="5"/>
        <v>0</v>
      </c>
      <c r="M41" s="305"/>
      <c r="N41" s="306">
        <f t="shared" si="6"/>
        <v>0</v>
      </c>
      <c r="O41" s="307" t="s">
        <v>328</v>
      </c>
    </row>
    <row r="42" spans="1:15" ht="26.25" x14ac:dyDescent="0.4">
      <c r="A42" s="295" t="s">
        <v>111</v>
      </c>
      <c r="B42" s="84" t="s">
        <v>327</v>
      </c>
      <c r="C42" s="300"/>
      <c r="D42" s="300"/>
      <c r="E42" s="300"/>
      <c r="F42" s="301">
        <f t="shared" si="9"/>
        <v>0</v>
      </c>
      <c r="G42" s="301">
        <f t="shared" si="0"/>
        <v>0</v>
      </c>
      <c r="H42" s="302"/>
      <c r="I42" s="303">
        <f t="shared" si="1"/>
        <v>69.124482</v>
      </c>
      <c r="J42" s="303"/>
      <c r="K42" s="301"/>
      <c r="L42" s="304">
        <f t="shared" si="5"/>
        <v>0</v>
      </c>
      <c r="M42" s="305"/>
      <c r="N42" s="306">
        <f t="shared" si="6"/>
        <v>0</v>
      </c>
      <c r="O42" s="307" t="s">
        <v>328</v>
      </c>
    </row>
    <row r="43" spans="1:15" ht="26.25" x14ac:dyDescent="0.4">
      <c r="A43" s="295" t="s">
        <v>111</v>
      </c>
      <c r="B43" s="84" t="s">
        <v>9</v>
      </c>
      <c r="C43" s="300"/>
      <c r="D43" s="300"/>
      <c r="E43" s="300"/>
      <c r="F43" s="301">
        <f t="shared" ref="F43" si="10">D43*E43</f>
        <v>0</v>
      </c>
      <c r="G43" s="301">
        <f t="shared" si="0"/>
        <v>0</v>
      </c>
      <c r="H43" s="302"/>
      <c r="I43" s="303">
        <f t="shared" si="1"/>
        <v>69.124482</v>
      </c>
      <c r="J43" s="303"/>
      <c r="K43" s="301"/>
      <c r="L43" s="304">
        <f t="shared" ref="L43" si="11">(F43+G43+H43)*I43+J43*K43</f>
        <v>0</v>
      </c>
      <c r="M43" s="305"/>
      <c r="N43" s="306">
        <f t="shared" ref="N43" si="12">-L43+M43</f>
        <v>0</v>
      </c>
      <c r="O43" s="307" t="s">
        <v>328</v>
      </c>
    </row>
    <row r="45" spans="1:15" ht="26.25" x14ac:dyDescent="0.4">
      <c r="A45" s="279" t="s">
        <v>259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2015-12-05T07:56:01Z</dcterms:modified>
</cp:coreProperties>
</file>