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800" yWindow="75" windowWidth="15900" windowHeight="12600" activeTab="3"/>
  </bookViews>
  <sheets>
    <sheet name="1" sheetId="1" r:id="rId1"/>
    <sheet name="2" sheetId="2" r:id="rId2"/>
    <sheet name="3" sheetId="3" r:id="rId3"/>
    <sheet name="4" sheetId="4" r:id="rId4"/>
  </sheets>
  <calcPr calcId="125725" iterateDelta="1E-4"/>
</workbook>
</file>

<file path=xl/calcChain.xml><?xml version="1.0" encoding="utf-8"?>
<calcChain xmlns="http://schemas.openxmlformats.org/spreadsheetml/2006/main">
  <c r="E56" i="4"/>
  <c r="E55"/>
  <c r="E54"/>
  <c r="F54" l="1"/>
  <c r="F55"/>
  <c r="F56"/>
  <c r="F57"/>
  <c r="F58"/>
  <c r="L57" l="1"/>
  <c r="N57" s="1"/>
  <c r="G58"/>
  <c r="L58" s="1"/>
  <c r="N58" s="1"/>
  <c r="G57"/>
  <c r="G56"/>
  <c r="L56" s="1"/>
  <c r="N56" s="1"/>
  <c r="G55"/>
  <c r="L55" s="1"/>
  <c r="N55" s="1"/>
  <c r="G54"/>
  <c r="L54" s="1"/>
  <c r="N54" s="1"/>
  <c r="E45" l="1"/>
  <c r="E47"/>
  <c r="E46"/>
  <c r="E49"/>
  <c r="E48"/>
  <c r="F52" l="1"/>
  <c r="G52" s="1"/>
  <c r="F51"/>
  <c r="G51" s="1"/>
  <c r="F50"/>
  <c r="G50" s="1"/>
  <c r="F49"/>
  <c r="G49" s="1"/>
  <c r="F46"/>
  <c r="G46" s="1"/>
  <c r="F45"/>
  <c r="G45" s="1"/>
  <c r="F53"/>
  <c r="G53" s="1"/>
  <c r="F48"/>
  <c r="F47"/>
  <c r="G47" s="1"/>
  <c r="L47" s="1"/>
  <c r="N47" s="1"/>
  <c r="F42"/>
  <c r="G42" s="1"/>
  <c r="F41"/>
  <c r="G41" s="1"/>
  <c r="F40"/>
  <c r="G40" s="1"/>
  <c r="E39"/>
  <c r="L53" l="1"/>
  <c r="N53" s="1"/>
  <c r="L48"/>
  <c r="N48" s="1"/>
  <c r="G48"/>
  <c r="L49"/>
  <c r="N49" s="1"/>
  <c r="L50"/>
  <c r="N50" s="1"/>
  <c r="L51"/>
  <c r="N51" s="1"/>
  <c r="L52"/>
  <c r="N52" s="1"/>
  <c r="L46"/>
  <c r="N46" s="1"/>
  <c r="L45"/>
  <c r="N45" s="1"/>
  <c r="L40"/>
  <c r="N40" s="1"/>
  <c r="L41"/>
  <c r="N41" s="1"/>
  <c r="L42"/>
  <c r="N42" s="1"/>
  <c r="F39"/>
  <c r="E38"/>
  <c r="F38" s="1"/>
  <c r="E37"/>
  <c r="F37" s="1"/>
  <c r="E36"/>
  <c r="F36" s="1"/>
  <c r="G36" s="1"/>
  <c r="E35"/>
  <c r="F35" s="1"/>
  <c r="E34"/>
  <c r="F34" s="1"/>
  <c r="G34" s="1"/>
  <c r="L34" s="1"/>
  <c r="N34" s="1"/>
  <c r="E33"/>
  <c r="F33" s="1"/>
  <c r="G33" s="1"/>
  <c r="L33" s="1"/>
  <c r="N33" s="1"/>
  <c r="F43"/>
  <c r="F44"/>
  <c r="F59"/>
  <c r="F32"/>
  <c r="G32" s="1"/>
  <c r="L32" s="1"/>
  <c r="N32" s="1"/>
  <c r="F31"/>
  <c r="G31" s="1"/>
  <c r="L31" s="1"/>
  <c r="N31" s="1"/>
  <c r="F30"/>
  <c r="G30" s="1"/>
  <c r="L30" s="1"/>
  <c r="N30" s="1"/>
  <c r="F29"/>
  <c r="G29" s="1"/>
  <c r="L29" s="1"/>
  <c r="N29" s="1"/>
  <c r="F28"/>
  <c r="G28" s="1"/>
  <c r="L28" s="1"/>
  <c r="N28" s="1"/>
  <c r="F27"/>
  <c r="G27" s="1"/>
  <c r="L27" s="1"/>
  <c r="N27" s="1"/>
  <c r="F26"/>
  <c r="G26" s="1"/>
  <c r="L26" s="1"/>
  <c r="N26" s="1"/>
  <c r="L59" l="1"/>
  <c r="N59" s="1"/>
  <c r="G59"/>
  <c r="G44"/>
  <c r="L44" s="1"/>
  <c r="N44" s="1"/>
  <c r="G43"/>
  <c r="L43" s="1"/>
  <c r="N43" s="1"/>
  <c r="G39"/>
  <c r="L39" s="1"/>
  <c r="N39" s="1"/>
  <c r="G38"/>
  <c r="L38" s="1"/>
  <c r="N38" s="1"/>
  <c r="G37"/>
  <c r="L37" s="1"/>
  <c r="N37" s="1"/>
  <c r="G35"/>
  <c r="L35" s="1"/>
  <c r="N35" s="1"/>
  <c r="L36"/>
  <c r="N36" s="1"/>
  <c r="F25"/>
  <c r="G25" s="1"/>
  <c r="L25" s="1"/>
  <c r="N25" s="1"/>
  <c r="F24"/>
  <c r="G24" s="1"/>
  <c r="G23"/>
  <c r="F23"/>
  <c r="L23" s="1"/>
  <c r="N23" s="1"/>
  <c r="G22"/>
  <c r="F22"/>
  <c r="F21"/>
  <c r="G21" s="1"/>
  <c r="F20"/>
  <c r="G20" s="1"/>
  <c r="F19"/>
  <c r="G19" s="1"/>
  <c r="F18"/>
  <c r="G18" s="1"/>
  <c r="F17"/>
  <c r="G17" s="1"/>
  <c r="I8"/>
  <c r="I9"/>
  <c r="I10"/>
  <c r="I7"/>
  <c r="F16"/>
  <c r="G16" s="1"/>
  <c r="F15"/>
  <c r="F14"/>
  <c r="G14" s="1"/>
  <c r="F13"/>
  <c r="G13" s="1"/>
  <c r="L13" s="1"/>
  <c r="F12"/>
  <c r="G12" s="1"/>
  <c r="L12" s="1"/>
  <c r="N12" s="1"/>
  <c r="F11"/>
  <c r="G11" s="1"/>
  <c r="F10"/>
  <c r="G10" s="1"/>
  <c r="F9"/>
  <c r="G9" s="1"/>
  <c r="F8"/>
  <c r="G8" s="1"/>
  <c r="F7"/>
  <c r="G7" s="1"/>
  <c r="M12" i="2"/>
  <c r="M27"/>
  <c r="L22" i="4" l="1"/>
  <c r="N22" s="1"/>
  <c r="L24"/>
  <c r="N24" s="1"/>
  <c r="L17"/>
  <c r="N17" s="1"/>
  <c r="L18"/>
  <c r="N18" s="1"/>
  <c r="L19"/>
  <c r="N19" s="1"/>
  <c r="L20"/>
  <c r="N20" s="1"/>
  <c r="L21"/>
  <c r="N21" s="1"/>
  <c r="L7"/>
  <c r="N7" s="1"/>
  <c r="L10"/>
  <c r="N10" s="1"/>
  <c r="N13"/>
  <c r="L14"/>
  <c r="N14" s="1"/>
  <c r="L8"/>
  <c r="N8" s="1"/>
  <c r="G15"/>
  <c r="L15" s="1"/>
  <c r="N15" s="1"/>
  <c r="L9"/>
  <c r="N9" s="1"/>
  <c r="L11"/>
  <c r="N11" s="1"/>
  <c r="L16"/>
  <c r="N16" s="1"/>
  <c r="M24" i="2"/>
  <c r="M25"/>
  <c r="M21"/>
  <c r="M28"/>
  <c r="M20"/>
  <c r="G30"/>
  <c r="J23"/>
  <c r="M29"/>
  <c r="M19"/>
  <c r="M5" i="3"/>
  <c r="M4"/>
  <c r="M6"/>
  <c r="M3"/>
  <c r="J7"/>
  <c r="J6"/>
  <c r="F7"/>
  <c r="G7" s="1"/>
  <c r="L7" s="1"/>
  <c r="N7" s="1"/>
  <c r="G6"/>
  <c r="L6" s="1"/>
  <c r="F6"/>
  <c r="J4"/>
  <c r="J3"/>
  <c r="F5"/>
  <c r="G5" s="1"/>
  <c r="F4"/>
  <c r="G4" s="1"/>
  <c r="F3"/>
  <c r="G3" s="1"/>
  <c r="J24" i="2"/>
  <c r="J25"/>
  <c r="J26"/>
  <c r="J27"/>
  <c r="J28"/>
  <c r="J29"/>
  <c r="J49" i="1"/>
  <c r="G23" i="2"/>
  <c r="L23" s="1"/>
  <c r="G29"/>
  <c r="G28"/>
  <c r="G27"/>
  <c r="G26"/>
  <c r="G25"/>
  <c r="G24"/>
  <c r="L24" l="1"/>
  <c r="L28"/>
  <c r="N28" s="1"/>
  <c r="L27"/>
  <c r="L26"/>
  <c r="N26" s="1"/>
  <c r="L29"/>
  <c r="L25"/>
  <c r="N25" s="1"/>
  <c r="N6" i="3"/>
  <c r="L5"/>
  <c r="N5" s="1"/>
  <c r="L4"/>
  <c r="N4" s="1"/>
  <c r="L3"/>
  <c r="N3" s="1"/>
  <c r="N24" i="2"/>
  <c r="N23"/>
  <c r="N27"/>
  <c r="N29"/>
  <c r="J20" l="1"/>
  <c r="J19"/>
  <c r="M11" l="1"/>
  <c r="M17" l="1"/>
  <c r="M16" l="1"/>
  <c r="M15"/>
  <c r="M10"/>
  <c r="M14"/>
  <c r="M8" l="1"/>
  <c r="M9" l="1"/>
  <c r="J11" l="1"/>
  <c r="J10"/>
  <c r="F21" l="1"/>
  <c r="G21" s="1"/>
  <c r="L21" l="1"/>
  <c r="N21" s="1"/>
  <c r="M19" i="1"/>
  <c r="F16" i="2" l="1"/>
  <c r="G16" s="1"/>
  <c r="F15"/>
  <c r="G15" s="1"/>
  <c r="L16" l="1"/>
  <c r="N16" s="1"/>
  <c r="L15"/>
  <c r="N15" s="1"/>
  <c r="F17"/>
  <c r="F14"/>
  <c r="G14" s="1"/>
  <c r="F13"/>
  <c r="F12"/>
  <c r="G12" s="1"/>
  <c r="F11"/>
  <c r="F10"/>
  <c r="G10" s="1"/>
  <c r="F9"/>
  <c r="F8"/>
  <c r="F20"/>
  <c r="G20" s="1"/>
  <c r="F19"/>
  <c r="M41" i="1"/>
  <c r="G8" i="2" l="1"/>
  <c r="L8" s="1"/>
  <c r="N8" s="1"/>
  <c r="G11"/>
  <c r="L11" s="1"/>
  <c r="N11" s="1"/>
  <c r="L10"/>
  <c r="N10" s="1"/>
  <c r="L20"/>
  <c r="N20" s="1"/>
  <c r="L14"/>
  <c r="N14" s="1"/>
  <c r="L12"/>
  <c r="N12" s="1"/>
  <c r="G19"/>
  <c r="L19" s="1"/>
  <c r="G17"/>
  <c r="L17" s="1"/>
  <c r="N17" s="1"/>
  <c r="G13"/>
  <c r="L13" s="1"/>
  <c r="N13" s="1"/>
  <c r="G9"/>
  <c r="L9" s="1"/>
  <c r="N9" s="1"/>
  <c r="O40" i="1"/>
  <c r="M49"/>
  <c r="M31"/>
  <c r="M39"/>
  <c r="M43"/>
  <c r="M50"/>
  <c r="M21"/>
  <c r="M24"/>
  <c r="M42"/>
  <c r="M48"/>
  <c r="M29"/>
  <c r="M9"/>
  <c r="M20"/>
  <c r="M13"/>
  <c r="M22"/>
  <c r="M14"/>
  <c r="M23"/>
  <c r="M28"/>
  <c r="M15"/>
  <c r="M11"/>
  <c r="M10"/>
  <c r="M12"/>
  <c r="M40"/>
  <c r="M26"/>
  <c r="M27"/>
  <c r="M47"/>
  <c r="M38"/>
  <c r="N19" i="2" l="1"/>
  <c r="J47" i="1"/>
  <c r="M30"/>
  <c r="M25" l="1"/>
  <c r="J31" l="1"/>
  <c r="J30"/>
  <c r="J29"/>
  <c r="J28"/>
  <c r="J27"/>
  <c r="G31"/>
  <c r="G30"/>
  <c r="G29"/>
  <c r="G28"/>
  <c r="G27"/>
  <c r="G26"/>
  <c r="L26" s="1"/>
  <c r="N26" s="1"/>
  <c r="L27" l="1"/>
  <c r="N27" s="1"/>
  <c r="L31"/>
  <c r="N31" s="1"/>
  <c r="L30"/>
  <c r="N30" s="1"/>
  <c r="L29"/>
  <c r="N29" s="1"/>
  <c r="L28"/>
  <c r="N28" s="1"/>
  <c r="J25"/>
  <c r="J24"/>
  <c r="J40" l="1"/>
  <c r="J39"/>
  <c r="J48"/>
  <c r="J50"/>
  <c r="J51"/>
  <c r="F52"/>
  <c r="D52"/>
  <c r="G51"/>
  <c r="G50"/>
  <c r="G49"/>
  <c r="G48"/>
  <c r="G47"/>
  <c r="L47" s="1"/>
  <c r="N47" s="1"/>
  <c r="L49" l="1"/>
  <c r="N49" s="1"/>
  <c r="L48"/>
  <c r="N48" s="1"/>
  <c r="L50"/>
  <c r="N50" s="1"/>
  <c r="J42"/>
  <c r="J43"/>
  <c r="J44"/>
  <c r="J45"/>
  <c r="J41"/>
  <c r="J15" l="1"/>
  <c r="J16"/>
  <c r="J17"/>
  <c r="J18"/>
  <c r="J14"/>
  <c r="J9"/>
  <c r="H9"/>
  <c r="G23" l="1"/>
  <c r="L23" s="1"/>
  <c r="G24"/>
  <c r="L24" s="1"/>
  <c r="G25"/>
  <c r="L25" s="1"/>
  <c r="G22"/>
  <c r="L22" s="1"/>
  <c r="N22" l="1"/>
  <c r="N24"/>
  <c r="N23"/>
  <c r="N25"/>
  <c r="F21" l="1"/>
  <c r="F38"/>
  <c r="F40"/>
  <c r="F41"/>
  <c r="F42"/>
  <c r="F43"/>
  <c r="F44"/>
  <c r="F45"/>
  <c r="G43" l="1"/>
  <c r="L43" s="1"/>
  <c r="G44"/>
  <c r="L44" s="1"/>
  <c r="G42"/>
  <c r="L42" s="1"/>
  <c r="G40"/>
  <c r="L40" s="1"/>
  <c r="G38"/>
  <c r="L38" s="1"/>
  <c r="N38" s="1"/>
  <c r="G45"/>
  <c r="L45" s="1"/>
  <c r="G21"/>
  <c r="L21" s="1"/>
  <c r="N21" s="1"/>
  <c r="G41"/>
  <c r="L41" s="1"/>
  <c r="F12" l="1"/>
  <c r="G12" l="1"/>
  <c r="L12" s="1"/>
  <c r="F13"/>
  <c r="E18"/>
  <c r="F18" s="1"/>
  <c r="E17"/>
  <c r="F17" s="1"/>
  <c r="E16"/>
  <c r="F16" s="1"/>
  <c r="E15"/>
  <c r="F15" s="1"/>
  <c r="E14"/>
  <c r="F14" s="1"/>
  <c r="F9"/>
  <c r="F10"/>
  <c r="F11"/>
  <c r="F19"/>
  <c r="F20"/>
  <c r="F39"/>
  <c r="G11" l="1"/>
  <c r="L11" s="1"/>
  <c r="N11" s="1"/>
  <c r="G39"/>
  <c r="L39" s="1"/>
  <c r="G10"/>
  <c r="L10" s="1"/>
  <c r="G14"/>
  <c r="L14" s="1"/>
  <c r="G16"/>
  <c r="L16" s="1"/>
  <c r="N16" s="1"/>
  <c r="G18"/>
  <c r="L18" s="1"/>
  <c r="G20"/>
  <c r="L20" s="1"/>
  <c r="G15"/>
  <c r="L15" s="1"/>
  <c r="N15" s="1"/>
  <c r="G17"/>
  <c r="L17" s="1"/>
  <c r="G13"/>
  <c r="L13" s="1"/>
  <c r="N13" s="1"/>
  <c r="G19"/>
  <c r="L19" s="1"/>
  <c r="N12"/>
  <c r="N41"/>
  <c r="N44"/>
  <c r="N40"/>
  <c r="N45"/>
  <c r="N43"/>
  <c r="N42"/>
  <c r="G9"/>
  <c r="L9" l="1"/>
  <c r="N9" s="1"/>
  <c r="N20"/>
  <c r="N18"/>
  <c r="N14"/>
  <c r="N10"/>
  <c r="N17"/>
  <c r="N39"/>
  <c r="N19"/>
</calcChain>
</file>

<file path=xl/comments1.xml><?xml version="1.0" encoding="utf-8"?>
<comments xmlns="http://schemas.openxmlformats.org/spreadsheetml/2006/main">
  <authors>
    <author>Автор</author>
  </authors>
  <commentList>
    <comment ref="J8" author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J6" author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J2" author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J6" author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204"/>
          </rPr>
          <t>комиссия сайта</t>
        </r>
      </text>
    </comment>
  </commentList>
</comments>
</file>

<file path=xl/sharedStrings.xml><?xml version="1.0" encoding="utf-8"?>
<sst xmlns="http://schemas.openxmlformats.org/spreadsheetml/2006/main" count="431" uniqueCount="190">
  <si>
    <t>Ник УЗ</t>
  </si>
  <si>
    <t>наименование</t>
  </si>
  <si>
    <t>Кол-во</t>
  </si>
  <si>
    <t>Цена</t>
  </si>
  <si>
    <t>Итого</t>
  </si>
  <si>
    <t>Орг%</t>
  </si>
  <si>
    <t>Доставка по США</t>
  </si>
  <si>
    <t>Оплачено</t>
  </si>
  <si>
    <t>Долг (-), депозит (+)</t>
  </si>
  <si>
    <t>vfkbyf</t>
  </si>
  <si>
    <t>it cosmetic bye bye under eye</t>
  </si>
  <si>
    <t>Медведица</t>
  </si>
  <si>
    <t>полоски</t>
  </si>
  <si>
    <t>бьютиблендер и очиститель</t>
  </si>
  <si>
    <t>hellcat222</t>
  </si>
  <si>
    <t>блески</t>
  </si>
  <si>
    <t xml:space="preserve"> =Тата=</t>
  </si>
  <si>
    <t>тени</t>
  </si>
  <si>
    <t>помада</t>
  </si>
  <si>
    <t>Яшеничка</t>
  </si>
  <si>
    <t>кофта</t>
  </si>
  <si>
    <t>Цена* кол-во</t>
  </si>
  <si>
    <t>amazon</t>
  </si>
  <si>
    <t>cherryculture</t>
  </si>
  <si>
    <t>beauty</t>
  </si>
  <si>
    <t>torokova123</t>
  </si>
  <si>
    <t>третиноин</t>
  </si>
  <si>
    <t>apothecarie</t>
  </si>
  <si>
    <t>набор для бровей</t>
  </si>
  <si>
    <t>Добрая:)</t>
  </si>
  <si>
    <t>кисти 2 шт</t>
  </si>
  <si>
    <t>Assana</t>
  </si>
  <si>
    <t>MAC</t>
  </si>
  <si>
    <t>MAC 3 позиции</t>
  </si>
  <si>
    <t>may-lydmila</t>
  </si>
  <si>
    <t>p_tasha</t>
  </si>
  <si>
    <t>MAKE UP FOR EVER Aqua Brow оттенок 30</t>
  </si>
  <si>
    <t>YVES SAINT LAURENT  LA LAQUE COUTURE Nail Lacquer COLOR 23 Gris Deco - simply grey </t>
  </si>
  <si>
    <t>кисть</t>
  </si>
  <si>
    <t>точилка</t>
  </si>
  <si>
    <t>BOBBI BROWN Blush Tawny - medium pinky brown</t>
  </si>
  <si>
    <t>mac</t>
  </si>
  <si>
    <t>sefora</t>
  </si>
  <si>
    <t>inglot</t>
  </si>
  <si>
    <t>julary</t>
  </si>
  <si>
    <t>beautyencounter</t>
  </si>
  <si>
    <t>olishna72</t>
  </si>
  <si>
    <t>косметика</t>
  </si>
  <si>
    <t>туал.вода</t>
  </si>
  <si>
    <t>IRINAchka</t>
  </si>
  <si>
    <t>Julary</t>
  </si>
  <si>
    <t>Eule</t>
  </si>
  <si>
    <t>everydayminerals</t>
  </si>
  <si>
    <t>сайт</t>
  </si>
  <si>
    <t>Посылка 2</t>
  </si>
  <si>
    <t>Посылка 1</t>
  </si>
  <si>
    <t>Курс</t>
  </si>
  <si>
    <t>Доставка в РФ</t>
  </si>
  <si>
    <t>Курс доставки</t>
  </si>
  <si>
    <t>zoya</t>
  </si>
  <si>
    <t>coastal</t>
  </si>
  <si>
    <t>сумма заказа</t>
  </si>
  <si>
    <t>кол-во беспл. позиций</t>
  </si>
  <si>
    <t>Olishna72</t>
  </si>
  <si>
    <t>may-lyudmila</t>
  </si>
  <si>
    <t>hibiskus</t>
  </si>
  <si>
    <t>я</t>
  </si>
  <si>
    <t>Доставка в РФ*</t>
  </si>
  <si>
    <t>Инструкция:</t>
  </si>
  <si>
    <t>1. Ищите свой ник в столбце В</t>
  </si>
  <si>
    <t>3. Если заказов несколько было, то суммируйте долги из столбца N</t>
  </si>
  <si>
    <t>2. В столбце N в строке Ващего ника сумма долга с учетом сделанных оплат. Долг отмечен с минусом!</t>
  </si>
  <si>
    <t>anastasia</t>
  </si>
  <si>
    <t>Laina</t>
  </si>
  <si>
    <t>Блестящая</t>
  </si>
  <si>
    <t>Зенина Юлия</t>
  </si>
  <si>
    <t>mendilin</t>
  </si>
  <si>
    <t>luddy</t>
  </si>
  <si>
    <t>получена</t>
  </si>
  <si>
    <t>ждём</t>
  </si>
  <si>
    <t>beautyencaunter</t>
  </si>
  <si>
    <t>3 позиции</t>
  </si>
  <si>
    <t>Курс будет уточнен после списания банком</t>
  </si>
  <si>
    <t>skinstore</t>
  </si>
  <si>
    <t>Татьянка_я</t>
  </si>
  <si>
    <t>Alterna Caviar Experience Kit</t>
  </si>
  <si>
    <t>Юля-я</t>
  </si>
  <si>
    <t>Aussie</t>
  </si>
  <si>
    <t>дезодорант</t>
  </si>
  <si>
    <t>2 позиции (пудра. бальзамы)</t>
  </si>
  <si>
    <t xml:space="preserve">Columbia-Womens-Benton-Springs-Fleece Razzle размер М </t>
  </si>
  <si>
    <t>Тарасова</t>
  </si>
  <si>
    <t xml:space="preserve">рефилл haux </t>
  </si>
  <si>
    <t>рефилл haux , рефилл Harmony</t>
  </si>
  <si>
    <t xml:space="preserve">InglotUSA </t>
  </si>
  <si>
    <t>sheeva</t>
  </si>
  <si>
    <t>drugstore</t>
  </si>
  <si>
    <t>крем с спф</t>
  </si>
  <si>
    <t>sally-hansen-airbrush-legs</t>
  </si>
  <si>
    <t>Доставку в РФ посчитаю после отправки посылки</t>
  </si>
  <si>
    <t>iwonna…</t>
  </si>
  <si>
    <t>автозагар</t>
  </si>
  <si>
    <t>Blond</t>
  </si>
  <si>
    <t>26 р перенесла с парфюм 4</t>
  </si>
  <si>
    <t>лис-и4-ка</t>
  </si>
  <si>
    <t>Нашка</t>
  </si>
  <si>
    <t>Анна Коваленко</t>
  </si>
  <si>
    <t>Ir_86</t>
  </si>
  <si>
    <t>trumea</t>
  </si>
  <si>
    <t>JulyaS</t>
  </si>
  <si>
    <t>крема 2 шт</t>
  </si>
  <si>
    <t xml:space="preserve">Оля&amp;Никита  </t>
  </si>
  <si>
    <t>Catberry</t>
  </si>
  <si>
    <t>nyxcosmetics</t>
  </si>
  <si>
    <t>блески 2 шт</t>
  </si>
  <si>
    <t>EDM</t>
  </si>
  <si>
    <t>бальзам 2 шт</t>
  </si>
  <si>
    <t>shsh</t>
  </si>
  <si>
    <t>основы</t>
  </si>
  <si>
    <t>urbandecay</t>
  </si>
  <si>
    <t>sephora</t>
  </si>
  <si>
    <t>crazy8</t>
  </si>
  <si>
    <t>aromania</t>
  </si>
  <si>
    <t>Мусенок любящий Печенье</t>
  </si>
  <si>
    <t>палетка</t>
  </si>
  <si>
    <t>крем для век</t>
  </si>
  <si>
    <t>одежда</t>
  </si>
  <si>
    <t>ebay</t>
  </si>
  <si>
    <t>пробники 4 шт</t>
  </si>
  <si>
    <t>anastasiabeverlyhills</t>
  </si>
  <si>
    <t>Stacy</t>
  </si>
  <si>
    <t>КатьЁнок</t>
  </si>
  <si>
    <t>evgeniya2012</t>
  </si>
  <si>
    <t>Flourish_girl</t>
  </si>
  <si>
    <t>Unamela</t>
  </si>
  <si>
    <t>набор Dark brown</t>
  </si>
  <si>
    <t>кисть и dipbrow-pomade TAUPE </t>
  </si>
  <si>
    <t xml:space="preserve">набор и карандаш  Medium brown </t>
  </si>
  <si>
    <t>карандаш Medium Ash, гель Caramel и Granite </t>
  </si>
  <si>
    <t>карандаш Soft brown</t>
  </si>
  <si>
    <t>bobbibrowncosmetics</t>
  </si>
  <si>
    <t>Тональный</t>
  </si>
  <si>
    <t>подводка</t>
  </si>
  <si>
    <t>6pm</t>
  </si>
  <si>
    <t>миляева</t>
  </si>
  <si>
    <t>кроссовки</t>
  </si>
  <si>
    <t>trishmcevoy</t>
  </si>
  <si>
    <t>тушь</t>
  </si>
  <si>
    <t>beccacosmetics</t>
  </si>
  <si>
    <t>медведица</t>
  </si>
  <si>
    <t xml:space="preserve">Stacy  </t>
  </si>
  <si>
    <t>shimmering-skin-perfector</t>
  </si>
  <si>
    <t>priming-perfector</t>
  </si>
  <si>
    <t>праймер2</t>
  </si>
  <si>
    <t>inglotusa</t>
  </si>
  <si>
    <t>Ann_T</t>
  </si>
  <si>
    <t>arunrie</t>
  </si>
  <si>
    <t>Rosочка</t>
  </si>
  <si>
    <t xml:space="preserve"> gloriya1</t>
  </si>
  <si>
    <t>пигмент</t>
  </si>
  <si>
    <t>пигмент, праймер</t>
  </si>
  <si>
    <t>разное</t>
  </si>
  <si>
    <t>тени и праймеры</t>
  </si>
  <si>
    <t>Бабочка717</t>
  </si>
  <si>
    <t>oksy82</t>
  </si>
  <si>
    <t>GalunjaP</t>
  </si>
  <si>
    <t>M@arina</t>
  </si>
  <si>
    <t>maccosmetics</t>
  </si>
  <si>
    <t>sigmabeauty</t>
  </si>
  <si>
    <t>Savanna</t>
  </si>
  <si>
    <t>кисти</t>
  </si>
  <si>
    <t>zhemapel-ka</t>
  </si>
  <si>
    <t>Djessika</t>
  </si>
  <si>
    <t>помады, основа</t>
  </si>
  <si>
    <t>попада</t>
  </si>
  <si>
    <t>Di Na</t>
  </si>
  <si>
    <t>плавки</t>
  </si>
  <si>
    <t>Диша</t>
  </si>
  <si>
    <t>Анэстас</t>
  </si>
  <si>
    <t>luckyvitamin</t>
  </si>
  <si>
    <t>Другая Патрикеевна</t>
  </si>
  <si>
    <t>кремы</t>
  </si>
  <si>
    <t xml:space="preserve">evgeniya2012 </t>
  </si>
  <si>
    <t>праймер, тени</t>
  </si>
  <si>
    <t>Ольга Олейник</t>
  </si>
  <si>
    <t xml:space="preserve">kami555  </t>
  </si>
  <si>
    <t>основы 2</t>
  </si>
  <si>
    <t>silknaturals</t>
  </si>
  <si>
    <t>kami555</t>
  </si>
  <si>
    <t>MosKoun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</si>
</sst>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rgb="FFC00000"/>
      <name val="Calibri"/>
      <family val="2"/>
      <charset val="204"/>
      <scheme val="minor"/>
    </font>
    <font>
      <sz val="20"/>
      <color rgb="FF00B0F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sz val="20"/>
      <color theme="6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b/>
      <i/>
      <sz val="16"/>
      <color rgb="FFFF0000"/>
      <name val="Calibri"/>
      <family val="2"/>
      <charset val="204"/>
      <scheme val="minor"/>
    </font>
    <font>
      <sz val="20"/>
      <color rgb="FF7030A0"/>
      <name val="Calibri"/>
      <family val="2"/>
      <charset val="204"/>
      <scheme val="minor"/>
    </font>
    <font>
      <sz val="20"/>
      <color theme="8" tint="-0.249977111117893"/>
      <name val="Calibri"/>
      <family val="2"/>
      <charset val="204"/>
      <scheme val="minor"/>
    </font>
    <font>
      <sz val="20"/>
      <color theme="9" tint="-0.249977111117893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20"/>
      <color rgb="FF92D050"/>
      <name val="Calibri"/>
      <family val="2"/>
      <charset val="204"/>
      <scheme val="minor"/>
    </font>
    <font>
      <sz val="20"/>
      <color rgb="FFE30BD9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20"/>
      <color rgb="FF2025F4"/>
      <name val="Calibri"/>
      <family val="2"/>
      <charset val="204"/>
      <scheme val="minor"/>
    </font>
    <font>
      <sz val="20"/>
      <color rgb="FF0070C0"/>
      <name val="Calibri"/>
      <family val="2"/>
      <charset val="204"/>
      <scheme val="minor"/>
    </font>
    <font>
      <sz val="20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2" fillId="0" borderId="0" xfId="0" applyFont="1" applyAlignment="1">
      <alignment wrapText="1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1" fontId="0" fillId="0" borderId="2" xfId="0" applyNumberFormat="1" applyBorder="1" applyAlignment="1">
      <alignment wrapText="1"/>
    </xf>
    <xf numFmtId="1" fontId="0" fillId="0" borderId="4" xfId="0" applyNumberFormat="1" applyBorder="1" applyAlignment="1">
      <alignment wrapText="1"/>
    </xf>
    <xf numFmtId="1" fontId="0" fillId="0" borderId="5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11" xfId="0" applyNumberFormat="1" applyBorder="1" applyAlignment="1">
      <alignment wrapText="1"/>
    </xf>
    <xf numFmtId="1" fontId="0" fillId="0" borderId="14" xfId="0" applyNumberFormat="1" applyBorder="1" applyAlignment="1">
      <alignment wrapText="1"/>
    </xf>
    <xf numFmtId="1" fontId="0" fillId="0" borderId="16" xfId="0" applyNumberFormat="1" applyBorder="1" applyAlignment="1">
      <alignment wrapText="1"/>
    </xf>
    <xf numFmtId="1" fontId="0" fillId="0" borderId="18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20" xfId="0" applyBorder="1" applyAlignment="1">
      <alignment wrapText="1"/>
    </xf>
    <xf numFmtId="1" fontId="0" fillId="0" borderId="20" xfId="0" applyNumberFormat="1" applyBorder="1" applyAlignment="1">
      <alignment wrapText="1"/>
    </xf>
    <xf numFmtId="1" fontId="0" fillId="0" borderId="21" xfId="0" applyNumberFormat="1" applyBorder="1" applyAlignment="1">
      <alignment wrapText="1"/>
    </xf>
    <xf numFmtId="1" fontId="0" fillId="0" borderId="22" xfId="0" applyNumberForma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3" xfId="0" applyFont="1" applyBorder="1"/>
    <xf numFmtId="0" fontId="1" fillId="0" borderId="23" xfId="0" applyFont="1" applyBorder="1"/>
    <xf numFmtId="0" fontId="0" fillId="2" borderId="1" xfId="0" applyFill="1" applyBorder="1"/>
    <xf numFmtId="0" fontId="0" fillId="0" borderId="26" xfId="0" applyBorder="1"/>
    <xf numFmtId="0" fontId="3" fillId="0" borderId="4" xfId="0" applyFont="1" applyBorder="1"/>
    <xf numFmtId="0" fontId="0" fillId="2" borderId="4" xfId="0" applyFill="1" applyBorder="1"/>
    <xf numFmtId="0" fontId="3" fillId="0" borderId="5" xfId="0" applyFont="1" applyBorder="1"/>
    <xf numFmtId="1" fontId="0" fillId="2" borderId="5" xfId="0" applyNumberFormat="1" applyFill="1" applyBorder="1" applyAlignment="1">
      <alignment wrapText="1"/>
    </xf>
    <xf numFmtId="1" fontId="0" fillId="2" borderId="20" xfId="0" applyNumberFormat="1" applyFill="1" applyBorder="1" applyAlignment="1">
      <alignment wrapText="1"/>
    </xf>
    <xf numFmtId="1" fontId="0" fillId="2" borderId="4" xfId="0" applyNumberFormat="1" applyFill="1" applyBorder="1" applyAlignment="1">
      <alignment wrapText="1"/>
    </xf>
    <xf numFmtId="1" fontId="0" fillId="0" borderId="28" xfId="0" applyNumberFormat="1" applyBorder="1" applyAlignment="1">
      <alignment wrapText="1"/>
    </xf>
    <xf numFmtId="1" fontId="0" fillId="0" borderId="29" xfId="0" applyNumberFormat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4" fontId="0" fillId="0" borderId="20" xfId="0" applyNumberForma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1" fontId="0" fillId="0" borderId="32" xfId="0" applyNumberFormat="1" applyBorder="1" applyAlignment="1">
      <alignment wrapText="1"/>
    </xf>
    <xf numFmtId="0" fontId="1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0" fillId="0" borderId="3" xfId="0" applyBorder="1"/>
    <xf numFmtId="1" fontId="0" fillId="2" borderId="37" xfId="0" applyNumberForma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9" fillId="0" borderId="0" xfId="0" applyFont="1" applyAlignment="1"/>
    <xf numFmtId="0" fontId="10" fillId="0" borderId="0" xfId="0" applyFont="1" applyAlignment="1"/>
    <xf numFmtId="0" fontId="1" fillId="0" borderId="5" xfId="0" applyFont="1" applyBorder="1" applyAlignment="1">
      <alignment wrapText="1"/>
    </xf>
    <xf numFmtId="0" fontId="1" fillId="0" borderId="35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38" xfId="0" applyBorder="1" applyAlignment="1">
      <alignment wrapText="1"/>
    </xf>
    <xf numFmtId="0" fontId="5" fillId="0" borderId="38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1" fontId="0" fillId="2" borderId="3" xfId="0" applyNumberFormat="1" applyFill="1" applyBorder="1" applyAlignment="1">
      <alignment wrapText="1"/>
    </xf>
    <xf numFmtId="1" fontId="0" fillId="2" borderId="11" xfId="0" applyNumberFormat="1" applyFill="1" applyBorder="1" applyAlignment="1">
      <alignment wrapText="1"/>
    </xf>
    <xf numFmtId="1" fontId="0" fillId="2" borderId="2" xfId="0" applyNumberFormat="1" applyFill="1" applyBorder="1" applyAlignment="1">
      <alignment wrapText="1"/>
    </xf>
    <xf numFmtId="1" fontId="0" fillId="2" borderId="21" xfId="0" applyNumberFormat="1" applyFill="1" applyBorder="1" applyAlignment="1">
      <alignment wrapText="1"/>
    </xf>
    <xf numFmtId="1" fontId="0" fillId="2" borderId="22" xfId="0" applyNumberFormat="1" applyFill="1" applyBorder="1" applyAlignment="1">
      <alignment wrapText="1"/>
    </xf>
    <xf numFmtId="0" fontId="0" fillId="0" borderId="39" xfId="0" applyBorder="1"/>
    <xf numFmtId="0" fontId="13" fillId="0" borderId="0" xfId="0" applyFont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0" fillId="0" borderId="2" xfId="0" applyBorder="1"/>
    <xf numFmtId="0" fontId="16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4" borderId="1" xfId="0" applyNumberFormat="1" applyFill="1" applyBorder="1" applyAlignment="1">
      <alignment wrapText="1"/>
    </xf>
    <xf numFmtId="0" fontId="16" fillId="0" borderId="5" xfId="0" applyFont="1" applyBorder="1" applyAlignment="1">
      <alignment wrapText="1"/>
    </xf>
    <xf numFmtId="1" fontId="4" fillId="2" borderId="5" xfId="0" applyNumberFormat="1" applyFont="1" applyFill="1" applyBorder="1" applyAlignment="1">
      <alignment wrapText="1"/>
    </xf>
    <xf numFmtId="1" fontId="0" fillId="4" borderId="3" xfId="0" applyNumberForma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1" fontId="0" fillId="6" borderId="1" xfId="0" applyNumberFormat="1" applyFill="1" applyBorder="1" applyAlignment="1">
      <alignment wrapText="1"/>
    </xf>
    <xf numFmtId="1" fontId="0" fillId="6" borderId="2" xfId="0" applyNumberFormat="1" applyFill="1" applyBorder="1" applyAlignment="1">
      <alignment wrapText="1"/>
    </xf>
    <xf numFmtId="1" fontId="0" fillId="5" borderId="1" xfId="0" applyNumberFormat="1" applyFill="1" applyBorder="1" applyAlignment="1">
      <alignment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025F4"/>
      <color rgb="FFE30BD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@arina" TargetMode="Externa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52"/>
  <sheetViews>
    <sheetView topLeftCell="A7" zoomScale="68" zoomScaleNormal="68" workbookViewId="0">
      <selection activeCell="J13" sqref="J13"/>
    </sheetView>
  </sheetViews>
  <sheetFormatPr defaultColWidth="9.140625" defaultRowHeight="15"/>
  <cols>
    <col min="1" max="1" width="24.7109375" style="1" customWidth="1"/>
    <col min="2" max="2" width="20.85546875" style="1" customWidth="1"/>
    <col min="3" max="3" width="18.42578125" style="1" customWidth="1"/>
    <col min="4" max="4" width="4.85546875" style="1" customWidth="1"/>
    <col min="5" max="5" width="7.5703125" style="1" customWidth="1"/>
    <col min="6" max="6" width="8.85546875" style="1" customWidth="1"/>
    <col min="7" max="7" width="10.7109375" style="1" bestFit="1" customWidth="1"/>
    <col min="8" max="8" width="10.7109375" style="1" customWidth="1"/>
    <col min="9" max="9" width="10.5703125" style="1" customWidth="1"/>
    <col min="10" max="11" width="14.85546875" style="1" customWidth="1"/>
    <col min="12" max="12" width="10.28515625" style="1" customWidth="1"/>
    <col min="13" max="13" width="12.28515625" style="1" customWidth="1"/>
    <col min="14" max="14" width="13.42578125" style="1" customWidth="1"/>
    <col min="15" max="16384" width="9.140625" style="1"/>
  </cols>
  <sheetData>
    <row r="1" spans="1:14" ht="23.25">
      <c r="A1" s="91" t="s">
        <v>68</v>
      </c>
    </row>
    <row r="2" spans="1:14" ht="23.25">
      <c r="A2" s="90" t="s">
        <v>69</v>
      </c>
    </row>
    <row r="3" spans="1:14" ht="23.25">
      <c r="A3" s="90" t="s">
        <v>71</v>
      </c>
    </row>
    <row r="4" spans="1:14" ht="23.25">
      <c r="A4" s="90" t="s">
        <v>70</v>
      </c>
    </row>
    <row r="5" spans="1:14" ht="23.25">
      <c r="A5" s="90"/>
    </row>
    <row r="6" spans="1:14">
      <c r="F6" s="10"/>
      <c r="G6" s="11"/>
      <c r="H6" s="11"/>
      <c r="I6" s="10"/>
      <c r="J6" s="12"/>
      <c r="K6" s="12"/>
    </row>
    <row r="7" spans="1:14" ht="32.25" thickBot="1">
      <c r="A7" s="96" t="s">
        <v>55</v>
      </c>
      <c r="B7" s="96" t="s">
        <v>78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30">
      <c r="A8" s="63" t="s">
        <v>53</v>
      </c>
      <c r="B8" s="94" t="s">
        <v>0</v>
      </c>
      <c r="C8" s="86" t="s">
        <v>1</v>
      </c>
      <c r="D8" s="86" t="s">
        <v>2</v>
      </c>
      <c r="E8" s="86" t="s">
        <v>3</v>
      </c>
      <c r="F8" s="86" t="s">
        <v>21</v>
      </c>
      <c r="G8" s="86" t="s">
        <v>5</v>
      </c>
      <c r="H8" s="86" t="s">
        <v>6</v>
      </c>
      <c r="I8" s="86" t="s">
        <v>56</v>
      </c>
      <c r="J8" s="86" t="s">
        <v>57</v>
      </c>
      <c r="K8" s="86" t="s">
        <v>58</v>
      </c>
      <c r="L8" s="86" t="s">
        <v>4</v>
      </c>
      <c r="M8" s="86" t="s">
        <v>7</v>
      </c>
      <c r="N8" s="86" t="s">
        <v>8</v>
      </c>
    </row>
    <row r="9" spans="1:14" ht="33" thickBot="1">
      <c r="A9" s="69" t="s">
        <v>24</v>
      </c>
      <c r="B9" s="27" t="s">
        <v>9</v>
      </c>
      <c r="C9" s="5" t="s">
        <v>10</v>
      </c>
      <c r="D9" s="5">
        <v>1</v>
      </c>
      <c r="E9" s="5">
        <v>25.7</v>
      </c>
      <c r="F9" s="5">
        <f>D9*E9</f>
        <v>25.7</v>
      </c>
      <c r="G9" s="5">
        <f>F9*0.1</f>
        <v>2.5700000000000003</v>
      </c>
      <c r="H9" s="48">
        <f>11.2/7</f>
        <v>1.5999999999999999</v>
      </c>
      <c r="I9" s="48">
        <v>33.770000000000003</v>
      </c>
      <c r="J9" s="48">
        <f>16.95/7</f>
        <v>2.4214285714285713</v>
      </c>
      <c r="K9" s="9">
        <v>34.54</v>
      </c>
      <c r="L9" s="15">
        <f>(F9+G9+H9)*I9+J9*K9</f>
        <v>1092.3460428571429</v>
      </c>
      <c r="M9" s="13">
        <f>957+135</f>
        <v>1092</v>
      </c>
      <c r="N9" s="13">
        <f>-L9+M9</f>
        <v>-0.34604285714294747</v>
      </c>
    </row>
    <row r="10" spans="1:14" ht="26.25">
      <c r="A10" s="74" t="s">
        <v>22</v>
      </c>
      <c r="B10" s="29" t="s">
        <v>11</v>
      </c>
      <c r="C10" s="7" t="s">
        <v>12</v>
      </c>
      <c r="D10" s="7">
        <v>1</v>
      </c>
      <c r="E10" s="7">
        <v>37.54</v>
      </c>
      <c r="F10" s="7">
        <f t="shared" ref="F10:F20" si="0">D10*E10</f>
        <v>37.54</v>
      </c>
      <c r="G10" s="7">
        <f t="shared" ref="G10:G20" si="1">F10*0.1</f>
        <v>3.754</v>
      </c>
      <c r="H10" s="49"/>
      <c r="I10" s="49">
        <v>33.35</v>
      </c>
      <c r="J10" s="49">
        <v>2.02</v>
      </c>
      <c r="K10" s="22">
        <v>34.54</v>
      </c>
      <c r="L10" s="18">
        <f t="shared" ref="L10:L45" si="2">(F10+G10+H10)*I10+J10*K10</f>
        <v>1446.9257</v>
      </c>
      <c r="M10" s="14">
        <f>1398+49</f>
        <v>1447</v>
      </c>
      <c r="N10" s="19">
        <f t="shared" ref="N10:N20" si="3">-L10+M10</f>
        <v>7.4299999999993815E-2</v>
      </c>
    </row>
    <row r="11" spans="1:14" ht="33" thickBot="1">
      <c r="A11" s="75" t="s">
        <v>22</v>
      </c>
      <c r="B11" s="30" t="s">
        <v>11</v>
      </c>
      <c r="C11" s="2" t="s">
        <v>13</v>
      </c>
      <c r="D11" s="2">
        <v>1</v>
      </c>
      <c r="E11" s="46">
        <v>23.95</v>
      </c>
      <c r="F11" s="2">
        <f t="shared" si="0"/>
        <v>23.95</v>
      </c>
      <c r="G11" s="2">
        <f t="shared" si="1"/>
        <v>2.395</v>
      </c>
      <c r="H11" s="50"/>
      <c r="I11" s="50">
        <v>33.770000000000003</v>
      </c>
      <c r="J11" s="50">
        <v>2.23</v>
      </c>
      <c r="K11" s="5">
        <v>34.54</v>
      </c>
      <c r="L11" s="13">
        <f t="shared" si="2"/>
        <v>966.69484999999997</v>
      </c>
      <c r="M11" s="17">
        <f>743+224</f>
        <v>967</v>
      </c>
      <c r="N11" s="20">
        <f t="shared" si="3"/>
        <v>0.30515000000002601</v>
      </c>
    </row>
    <row r="12" spans="1:14" ht="27" thickBot="1">
      <c r="A12" s="97" t="s">
        <v>72</v>
      </c>
      <c r="B12" s="31" t="s">
        <v>11</v>
      </c>
      <c r="C12" s="9" t="s">
        <v>28</v>
      </c>
      <c r="D12" s="9">
        <v>1</v>
      </c>
      <c r="E12" s="9">
        <v>48.75</v>
      </c>
      <c r="F12" s="9">
        <f>E12</f>
        <v>48.75</v>
      </c>
      <c r="G12" s="9">
        <f>F12*0.1</f>
        <v>4.875</v>
      </c>
      <c r="H12" s="51"/>
      <c r="I12" s="51">
        <v>33.82</v>
      </c>
      <c r="J12" s="51">
        <v>2.58</v>
      </c>
      <c r="K12" s="9">
        <v>34.54</v>
      </c>
      <c r="L12" s="15">
        <f t="shared" si="2"/>
        <v>1902.7107000000001</v>
      </c>
      <c r="M12" s="40">
        <f>1350+500+53</f>
        <v>1903</v>
      </c>
      <c r="N12" s="21">
        <f t="shared" si="3"/>
        <v>0.28929999999991196</v>
      </c>
    </row>
    <row r="13" spans="1:14" ht="27" thickBot="1">
      <c r="A13" s="76" t="s">
        <v>22</v>
      </c>
      <c r="B13" s="59" t="s">
        <v>19</v>
      </c>
      <c r="C13" s="23" t="s">
        <v>20</v>
      </c>
      <c r="D13" s="23">
        <v>1</v>
      </c>
      <c r="E13" s="23">
        <v>29</v>
      </c>
      <c r="F13" s="23">
        <f>D13*E13</f>
        <v>29</v>
      </c>
      <c r="G13" s="23">
        <f t="shared" si="1"/>
        <v>2.9000000000000004</v>
      </c>
      <c r="H13" s="54"/>
      <c r="I13" s="54">
        <v>33.42</v>
      </c>
      <c r="J13" s="54">
        <v>2.85</v>
      </c>
      <c r="K13" s="23">
        <v>34.54</v>
      </c>
      <c r="L13" s="24">
        <f t="shared" si="2"/>
        <v>1164.537</v>
      </c>
      <c r="M13" s="24">
        <f>1080+85</f>
        <v>1165</v>
      </c>
      <c r="N13" s="25">
        <f t="shared" si="3"/>
        <v>0.46299999999996544</v>
      </c>
    </row>
    <row r="14" spans="1:14" ht="26.25">
      <c r="A14" s="77" t="s">
        <v>23</v>
      </c>
      <c r="B14" s="28" t="s">
        <v>14</v>
      </c>
      <c r="C14" s="6" t="s">
        <v>15</v>
      </c>
      <c r="D14" s="6">
        <v>5</v>
      </c>
      <c r="E14" s="6">
        <f>4.5*0.8</f>
        <v>3.6</v>
      </c>
      <c r="F14" s="6">
        <f t="shared" si="0"/>
        <v>18</v>
      </c>
      <c r="G14" s="6">
        <f t="shared" si="1"/>
        <v>1.8</v>
      </c>
      <c r="H14" s="52"/>
      <c r="I14" s="52">
        <v>33.770000000000003</v>
      </c>
      <c r="J14" s="52">
        <f>0.81*D14</f>
        <v>4.0500000000000007</v>
      </c>
      <c r="K14" s="6">
        <v>34.54</v>
      </c>
      <c r="L14" s="16">
        <f t="shared" si="2"/>
        <v>808.53300000000013</v>
      </c>
      <c r="M14" s="16">
        <f>670+139</f>
        <v>809</v>
      </c>
      <c r="N14" s="98">
        <f t="shared" si="3"/>
        <v>0.46699999999987085</v>
      </c>
    </row>
    <row r="15" spans="1:14" ht="26.25">
      <c r="A15" s="77" t="s">
        <v>23</v>
      </c>
      <c r="B15" s="28" t="s">
        <v>16</v>
      </c>
      <c r="C15" s="64" t="s">
        <v>17</v>
      </c>
      <c r="D15" s="64">
        <v>1</v>
      </c>
      <c r="E15" s="64">
        <f>9*0.8</f>
        <v>7.2</v>
      </c>
      <c r="F15" s="6">
        <f t="shared" si="0"/>
        <v>7.2</v>
      </c>
      <c r="G15" s="6">
        <f t="shared" si="1"/>
        <v>0.72000000000000008</v>
      </c>
      <c r="H15" s="52"/>
      <c r="I15" s="52">
        <v>33.770000000000003</v>
      </c>
      <c r="J15" s="52">
        <f>0.81*D15</f>
        <v>0.81</v>
      </c>
      <c r="K15" s="22">
        <v>34.54</v>
      </c>
      <c r="L15" s="18">
        <f t="shared" si="2"/>
        <v>295.43580000000003</v>
      </c>
      <c r="M15" s="16">
        <f>804+138</f>
        <v>942</v>
      </c>
      <c r="N15" s="99">
        <f t="shared" si="3"/>
        <v>646.56420000000003</v>
      </c>
    </row>
    <row r="16" spans="1:14" ht="26.25">
      <c r="A16" s="78" t="s">
        <v>23</v>
      </c>
      <c r="B16" s="30" t="s">
        <v>16</v>
      </c>
      <c r="C16" s="4" t="s">
        <v>17</v>
      </c>
      <c r="D16" s="4">
        <v>1</v>
      </c>
      <c r="E16" s="4">
        <f>5.5*0.8</f>
        <v>4.4000000000000004</v>
      </c>
      <c r="F16" s="2">
        <f t="shared" si="0"/>
        <v>4.4000000000000004</v>
      </c>
      <c r="G16" s="2">
        <f t="shared" si="1"/>
        <v>0.44000000000000006</v>
      </c>
      <c r="H16" s="50"/>
      <c r="I16" s="50">
        <v>33.770000000000003</v>
      </c>
      <c r="J16" s="52">
        <f>0.81*D16</f>
        <v>0.81</v>
      </c>
      <c r="K16" s="5">
        <v>34.54</v>
      </c>
      <c r="L16" s="13">
        <f t="shared" si="2"/>
        <v>191.42420000000004</v>
      </c>
      <c r="M16" s="17"/>
      <c r="N16" s="100">
        <f t="shared" si="3"/>
        <v>-191.42420000000004</v>
      </c>
    </row>
    <row r="17" spans="1:14" ht="26.25">
      <c r="A17" s="78" t="s">
        <v>23</v>
      </c>
      <c r="B17" s="30" t="s">
        <v>16</v>
      </c>
      <c r="C17" s="4" t="s">
        <v>15</v>
      </c>
      <c r="D17" s="4">
        <v>2</v>
      </c>
      <c r="E17" s="4">
        <f>4.5*0.8</f>
        <v>3.6</v>
      </c>
      <c r="F17" s="2">
        <f t="shared" si="0"/>
        <v>7.2</v>
      </c>
      <c r="G17" s="2">
        <f t="shared" si="1"/>
        <v>0.72000000000000008</v>
      </c>
      <c r="H17" s="50"/>
      <c r="I17" s="50">
        <v>33.770000000000003</v>
      </c>
      <c r="J17" s="52">
        <f>0.81*D17</f>
        <v>1.62</v>
      </c>
      <c r="K17" s="5">
        <v>34.54</v>
      </c>
      <c r="L17" s="13">
        <f t="shared" si="2"/>
        <v>323.41320000000002</v>
      </c>
      <c r="M17" s="17"/>
      <c r="N17" s="100">
        <f t="shared" si="3"/>
        <v>-323.41320000000002</v>
      </c>
    </row>
    <row r="18" spans="1:14" ht="27" thickBot="1">
      <c r="A18" s="79" t="s">
        <v>23</v>
      </c>
      <c r="B18" s="31" t="s">
        <v>16</v>
      </c>
      <c r="C18" s="8" t="s">
        <v>18</v>
      </c>
      <c r="D18" s="8">
        <v>1</v>
      </c>
      <c r="E18" s="8">
        <f>3.5*0.8</f>
        <v>2.8000000000000003</v>
      </c>
      <c r="F18" s="9">
        <f t="shared" si="0"/>
        <v>2.8000000000000003</v>
      </c>
      <c r="G18" s="9">
        <f t="shared" si="1"/>
        <v>0.28000000000000003</v>
      </c>
      <c r="H18" s="51"/>
      <c r="I18" s="51">
        <v>33.770000000000003</v>
      </c>
      <c r="J18" s="51">
        <f>0.81*D18</f>
        <v>0.81</v>
      </c>
      <c r="K18" s="47">
        <v>34.54</v>
      </c>
      <c r="L18" s="15">
        <f t="shared" si="2"/>
        <v>131.989</v>
      </c>
      <c r="M18" s="15"/>
      <c r="N18" s="40">
        <f t="shared" si="3"/>
        <v>-131.989</v>
      </c>
    </row>
    <row r="19" spans="1:14" ht="27" thickBot="1">
      <c r="A19" s="80" t="s">
        <v>27</v>
      </c>
      <c r="B19" s="32" t="s">
        <v>25</v>
      </c>
      <c r="C19" s="22" t="s">
        <v>26</v>
      </c>
      <c r="D19" s="22">
        <v>1</v>
      </c>
      <c r="E19" s="22">
        <v>75</v>
      </c>
      <c r="F19" s="22">
        <f t="shared" si="0"/>
        <v>75</v>
      </c>
      <c r="G19" s="22">
        <f t="shared" si="1"/>
        <v>7.5</v>
      </c>
      <c r="H19" s="53"/>
      <c r="I19" s="53">
        <v>33.51</v>
      </c>
      <c r="J19" s="53">
        <v>2.31</v>
      </c>
      <c r="K19" s="57">
        <v>34.54</v>
      </c>
      <c r="L19" s="58">
        <f t="shared" si="2"/>
        <v>2844.3624</v>
      </c>
      <c r="M19" s="18">
        <f>2784+60</f>
        <v>2844</v>
      </c>
      <c r="N19" s="99">
        <f t="shared" si="3"/>
        <v>-0.36239999999997963</v>
      </c>
    </row>
    <row r="20" spans="1:14" ht="27" thickBot="1">
      <c r="A20" s="81" t="s">
        <v>22</v>
      </c>
      <c r="B20" s="59" t="s">
        <v>29</v>
      </c>
      <c r="C20" s="23" t="s">
        <v>30</v>
      </c>
      <c r="D20" s="23">
        <v>1</v>
      </c>
      <c r="E20" s="23">
        <v>42.5</v>
      </c>
      <c r="F20" s="23">
        <f t="shared" si="0"/>
        <v>42.5</v>
      </c>
      <c r="G20" s="23">
        <f t="shared" si="1"/>
        <v>4.25</v>
      </c>
      <c r="H20" s="54"/>
      <c r="I20" s="54">
        <v>33.82</v>
      </c>
      <c r="J20" s="54">
        <v>2.3199999999999998</v>
      </c>
      <c r="K20" s="57">
        <v>34.54</v>
      </c>
      <c r="L20" s="58">
        <f t="shared" si="2"/>
        <v>1661.2178000000001</v>
      </c>
      <c r="M20" s="41">
        <f>1583+78</f>
        <v>1661</v>
      </c>
      <c r="N20" s="101">
        <f t="shared" si="3"/>
        <v>-0.21780000000012478</v>
      </c>
    </row>
    <row r="21" spans="1:14" ht="27" thickBot="1">
      <c r="A21" s="80" t="s">
        <v>43</v>
      </c>
      <c r="B21" s="60" t="s">
        <v>44</v>
      </c>
      <c r="C21" s="23" t="s">
        <v>47</v>
      </c>
      <c r="D21" s="23">
        <v>1</v>
      </c>
      <c r="E21" s="23">
        <v>52</v>
      </c>
      <c r="F21" s="23">
        <f>D21*E21</f>
        <v>52</v>
      </c>
      <c r="G21" s="23">
        <f t="shared" ref="G21:G31" si="4">F21*0.1</f>
        <v>5.2</v>
      </c>
      <c r="H21" s="54"/>
      <c r="I21" s="54">
        <v>33.51</v>
      </c>
      <c r="J21" s="54">
        <v>2.62</v>
      </c>
      <c r="K21" s="56">
        <v>34.54</v>
      </c>
      <c r="L21" s="58">
        <f t="shared" si="2"/>
        <v>2007.2667999999999</v>
      </c>
      <c r="M21" s="41">
        <f>1917+90</f>
        <v>2007</v>
      </c>
      <c r="N21" s="41">
        <f>-L21+M21</f>
        <v>-0.26679999999987558</v>
      </c>
    </row>
    <row r="22" spans="1:14" ht="52.5">
      <c r="A22" s="82" t="s">
        <v>52</v>
      </c>
      <c r="B22" s="61" t="s">
        <v>49</v>
      </c>
      <c r="C22" s="2"/>
      <c r="D22" s="2"/>
      <c r="E22" s="2"/>
      <c r="F22" s="2">
        <v>12.99</v>
      </c>
      <c r="G22" s="2">
        <f t="shared" si="4"/>
        <v>1.2990000000000002</v>
      </c>
      <c r="H22" s="50"/>
      <c r="I22" s="50">
        <v>33.51</v>
      </c>
      <c r="J22" s="50">
        <v>0.83</v>
      </c>
      <c r="K22" s="22">
        <v>34.54</v>
      </c>
      <c r="L22" s="18">
        <f t="shared" si="2"/>
        <v>507.49258999999995</v>
      </c>
      <c r="M22" s="45">
        <f>480+27</f>
        <v>507</v>
      </c>
      <c r="N22" s="45">
        <f t="shared" ref="N22:N31" si="5">-L22+M22</f>
        <v>-0.49258999999995012</v>
      </c>
    </row>
    <row r="23" spans="1:14" ht="52.5">
      <c r="A23" s="82" t="s">
        <v>52</v>
      </c>
      <c r="B23" s="61" t="s">
        <v>14</v>
      </c>
      <c r="C23" s="2"/>
      <c r="D23" s="2"/>
      <c r="E23" s="2"/>
      <c r="F23" s="2">
        <v>12.99</v>
      </c>
      <c r="G23" s="2">
        <f t="shared" si="4"/>
        <v>1.2990000000000002</v>
      </c>
      <c r="H23" s="50"/>
      <c r="I23" s="50">
        <v>33.51</v>
      </c>
      <c r="J23" s="50">
        <v>0.83</v>
      </c>
      <c r="K23" s="5">
        <v>34.54</v>
      </c>
      <c r="L23" s="13">
        <f t="shared" si="2"/>
        <v>507.49258999999995</v>
      </c>
      <c r="M23" s="45">
        <f>480+27</f>
        <v>507</v>
      </c>
      <c r="N23" s="45">
        <f t="shared" si="5"/>
        <v>-0.49258999999995012</v>
      </c>
    </row>
    <row r="24" spans="1:14" ht="52.5">
      <c r="A24" s="82" t="s">
        <v>52</v>
      </c>
      <c r="B24" s="61" t="s">
        <v>50</v>
      </c>
      <c r="C24" s="2"/>
      <c r="D24" s="2"/>
      <c r="E24" s="2"/>
      <c r="F24" s="2">
        <v>49.97</v>
      </c>
      <c r="G24" s="2">
        <f t="shared" si="4"/>
        <v>4.9969999999999999</v>
      </c>
      <c r="H24" s="50"/>
      <c r="I24" s="50">
        <v>33.51</v>
      </c>
      <c r="J24" s="50">
        <f>4*0.83</f>
        <v>3.32</v>
      </c>
      <c r="K24" s="5">
        <v>34.54</v>
      </c>
      <c r="L24" s="13">
        <f t="shared" si="2"/>
        <v>1956.6169699999998</v>
      </c>
      <c r="M24" s="45">
        <f>1847+110</f>
        <v>1957</v>
      </c>
      <c r="N24" s="45">
        <f t="shared" si="5"/>
        <v>0.38303000000018983</v>
      </c>
    </row>
    <row r="25" spans="1:14" ht="53.25" thickBot="1">
      <c r="A25" s="69" t="s">
        <v>52</v>
      </c>
      <c r="B25" s="62" t="s">
        <v>51</v>
      </c>
      <c r="C25" s="9"/>
      <c r="D25" s="9"/>
      <c r="E25" s="9"/>
      <c r="F25" s="9">
        <v>48.12</v>
      </c>
      <c r="G25" s="9">
        <f t="shared" si="4"/>
        <v>4.8120000000000003</v>
      </c>
      <c r="H25" s="51"/>
      <c r="I25" s="51">
        <v>33.51</v>
      </c>
      <c r="J25" s="51">
        <f>5.5*0.83</f>
        <v>4.5649999999999995</v>
      </c>
      <c r="K25" s="9">
        <v>34.54</v>
      </c>
      <c r="L25" s="15">
        <f t="shared" si="2"/>
        <v>1931.4264199999996</v>
      </c>
      <c r="M25" s="40">
        <f>1778+153</f>
        <v>1931</v>
      </c>
      <c r="N25" s="40">
        <f t="shared" si="5"/>
        <v>-0.4264199999995526</v>
      </c>
    </row>
    <row r="26" spans="1:14" ht="26.25">
      <c r="A26" s="73" t="s">
        <v>60</v>
      </c>
      <c r="B26" s="6" t="s">
        <v>73</v>
      </c>
      <c r="C26" s="6"/>
      <c r="D26" s="6"/>
      <c r="E26" s="6"/>
      <c r="F26" s="2">
        <v>2.48</v>
      </c>
      <c r="G26" s="2">
        <f t="shared" si="4"/>
        <v>0.248</v>
      </c>
      <c r="H26" s="6"/>
      <c r="I26" s="6">
        <v>33.72</v>
      </c>
      <c r="J26" s="6">
        <v>0.39</v>
      </c>
      <c r="K26" s="5">
        <v>34.54</v>
      </c>
      <c r="L26" s="13">
        <f t="shared" si="2"/>
        <v>105.45876</v>
      </c>
      <c r="M26" s="17">
        <f>92+13</f>
        <v>105</v>
      </c>
      <c r="N26" s="100">
        <f t="shared" si="5"/>
        <v>-0.45875999999999806</v>
      </c>
    </row>
    <row r="27" spans="1:14" ht="26.25">
      <c r="A27" s="67" t="s">
        <v>60</v>
      </c>
      <c r="B27" s="2" t="s">
        <v>74</v>
      </c>
      <c r="C27" s="2"/>
      <c r="D27" s="2"/>
      <c r="E27" s="2"/>
      <c r="F27" s="2">
        <v>20.399999999999999</v>
      </c>
      <c r="G27" s="2">
        <f t="shared" si="4"/>
        <v>2.04</v>
      </c>
      <c r="H27" s="2"/>
      <c r="I27" s="6">
        <v>33.72</v>
      </c>
      <c r="J27" s="2">
        <f>0.39*5</f>
        <v>1.9500000000000002</v>
      </c>
      <c r="K27" s="2">
        <v>34.54</v>
      </c>
      <c r="L27" s="17">
        <f t="shared" si="2"/>
        <v>824.0297999999998</v>
      </c>
      <c r="M27" s="17">
        <f>800+24</f>
        <v>824</v>
      </c>
      <c r="N27" s="45">
        <f t="shared" si="5"/>
        <v>-2.9799999999795546E-2</v>
      </c>
    </row>
    <row r="28" spans="1:14" ht="26.25">
      <c r="A28" s="67" t="s">
        <v>60</v>
      </c>
      <c r="B28" s="2" t="s">
        <v>14</v>
      </c>
      <c r="C28" s="2"/>
      <c r="D28" s="2"/>
      <c r="E28" s="2"/>
      <c r="F28" s="2">
        <v>4.4400000000000004</v>
      </c>
      <c r="G28" s="2">
        <f t="shared" si="4"/>
        <v>0.44400000000000006</v>
      </c>
      <c r="H28" s="2"/>
      <c r="I28" s="6">
        <v>33.72</v>
      </c>
      <c r="J28" s="2">
        <f>0.39*3</f>
        <v>1.17</v>
      </c>
      <c r="K28" s="2">
        <v>34.54</v>
      </c>
      <c r="L28" s="17">
        <f t="shared" si="2"/>
        <v>205.10028</v>
      </c>
      <c r="M28" s="17">
        <f>165+40</f>
        <v>205</v>
      </c>
      <c r="N28" s="45">
        <f t="shared" si="5"/>
        <v>-0.10027999999999793</v>
      </c>
    </row>
    <row r="29" spans="1:14" ht="26.25">
      <c r="A29" s="67" t="s">
        <v>60</v>
      </c>
      <c r="B29" s="2" t="s">
        <v>75</v>
      </c>
      <c r="C29" s="2"/>
      <c r="D29" s="2"/>
      <c r="E29" s="2"/>
      <c r="F29" s="2">
        <v>34.979999999999997</v>
      </c>
      <c r="G29" s="2">
        <f t="shared" si="4"/>
        <v>3.4979999999999998</v>
      </c>
      <c r="H29" s="2"/>
      <c r="I29" s="6">
        <v>33.72</v>
      </c>
      <c r="J29" s="2">
        <f>0.39*24</f>
        <v>9.36</v>
      </c>
      <c r="K29" s="2">
        <v>34.54</v>
      </c>
      <c r="L29" s="17">
        <f t="shared" si="2"/>
        <v>1620.7725599999997</v>
      </c>
      <c r="M29" s="17">
        <f>1310+311</f>
        <v>1621</v>
      </c>
      <c r="N29" s="45">
        <f t="shared" si="5"/>
        <v>0.22744000000034248</v>
      </c>
    </row>
    <row r="30" spans="1:14" ht="26.25">
      <c r="A30" s="67" t="s">
        <v>60</v>
      </c>
      <c r="B30" s="2" t="s">
        <v>76</v>
      </c>
      <c r="C30" s="2"/>
      <c r="D30" s="2"/>
      <c r="E30" s="2"/>
      <c r="F30" s="2">
        <v>12.46</v>
      </c>
      <c r="G30" s="2">
        <f t="shared" si="4"/>
        <v>1.2460000000000002</v>
      </c>
      <c r="H30" s="2"/>
      <c r="I30" s="6">
        <v>33.72</v>
      </c>
      <c r="J30" s="2">
        <f>0.39*13</f>
        <v>5.07</v>
      </c>
      <c r="K30" s="2">
        <v>34.54</v>
      </c>
      <c r="L30" s="17">
        <f t="shared" si="2"/>
        <v>637.28412000000003</v>
      </c>
      <c r="M30" s="17">
        <f>468+169</f>
        <v>637</v>
      </c>
      <c r="N30" s="45">
        <f t="shared" si="5"/>
        <v>-0.2841200000000299</v>
      </c>
    </row>
    <row r="31" spans="1:14" ht="26.25">
      <c r="A31" s="67" t="s">
        <v>60</v>
      </c>
      <c r="B31" s="2" t="s">
        <v>77</v>
      </c>
      <c r="C31" s="2"/>
      <c r="D31" s="2"/>
      <c r="E31" s="2"/>
      <c r="F31" s="2">
        <v>8.69</v>
      </c>
      <c r="G31" s="2">
        <f t="shared" si="4"/>
        <v>0.86899999999999999</v>
      </c>
      <c r="H31" s="2"/>
      <c r="I31" s="6">
        <v>33.72</v>
      </c>
      <c r="J31" s="2">
        <f>0.39*4</f>
        <v>1.56</v>
      </c>
      <c r="K31" s="2">
        <v>34.54</v>
      </c>
      <c r="L31" s="17">
        <f t="shared" si="2"/>
        <v>376.21188000000001</v>
      </c>
      <c r="M31" s="17">
        <f>324+52</f>
        <v>376</v>
      </c>
      <c r="N31" s="45">
        <f t="shared" si="5"/>
        <v>-0.21188000000000784</v>
      </c>
    </row>
    <row r="32" spans="1:14" ht="26.25">
      <c r="A32" s="83"/>
    </row>
    <row r="34" spans="1:15">
      <c r="A34" s="3"/>
    </row>
    <row r="36" spans="1:15" ht="32.25" thickBot="1">
      <c r="A36" s="96" t="s">
        <v>54</v>
      </c>
      <c r="B36" s="96" t="s">
        <v>79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5" ht="30">
      <c r="A37" s="93" t="s">
        <v>53</v>
      </c>
      <c r="B37" s="94" t="s">
        <v>0</v>
      </c>
      <c r="C37" s="86" t="s">
        <v>1</v>
      </c>
      <c r="D37" s="86" t="s">
        <v>2</v>
      </c>
      <c r="E37" s="86" t="s">
        <v>3</v>
      </c>
      <c r="F37" s="86" t="s">
        <v>21</v>
      </c>
      <c r="G37" s="86" t="s">
        <v>5</v>
      </c>
      <c r="H37" s="86" t="s">
        <v>6</v>
      </c>
      <c r="I37" s="86" t="s">
        <v>56</v>
      </c>
      <c r="J37" s="86" t="s">
        <v>57</v>
      </c>
      <c r="K37" s="86" t="s">
        <v>58</v>
      </c>
      <c r="L37" s="86" t="s">
        <v>4</v>
      </c>
      <c r="M37" s="86" t="s">
        <v>7</v>
      </c>
      <c r="N37" s="86" t="s">
        <v>8</v>
      </c>
    </row>
    <row r="38" spans="1:15" ht="53.25" thickBot="1">
      <c r="A38" s="67" t="s">
        <v>45</v>
      </c>
      <c r="B38" s="2" t="s">
        <v>46</v>
      </c>
      <c r="C38" s="2" t="s">
        <v>48</v>
      </c>
      <c r="D38" s="2">
        <v>1</v>
      </c>
      <c r="E38" s="2">
        <v>120</v>
      </c>
      <c r="F38" s="2">
        <f>D38*E38</f>
        <v>120</v>
      </c>
      <c r="G38" s="2">
        <f>F38*0.1</f>
        <v>12</v>
      </c>
      <c r="H38" s="2"/>
      <c r="I38" s="2">
        <v>33.51</v>
      </c>
      <c r="J38" s="2">
        <v>5.09</v>
      </c>
      <c r="K38" s="9">
        <v>35.159999999999997</v>
      </c>
      <c r="L38" s="15">
        <f t="shared" si="2"/>
        <v>4602.2843999999996</v>
      </c>
      <c r="M38" s="45">
        <f>4413+189</f>
        <v>4602</v>
      </c>
      <c r="N38" s="17">
        <f>-L38+M38</f>
        <v>-0.28439999999955035</v>
      </c>
    </row>
    <row r="39" spans="1:15" ht="26.25">
      <c r="A39" s="68" t="s">
        <v>41</v>
      </c>
      <c r="B39" s="33" t="s">
        <v>31</v>
      </c>
      <c r="C39" s="7" t="s">
        <v>32</v>
      </c>
      <c r="D39" s="7">
        <v>1</v>
      </c>
      <c r="E39" s="7">
        <v>20</v>
      </c>
      <c r="F39" s="7">
        <f>D39*E39</f>
        <v>20</v>
      </c>
      <c r="G39" s="7">
        <f>F39*0.1</f>
        <v>2</v>
      </c>
      <c r="H39" s="7"/>
      <c r="I39" s="7">
        <v>33.51</v>
      </c>
      <c r="J39" s="7">
        <f>10.5/5</f>
        <v>2.1</v>
      </c>
      <c r="K39" s="6">
        <v>35.159999999999997</v>
      </c>
      <c r="L39" s="14">
        <f t="shared" si="2"/>
        <v>811.05599999999993</v>
      </c>
      <c r="M39" s="42">
        <f>745+66</f>
        <v>811</v>
      </c>
      <c r="N39" s="26">
        <f>-L39+M39</f>
        <v>-5.5999999999926331E-2</v>
      </c>
    </row>
    <row r="40" spans="1:15" ht="27" thickBot="1">
      <c r="A40" s="69" t="s">
        <v>41</v>
      </c>
      <c r="B40" s="34" t="s">
        <v>11</v>
      </c>
      <c r="C40" s="9" t="s">
        <v>33</v>
      </c>
      <c r="D40" s="9">
        <v>1</v>
      </c>
      <c r="E40" s="9">
        <v>35</v>
      </c>
      <c r="F40" s="9">
        <f t="shared" ref="F40:F45" si="6">D40*E40</f>
        <v>35</v>
      </c>
      <c r="G40" s="9">
        <f t="shared" ref="G40:G45" si="7">F40*0.1</f>
        <v>3.5</v>
      </c>
      <c r="H40" s="9"/>
      <c r="I40" s="9">
        <v>33.51</v>
      </c>
      <c r="J40" s="9">
        <f>10.5/5*3</f>
        <v>6.3000000000000007</v>
      </c>
      <c r="K40" s="9">
        <v>35.159999999999997</v>
      </c>
      <c r="L40" s="58">
        <f>(F40+G40+H40)*I40+J40*K40</f>
        <v>1511.643</v>
      </c>
      <c r="M40" s="15">
        <f>1300+212</f>
        <v>1512</v>
      </c>
      <c r="N40" s="21">
        <f t="shared" ref="N40:N45" si="8">-L40+M40</f>
        <v>0.3569999999999709</v>
      </c>
      <c r="O40" s="1">
        <f>10*1.1*I40+10.5/5*K40</f>
        <v>442.44599999999997</v>
      </c>
    </row>
    <row r="41" spans="1:15" ht="26.25">
      <c r="A41" s="70" t="s">
        <v>42</v>
      </c>
      <c r="B41" s="36" t="s">
        <v>14</v>
      </c>
      <c r="C41" s="37" t="s">
        <v>36</v>
      </c>
      <c r="D41" s="7">
        <v>1</v>
      </c>
      <c r="E41" s="38">
        <v>20</v>
      </c>
      <c r="F41" s="7">
        <f t="shared" si="6"/>
        <v>20</v>
      </c>
      <c r="G41" s="7">
        <f t="shared" si="7"/>
        <v>2</v>
      </c>
      <c r="H41" s="7"/>
      <c r="I41" s="7">
        <v>33.51</v>
      </c>
      <c r="J41" s="6">
        <f>11.09/5</f>
        <v>2.218</v>
      </c>
      <c r="K41" s="6">
        <v>35.159999999999997</v>
      </c>
      <c r="L41" s="13">
        <f t="shared" si="2"/>
        <v>815.20487999999989</v>
      </c>
      <c r="M41" s="65">
        <f>742+27+46</f>
        <v>815</v>
      </c>
      <c r="N41" s="102">
        <f t="shared" si="8"/>
        <v>-0.20487999999988915</v>
      </c>
    </row>
    <row r="42" spans="1:15" ht="26.25">
      <c r="A42" s="71" t="s">
        <v>42</v>
      </c>
      <c r="B42" s="4" t="s">
        <v>34</v>
      </c>
      <c r="C42" s="4" t="s">
        <v>37</v>
      </c>
      <c r="D42" s="2">
        <v>1</v>
      </c>
      <c r="E42" s="4">
        <v>25</v>
      </c>
      <c r="F42" s="2">
        <f t="shared" si="6"/>
        <v>25</v>
      </c>
      <c r="G42" s="2">
        <f t="shared" si="7"/>
        <v>2.5</v>
      </c>
      <c r="H42" s="2"/>
      <c r="I42" s="2">
        <v>33.51</v>
      </c>
      <c r="J42" s="2">
        <f>11.09/5</f>
        <v>2.218</v>
      </c>
      <c r="K42" s="2">
        <v>35.159999999999997</v>
      </c>
      <c r="L42" s="17">
        <f t="shared" si="2"/>
        <v>999.50987999999995</v>
      </c>
      <c r="M42" s="45">
        <f>931+69</f>
        <v>1000</v>
      </c>
      <c r="N42" s="43">
        <f t="shared" si="8"/>
        <v>0.49012000000004718</v>
      </c>
    </row>
    <row r="43" spans="1:15" ht="26.25">
      <c r="A43" s="71" t="s">
        <v>42</v>
      </c>
      <c r="B43" s="4" t="s">
        <v>35</v>
      </c>
      <c r="C43" s="4" t="s">
        <v>38</v>
      </c>
      <c r="D43" s="2">
        <v>1</v>
      </c>
      <c r="E43" s="35">
        <v>12</v>
      </c>
      <c r="F43" s="2">
        <f t="shared" si="6"/>
        <v>12</v>
      </c>
      <c r="G43" s="2">
        <f t="shared" si="7"/>
        <v>1.2000000000000002</v>
      </c>
      <c r="H43" s="2"/>
      <c r="I43" s="2">
        <v>33.51</v>
      </c>
      <c r="J43" s="2">
        <f>11.09/5</f>
        <v>2.218</v>
      </c>
      <c r="K43" s="2">
        <v>35.159999999999997</v>
      </c>
      <c r="L43" s="17">
        <f t="shared" si="2"/>
        <v>520.31687999999997</v>
      </c>
      <c r="M43" s="45">
        <f>1490+30</f>
        <v>1520</v>
      </c>
      <c r="N43" s="43">
        <f t="shared" si="8"/>
        <v>999.68312000000003</v>
      </c>
    </row>
    <row r="44" spans="1:15" ht="26.25">
      <c r="A44" s="71" t="s">
        <v>42</v>
      </c>
      <c r="B44" s="4" t="s">
        <v>35</v>
      </c>
      <c r="C44" s="4" t="s">
        <v>39</v>
      </c>
      <c r="D44" s="2">
        <v>1</v>
      </c>
      <c r="E44" s="35">
        <v>3</v>
      </c>
      <c r="F44" s="2">
        <f t="shared" si="6"/>
        <v>3</v>
      </c>
      <c r="G44" s="2">
        <f t="shared" si="7"/>
        <v>0.30000000000000004</v>
      </c>
      <c r="H44" s="2"/>
      <c r="I44" s="2">
        <v>33.51</v>
      </c>
      <c r="J44" s="2">
        <f>11.09/5</f>
        <v>2.218</v>
      </c>
      <c r="K44" s="2">
        <v>35.159999999999997</v>
      </c>
      <c r="L44" s="17">
        <f t="shared" si="2"/>
        <v>188.56787999999997</v>
      </c>
      <c r="M44" s="45">
        <v>189</v>
      </c>
      <c r="N44" s="43">
        <f t="shared" si="8"/>
        <v>0.43212000000002604</v>
      </c>
    </row>
    <row r="45" spans="1:15" ht="27" thickBot="1">
      <c r="A45" s="72" t="s">
        <v>42</v>
      </c>
      <c r="B45" s="8" t="s">
        <v>35</v>
      </c>
      <c r="C45" s="39" t="s">
        <v>40</v>
      </c>
      <c r="D45" s="9">
        <v>1</v>
      </c>
      <c r="E45" s="8">
        <v>25</v>
      </c>
      <c r="F45" s="9">
        <f t="shared" si="6"/>
        <v>25</v>
      </c>
      <c r="G45" s="9">
        <f t="shared" si="7"/>
        <v>2.5</v>
      </c>
      <c r="H45" s="9"/>
      <c r="I45" s="9">
        <v>33.51</v>
      </c>
      <c r="J45" s="9">
        <f>11.09/5</f>
        <v>2.218</v>
      </c>
      <c r="K45" s="9">
        <v>35.159999999999997</v>
      </c>
      <c r="L45" s="15">
        <f t="shared" si="2"/>
        <v>999.50987999999995</v>
      </c>
      <c r="M45" s="40"/>
      <c r="N45" s="44">
        <f t="shared" si="8"/>
        <v>-999.50987999999995</v>
      </c>
    </row>
    <row r="46" spans="1:15" ht="77.25" customHeight="1">
      <c r="A46" s="73" t="s">
        <v>59</v>
      </c>
      <c r="B46" s="6" t="s">
        <v>0</v>
      </c>
      <c r="C46" s="6"/>
      <c r="D46" s="6" t="s">
        <v>2</v>
      </c>
      <c r="E46" s="6" t="s">
        <v>61</v>
      </c>
      <c r="F46" s="85" t="s">
        <v>62</v>
      </c>
      <c r="G46" s="6" t="s">
        <v>5</v>
      </c>
      <c r="H46" s="86" t="s">
        <v>6</v>
      </c>
      <c r="I46" s="86" t="s">
        <v>56</v>
      </c>
      <c r="J46" s="6" t="s">
        <v>67</v>
      </c>
      <c r="K46" s="86" t="s">
        <v>58</v>
      </c>
      <c r="L46" s="86" t="s">
        <v>4</v>
      </c>
      <c r="M46" s="6" t="s">
        <v>7</v>
      </c>
      <c r="N46" s="6" t="s">
        <v>8</v>
      </c>
    </row>
    <row r="47" spans="1:15" ht="26.25">
      <c r="A47" s="73" t="s">
        <v>59</v>
      </c>
      <c r="B47" s="2" t="s">
        <v>63</v>
      </c>
      <c r="C47" s="2"/>
      <c r="D47" s="2">
        <v>6</v>
      </c>
      <c r="E47" s="2">
        <v>50.99</v>
      </c>
      <c r="F47" s="84">
        <v>6</v>
      </c>
      <c r="G47" s="2">
        <f>E47*0.1</f>
        <v>5.0990000000000002</v>
      </c>
      <c r="H47" s="2"/>
      <c r="I47" s="2">
        <v>33.51</v>
      </c>
      <c r="J47" s="66">
        <f>59.9/35*(D47+F47)</f>
        <v>20.537142857142854</v>
      </c>
      <c r="K47" s="2">
        <v>35.159999999999997</v>
      </c>
      <c r="L47" s="2">
        <f>(E47+G47)*I47+J47*K47</f>
        <v>2601.6283328571426</v>
      </c>
      <c r="M47" s="2">
        <f>1899+703</f>
        <v>2602</v>
      </c>
      <c r="N47" s="17">
        <f>-L47+M47</f>
        <v>0.37166714285740454</v>
      </c>
    </row>
    <row r="48" spans="1:15" ht="26.25">
      <c r="A48" s="73" t="s">
        <v>59</v>
      </c>
      <c r="B48" s="2" t="s">
        <v>64</v>
      </c>
      <c r="C48" s="2"/>
      <c r="D48" s="2">
        <v>4</v>
      </c>
      <c r="E48" s="2">
        <v>32</v>
      </c>
      <c r="F48" s="84">
        <v>4</v>
      </c>
      <c r="G48" s="2">
        <f>E48*0.1</f>
        <v>3.2</v>
      </c>
      <c r="H48" s="2"/>
      <c r="I48" s="2">
        <v>33.51</v>
      </c>
      <c r="J48" s="66">
        <f>59.9/35*(D48+F48)</f>
        <v>13.69142857142857</v>
      </c>
      <c r="K48" s="2">
        <v>35.159999999999997</v>
      </c>
      <c r="L48" s="2">
        <f>(E48+G48)*I48+J48*K48</f>
        <v>1660.9426285714285</v>
      </c>
      <c r="M48" s="2">
        <f>1192+469</f>
        <v>1661</v>
      </c>
      <c r="N48" s="17">
        <f>-L48+M48</f>
        <v>5.7371428571514116E-2</v>
      </c>
    </row>
    <row r="49" spans="1:14" ht="26.25">
      <c r="A49" s="73" t="s">
        <v>59</v>
      </c>
      <c r="B49" s="2" t="s">
        <v>65</v>
      </c>
      <c r="C49" s="2"/>
      <c r="D49" s="2">
        <v>3</v>
      </c>
      <c r="E49" s="2">
        <v>24</v>
      </c>
      <c r="F49" s="84">
        <v>2</v>
      </c>
      <c r="G49" s="2">
        <f>E49*0.1</f>
        <v>2.4000000000000004</v>
      </c>
      <c r="H49" s="2"/>
      <c r="I49" s="2">
        <v>33.51</v>
      </c>
      <c r="J49" s="66">
        <f>59.9/35*(D49+F49)</f>
        <v>8.5571428571428569</v>
      </c>
      <c r="K49" s="2">
        <v>35.159999999999997</v>
      </c>
      <c r="L49" s="2">
        <f>(E49+G49)*I49+J49*K49</f>
        <v>1185.5331428571426</v>
      </c>
      <c r="M49" s="2">
        <f>894+292</f>
        <v>1186</v>
      </c>
      <c r="N49" s="17">
        <f>-L49+M49</f>
        <v>0.46685714285740687</v>
      </c>
    </row>
    <row r="50" spans="1:14" ht="26.25">
      <c r="A50" s="73" t="s">
        <v>59</v>
      </c>
      <c r="B50" s="2" t="s">
        <v>35</v>
      </c>
      <c r="C50" s="2"/>
      <c r="D50" s="2">
        <v>3</v>
      </c>
      <c r="E50" s="2">
        <v>25</v>
      </c>
      <c r="F50" s="84">
        <v>2</v>
      </c>
      <c r="G50" s="2">
        <f>E50*0.1</f>
        <v>2.5</v>
      </c>
      <c r="H50" s="2"/>
      <c r="I50" s="2">
        <v>33.51</v>
      </c>
      <c r="J50" s="66">
        <f>59.9/35*(D50+F50)</f>
        <v>8.5571428571428569</v>
      </c>
      <c r="K50" s="2">
        <v>35.159999999999997</v>
      </c>
      <c r="L50" s="2">
        <f>(E50+G50)*I50+J50*K50</f>
        <v>1222.3941428571429</v>
      </c>
      <c r="M50" s="2">
        <f>931+291</f>
        <v>1222</v>
      </c>
      <c r="N50" s="17">
        <f>-L50+M50</f>
        <v>-0.39414285714292419</v>
      </c>
    </row>
    <row r="51" spans="1:14" ht="26.25">
      <c r="A51" s="73" t="s">
        <v>59</v>
      </c>
      <c r="B51" s="2" t="s">
        <v>66</v>
      </c>
      <c r="C51" s="87"/>
      <c r="D51" s="87">
        <v>3</v>
      </c>
      <c r="E51" s="87">
        <v>19.100000000000001</v>
      </c>
      <c r="F51" s="88">
        <v>2</v>
      </c>
      <c r="G51" s="87">
        <f>E51*0.1</f>
        <v>1.9100000000000001</v>
      </c>
      <c r="H51" s="87"/>
      <c r="I51" s="87">
        <v>33.51</v>
      </c>
      <c r="J51" s="89">
        <f>59.9/35*(D51+F51)</f>
        <v>8.5571428571428569</v>
      </c>
      <c r="K51" s="87">
        <v>35.159999999999997</v>
      </c>
      <c r="L51" s="87"/>
      <c r="M51" s="87"/>
      <c r="N51" s="87"/>
    </row>
    <row r="52" spans="1:14" ht="15.75" thickBot="1">
      <c r="A52" s="55"/>
      <c r="B52" s="9"/>
      <c r="C52" s="55"/>
      <c r="D52" s="9">
        <f>SUM(D47:D51)</f>
        <v>19</v>
      </c>
      <c r="E52" s="9"/>
      <c r="F52" s="92">
        <f>SUM(F47:F51)</f>
        <v>16</v>
      </c>
      <c r="G52" s="9"/>
      <c r="H52" s="55"/>
      <c r="I52" s="55">
        <v>33.51</v>
      </c>
      <c r="J52" s="9">
        <v>59.9</v>
      </c>
      <c r="K52" s="9"/>
      <c r="L52" s="9"/>
      <c r="M52" s="9"/>
      <c r="N52" s="9"/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topLeftCell="A13" zoomScale="80" zoomScaleNormal="80" workbookViewId="0">
      <selection activeCell="F19" sqref="F19:F30"/>
    </sheetView>
  </sheetViews>
  <sheetFormatPr defaultRowHeight="15"/>
  <cols>
    <col min="1" max="1" width="29.5703125" customWidth="1"/>
    <col min="2" max="2" width="21.42578125" bestFit="1" customWidth="1"/>
    <col min="3" max="3" width="19.5703125" customWidth="1"/>
    <col min="7" max="8" width="11.28515625" customWidth="1"/>
    <col min="9" max="9" width="11.7109375" customWidth="1"/>
    <col min="10" max="10" width="11" customWidth="1"/>
    <col min="11" max="11" width="10.140625" customWidth="1"/>
    <col min="12" max="12" width="11.42578125" customWidth="1"/>
    <col min="13" max="13" width="13.140625" customWidth="1"/>
    <col min="14" max="14" width="12.85546875" customWidth="1"/>
  </cols>
  <sheetData>
    <row r="1" spans="1:15" ht="23.25">
      <c r="A1" s="91" t="s">
        <v>68</v>
      </c>
    </row>
    <row r="2" spans="1:15" ht="23.25">
      <c r="A2" s="90" t="s">
        <v>69</v>
      </c>
    </row>
    <row r="3" spans="1:15" ht="23.25">
      <c r="A3" s="90" t="s">
        <v>71</v>
      </c>
    </row>
    <row r="4" spans="1:15" ht="23.25">
      <c r="A4" s="90" t="s">
        <v>70</v>
      </c>
    </row>
    <row r="5" spans="1:1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ht="30">
      <c r="A6" s="93" t="s">
        <v>53</v>
      </c>
      <c r="B6" s="94" t="s">
        <v>0</v>
      </c>
      <c r="C6" s="86" t="s">
        <v>1</v>
      </c>
      <c r="D6" s="86" t="s">
        <v>2</v>
      </c>
      <c r="E6" s="86" t="s">
        <v>3</v>
      </c>
      <c r="F6" s="86" t="s">
        <v>21</v>
      </c>
      <c r="G6" s="86" t="s">
        <v>5</v>
      </c>
      <c r="H6" s="86" t="s">
        <v>6</v>
      </c>
      <c r="I6" s="86" t="s">
        <v>56</v>
      </c>
      <c r="J6" s="86" t="s">
        <v>57</v>
      </c>
      <c r="K6" s="86" t="s">
        <v>58</v>
      </c>
      <c r="L6" s="86" t="s">
        <v>4</v>
      </c>
      <c r="M6" s="86" t="s">
        <v>7</v>
      </c>
      <c r="N6" s="86" t="s">
        <v>8</v>
      </c>
    </row>
    <row r="7" spans="1:15" s="1" customFormat="1" ht="32.25" thickBot="1">
      <c r="A7" s="96" t="s">
        <v>55</v>
      </c>
      <c r="B7" s="96" t="s">
        <v>78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32.25">
      <c r="A8" s="106" t="s">
        <v>83</v>
      </c>
      <c r="B8" s="84" t="s">
        <v>84</v>
      </c>
      <c r="C8" s="2" t="s">
        <v>85</v>
      </c>
      <c r="D8" s="2">
        <v>1</v>
      </c>
      <c r="E8" s="2">
        <v>30</v>
      </c>
      <c r="F8" s="2">
        <f t="shared" ref="F8:F21" si="0">D8*E8</f>
        <v>30</v>
      </c>
      <c r="G8" s="2">
        <f t="shared" ref="G8:G21" si="1">F8*0.1</f>
        <v>3</v>
      </c>
      <c r="H8" s="50">
        <v>0</v>
      </c>
      <c r="I8" s="48">
        <v>35.299999999999997</v>
      </c>
      <c r="J8" s="112">
        <v>7.69</v>
      </c>
      <c r="K8" s="2">
        <v>35.200000000000003</v>
      </c>
      <c r="L8" s="17">
        <f>(F8+G8+H8)*I8+J8*K8</f>
        <v>1435.588</v>
      </c>
      <c r="M8" s="17">
        <f>1117+150+169</f>
        <v>1436</v>
      </c>
      <c r="N8" s="17">
        <f>-L8+M8</f>
        <v>0.41200000000003456</v>
      </c>
    </row>
    <row r="9" spans="1:15" ht="62.25">
      <c r="A9" s="107" t="s">
        <v>22</v>
      </c>
      <c r="B9" s="84" t="s">
        <v>44</v>
      </c>
      <c r="C9" s="2" t="s">
        <v>90</v>
      </c>
      <c r="D9" s="2">
        <v>1</v>
      </c>
      <c r="E9" s="2">
        <v>30.82</v>
      </c>
      <c r="F9" s="2">
        <f>E9</f>
        <v>30.82</v>
      </c>
      <c r="G9" s="2">
        <f>F9*0.1</f>
        <v>3.0820000000000003</v>
      </c>
      <c r="H9" s="50">
        <v>0</v>
      </c>
      <c r="I9" s="50">
        <v>35.81</v>
      </c>
      <c r="J9" s="112">
        <v>8.98</v>
      </c>
      <c r="K9" s="2">
        <v>35.200000000000003</v>
      </c>
      <c r="L9" s="17">
        <f t="shared" ref="L9:L17" si="2">(F9+G9+H9)*I9+J9*K9</f>
        <v>1530.1266200000002</v>
      </c>
      <c r="M9" s="45">
        <f>1211+319</f>
        <v>1530</v>
      </c>
      <c r="N9" s="17">
        <f t="shared" ref="N9:N17" si="3">-L9+M9</f>
        <v>-0.12662000000022999</v>
      </c>
    </row>
    <row r="10" spans="1:15" ht="42" customHeight="1">
      <c r="A10" s="107" t="s">
        <v>22</v>
      </c>
      <c r="B10" s="84" t="s">
        <v>86</v>
      </c>
      <c r="C10" s="2" t="s">
        <v>89</v>
      </c>
      <c r="D10" s="2">
        <v>1</v>
      </c>
      <c r="E10" s="2">
        <v>27.54</v>
      </c>
      <c r="F10" s="2">
        <f>D10*E10</f>
        <v>27.54</v>
      </c>
      <c r="G10" s="2">
        <f t="shared" si="1"/>
        <v>2.754</v>
      </c>
      <c r="H10" s="50">
        <v>9.48</v>
      </c>
      <c r="I10" s="50">
        <v>35.81</v>
      </c>
      <c r="J10" s="112">
        <f>1.94</f>
        <v>1.94</v>
      </c>
      <c r="K10" s="2">
        <v>35.200000000000003</v>
      </c>
      <c r="L10" s="17">
        <f t="shared" si="2"/>
        <v>1492.5949400000002</v>
      </c>
      <c r="M10" s="17">
        <f>961+460+72</f>
        <v>1493</v>
      </c>
      <c r="N10" s="17">
        <f t="shared" si="3"/>
        <v>0.40505999999982123</v>
      </c>
    </row>
    <row r="11" spans="1:15" ht="42" customHeight="1">
      <c r="A11" s="107" t="s">
        <v>22</v>
      </c>
      <c r="B11" s="84" t="s">
        <v>87</v>
      </c>
      <c r="C11" s="2" t="s">
        <v>88</v>
      </c>
      <c r="D11" s="2">
        <v>1</v>
      </c>
      <c r="E11" s="2">
        <v>11.99</v>
      </c>
      <c r="F11" s="2">
        <f t="shared" si="0"/>
        <v>11.99</v>
      </c>
      <c r="G11" s="2">
        <f t="shared" si="1"/>
        <v>1.1990000000000001</v>
      </c>
      <c r="H11" s="50">
        <v>4.49</v>
      </c>
      <c r="I11" s="50">
        <v>35.81</v>
      </c>
      <c r="J11" s="112">
        <f>1.22+0.45</f>
        <v>1.67</v>
      </c>
      <c r="K11" s="2">
        <v>35.200000000000003</v>
      </c>
      <c r="L11" s="17">
        <f>(F11+G11+H11)*I11+J11*K11</f>
        <v>691.86899000000005</v>
      </c>
      <c r="M11" s="17">
        <f>635+26+11+20</f>
        <v>692</v>
      </c>
      <c r="N11" s="45">
        <f t="shared" si="3"/>
        <v>0.13100999999994656</v>
      </c>
      <c r="O11" t="s">
        <v>103</v>
      </c>
    </row>
    <row r="12" spans="1:15" ht="26.25">
      <c r="A12" s="108" t="s">
        <v>41</v>
      </c>
      <c r="B12" s="84" t="s">
        <v>11</v>
      </c>
      <c r="C12" s="4" t="s">
        <v>92</v>
      </c>
      <c r="D12" s="4">
        <v>1</v>
      </c>
      <c r="E12" s="4">
        <v>10</v>
      </c>
      <c r="F12" s="2">
        <f t="shared" si="0"/>
        <v>10</v>
      </c>
      <c r="G12" s="2">
        <f t="shared" si="1"/>
        <v>1</v>
      </c>
      <c r="H12" s="50">
        <v>0</v>
      </c>
      <c r="I12" s="50">
        <v>35.479999999999997</v>
      </c>
      <c r="J12" s="112">
        <v>0.81</v>
      </c>
      <c r="K12" s="2">
        <v>35.200000000000003</v>
      </c>
      <c r="L12" s="17">
        <f t="shared" si="2"/>
        <v>418.79199999999997</v>
      </c>
      <c r="M12" s="17">
        <f>390+29</f>
        <v>419</v>
      </c>
      <c r="N12" s="115">
        <f t="shared" si="3"/>
        <v>0.20800000000002683</v>
      </c>
    </row>
    <row r="13" spans="1:15" ht="32.25">
      <c r="A13" s="108" t="s">
        <v>41</v>
      </c>
      <c r="B13" s="84" t="s">
        <v>91</v>
      </c>
      <c r="C13" s="2" t="s">
        <v>93</v>
      </c>
      <c r="D13" s="4">
        <v>1</v>
      </c>
      <c r="E13" s="4">
        <v>17</v>
      </c>
      <c r="F13" s="2">
        <f t="shared" si="0"/>
        <v>17</v>
      </c>
      <c r="G13" s="2">
        <f t="shared" si="1"/>
        <v>1.7000000000000002</v>
      </c>
      <c r="H13" s="50">
        <v>0</v>
      </c>
      <c r="I13" s="50">
        <v>35.479999999999997</v>
      </c>
      <c r="J13" s="112">
        <v>1.62</v>
      </c>
      <c r="K13" s="2">
        <v>35.200000000000003</v>
      </c>
      <c r="L13" s="17">
        <f t="shared" si="2"/>
        <v>720.49999999999989</v>
      </c>
      <c r="M13" s="17">
        <v>800</v>
      </c>
      <c r="N13" s="45">
        <f t="shared" si="3"/>
        <v>79.500000000000114</v>
      </c>
    </row>
    <row r="14" spans="1:15" ht="26.25">
      <c r="A14" s="109" t="s">
        <v>94</v>
      </c>
      <c r="B14" s="84" t="s">
        <v>91</v>
      </c>
      <c r="C14" s="4" t="s">
        <v>17</v>
      </c>
      <c r="D14" s="4">
        <v>1</v>
      </c>
      <c r="E14" s="4">
        <v>7</v>
      </c>
      <c r="F14" s="2">
        <f t="shared" si="0"/>
        <v>7</v>
      </c>
      <c r="G14" s="2">
        <f t="shared" si="1"/>
        <v>0.70000000000000007</v>
      </c>
      <c r="H14" s="50">
        <v>0</v>
      </c>
      <c r="I14" s="50">
        <v>35.81</v>
      </c>
      <c r="J14" s="112">
        <v>0.56999999999999995</v>
      </c>
      <c r="K14" s="2">
        <v>35.200000000000003</v>
      </c>
      <c r="L14" s="17">
        <f t="shared" si="2"/>
        <v>295.80100000000004</v>
      </c>
      <c r="M14" s="17">
        <f>120+96</f>
        <v>216</v>
      </c>
      <c r="N14" s="45">
        <f t="shared" si="3"/>
        <v>-79.801000000000045</v>
      </c>
    </row>
    <row r="15" spans="1:15" ht="26.25">
      <c r="A15" s="111" t="s">
        <v>96</v>
      </c>
      <c r="B15" s="27" t="s">
        <v>77</v>
      </c>
      <c r="C15" s="110" t="s">
        <v>97</v>
      </c>
      <c r="D15" s="110">
        <v>1</v>
      </c>
      <c r="E15" s="110">
        <v>18.09</v>
      </c>
      <c r="F15" s="5">
        <f t="shared" si="0"/>
        <v>18.09</v>
      </c>
      <c r="G15" s="5">
        <f t="shared" si="1"/>
        <v>1.8090000000000002</v>
      </c>
      <c r="H15" s="48">
        <v>0</v>
      </c>
      <c r="I15" s="48">
        <v>35.299999999999997</v>
      </c>
      <c r="J15" s="113">
        <v>3.21</v>
      </c>
      <c r="K15" s="2">
        <v>35.200000000000003</v>
      </c>
      <c r="L15" s="13">
        <f t="shared" si="2"/>
        <v>815.42669999999998</v>
      </c>
      <c r="M15" s="13">
        <f>708+107</f>
        <v>815</v>
      </c>
      <c r="N15" s="100">
        <f t="shared" si="3"/>
        <v>-0.42669999999998254</v>
      </c>
    </row>
    <row r="16" spans="1:15" ht="32.25">
      <c r="A16" s="111" t="s">
        <v>96</v>
      </c>
      <c r="B16" s="27" t="s">
        <v>95</v>
      </c>
      <c r="C16" s="2" t="s">
        <v>98</v>
      </c>
      <c r="D16" s="110">
        <v>2</v>
      </c>
      <c r="E16" s="110">
        <v>10.26</v>
      </c>
      <c r="F16" s="5">
        <f t="shared" si="0"/>
        <v>20.52</v>
      </c>
      <c r="G16" s="5">
        <f>F16*0.1</f>
        <v>2.052</v>
      </c>
      <c r="H16" s="48">
        <v>0</v>
      </c>
      <c r="I16" s="48">
        <v>35.299999999999997</v>
      </c>
      <c r="J16" s="113">
        <v>6.42</v>
      </c>
      <c r="K16" s="2">
        <v>35.200000000000003</v>
      </c>
      <c r="L16" s="13">
        <f t="shared" si="2"/>
        <v>1022.7755999999999</v>
      </c>
      <c r="M16" s="13">
        <f>803+220</f>
        <v>1023</v>
      </c>
      <c r="N16" s="100">
        <f t="shared" si="3"/>
        <v>0.22440000000005966</v>
      </c>
    </row>
    <row r="17" spans="1:14" ht="26.25">
      <c r="A17" s="107" t="s">
        <v>23</v>
      </c>
      <c r="B17" s="30" t="s">
        <v>100</v>
      </c>
      <c r="C17" s="4" t="s">
        <v>17</v>
      </c>
      <c r="D17" s="4">
        <v>1</v>
      </c>
      <c r="E17" s="4">
        <v>15.5</v>
      </c>
      <c r="F17" s="2">
        <f t="shared" si="0"/>
        <v>15.5</v>
      </c>
      <c r="G17" s="2">
        <f t="shared" si="1"/>
        <v>1.55</v>
      </c>
      <c r="H17" s="50">
        <v>0</v>
      </c>
      <c r="I17" s="50">
        <v>35.299999999999997</v>
      </c>
      <c r="J17" s="112">
        <v>1.76</v>
      </c>
      <c r="K17" s="2">
        <v>35.200000000000003</v>
      </c>
      <c r="L17" s="17">
        <f t="shared" si="2"/>
        <v>663.81700000000001</v>
      </c>
      <c r="M17" s="17">
        <f>602+62</f>
        <v>664</v>
      </c>
      <c r="N17" s="45">
        <f t="shared" si="3"/>
        <v>0.18299999999999272</v>
      </c>
    </row>
    <row r="18" spans="1:14" s="1" customFormat="1" ht="63" customHeight="1" thickBot="1">
      <c r="A18" s="96" t="s">
        <v>54</v>
      </c>
      <c r="B18" s="96" t="s">
        <v>79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 ht="26.25">
      <c r="A19" s="105" t="s">
        <v>80</v>
      </c>
      <c r="B19" s="84" t="s">
        <v>63</v>
      </c>
      <c r="C19" s="2" t="s">
        <v>48</v>
      </c>
      <c r="D19" s="2">
        <v>1</v>
      </c>
      <c r="E19" s="2">
        <v>65</v>
      </c>
      <c r="F19" s="2">
        <f>D19*E19</f>
        <v>65</v>
      </c>
      <c r="G19" s="2">
        <f>F19*0.1</f>
        <v>6.5</v>
      </c>
      <c r="H19" s="50">
        <v>0</v>
      </c>
      <c r="I19" s="50">
        <v>36.270000000000003</v>
      </c>
      <c r="J19" s="50">
        <f>1.28</f>
        <v>1.28</v>
      </c>
      <c r="K19" s="2">
        <v>34.229999999999997</v>
      </c>
      <c r="L19" s="17">
        <f>(F19+G19+H19)*I19+J19*K19</f>
        <v>2637.1194000000005</v>
      </c>
      <c r="M19" s="17">
        <f>2614+23</f>
        <v>2637</v>
      </c>
      <c r="N19" s="114">
        <f>-L19+M19</f>
        <v>-0.11940000000049622</v>
      </c>
    </row>
    <row r="20" spans="1:14" ht="26.25">
      <c r="A20" s="105" t="s">
        <v>80</v>
      </c>
      <c r="B20" s="84" t="s">
        <v>14</v>
      </c>
      <c r="C20" s="2" t="s">
        <v>81</v>
      </c>
      <c r="D20" s="2">
        <v>1</v>
      </c>
      <c r="E20" s="2">
        <v>40</v>
      </c>
      <c r="F20" s="2">
        <f>D20*E20</f>
        <v>40</v>
      </c>
      <c r="G20" s="2">
        <f>F20*0.1</f>
        <v>4</v>
      </c>
      <c r="H20" s="50">
        <v>0</v>
      </c>
      <c r="I20" s="50">
        <v>36.270000000000003</v>
      </c>
      <c r="J20" s="50">
        <f>1.28*3</f>
        <v>3.84</v>
      </c>
      <c r="K20" s="2">
        <v>34.229999999999997</v>
      </c>
      <c r="L20" s="17">
        <f>(F20+G20+H20)*I20+J20*K20</f>
        <v>1727.3232</v>
      </c>
      <c r="M20" s="17">
        <f>1608+119</f>
        <v>1727</v>
      </c>
      <c r="N20" s="114">
        <f>-L20+M20</f>
        <v>-0.32320000000004256</v>
      </c>
    </row>
    <row r="21" spans="1:14" ht="27" thickBot="1">
      <c r="A21" s="118" t="s">
        <v>96</v>
      </c>
      <c r="B21" s="92" t="s">
        <v>102</v>
      </c>
      <c r="C21" s="8" t="s">
        <v>101</v>
      </c>
      <c r="D21" s="8">
        <v>1</v>
      </c>
      <c r="E21" s="8">
        <v>10.26</v>
      </c>
      <c r="F21" s="9">
        <f t="shared" si="0"/>
        <v>10.26</v>
      </c>
      <c r="G21" s="9">
        <f t="shared" si="1"/>
        <v>1.026</v>
      </c>
      <c r="H21" s="51">
        <v>0</v>
      </c>
      <c r="I21" s="51">
        <v>35.51</v>
      </c>
      <c r="J21" s="51">
        <v>3.68</v>
      </c>
      <c r="K21" s="9">
        <v>34.229999999999997</v>
      </c>
      <c r="L21" s="15">
        <f>(F21+G21+H21)*I21+J21*K21</f>
        <v>526.73226</v>
      </c>
      <c r="M21" s="15">
        <f>400+127</f>
        <v>527</v>
      </c>
      <c r="N21" s="119">
        <f>-L21+M21</f>
        <v>0.26774000000000342</v>
      </c>
    </row>
    <row r="22" spans="1:14" ht="32.25">
      <c r="A22" s="73" t="s">
        <v>59</v>
      </c>
      <c r="B22" s="86" t="s">
        <v>0</v>
      </c>
      <c r="C22" s="64"/>
      <c r="D22" s="64"/>
      <c r="E22" s="86" t="s">
        <v>2</v>
      </c>
      <c r="F22" s="86" t="s">
        <v>61</v>
      </c>
      <c r="G22" s="86" t="s">
        <v>5</v>
      </c>
      <c r="H22" s="86" t="s">
        <v>6</v>
      </c>
      <c r="I22" s="86" t="s">
        <v>56</v>
      </c>
      <c r="J22" s="86" t="s">
        <v>57</v>
      </c>
      <c r="K22" s="86" t="s">
        <v>58</v>
      </c>
      <c r="L22" s="86" t="s">
        <v>4</v>
      </c>
      <c r="M22" s="86" t="s">
        <v>7</v>
      </c>
      <c r="N22" s="86" t="s">
        <v>8</v>
      </c>
    </row>
    <row r="23" spans="1:14" ht="26.25">
      <c r="A23" s="73" t="s">
        <v>59</v>
      </c>
      <c r="B23" s="2" t="s">
        <v>104</v>
      </c>
      <c r="C23" s="4"/>
      <c r="D23" s="4"/>
      <c r="E23" s="2">
        <v>2</v>
      </c>
      <c r="F23" s="2">
        <v>10</v>
      </c>
      <c r="G23" s="2">
        <f>F23*0.1</f>
        <v>1</v>
      </c>
      <c r="H23" s="2">
        <v>0</v>
      </c>
      <c r="I23" s="4">
        <v>36.340000000000003</v>
      </c>
      <c r="J23" s="66">
        <f>2.24*E23</f>
        <v>4.4800000000000004</v>
      </c>
      <c r="K23" s="2">
        <v>34.229999999999997</v>
      </c>
      <c r="L23" s="17">
        <f>(F23+G23+H23)*$I23+J23*$K23</f>
        <v>553.09040000000005</v>
      </c>
      <c r="M23" s="17">
        <v>401</v>
      </c>
      <c r="N23" s="114">
        <f>-L23+M23</f>
        <v>-152.09040000000005</v>
      </c>
    </row>
    <row r="24" spans="1:14" ht="26.25">
      <c r="A24" s="73" t="s">
        <v>59</v>
      </c>
      <c r="B24" s="2" t="s">
        <v>105</v>
      </c>
      <c r="C24" s="4"/>
      <c r="D24" s="4"/>
      <c r="E24" s="2">
        <v>4</v>
      </c>
      <c r="F24" s="2">
        <v>18</v>
      </c>
      <c r="G24" s="2">
        <f t="shared" ref="G24:G30" si="4">F24*0.1</f>
        <v>1.8</v>
      </c>
      <c r="H24" s="2">
        <v>0</v>
      </c>
      <c r="I24" s="4">
        <v>36.340000000000003</v>
      </c>
      <c r="J24" s="66">
        <f t="shared" ref="J24:J29" si="5">2.24*E24</f>
        <v>8.9600000000000009</v>
      </c>
      <c r="K24" s="2">
        <v>34.229999999999997</v>
      </c>
      <c r="L24" s="17">
        <f t="shared" ref="L24:L29" si="6">(F24+G24+H24)*$I24+J24*$K24</f>
        <v>1026.2328</v>
      </c>
      <c r="M24" s="17">
        <f>721+305</f>
        <v>1026</v>
      </c>
      <c r="N24" s="114">
        <f t="shared" ref="N24:N29" si="7">-L24+M24</f>
        <v>-0.23279999999999745</v>
      </c>
    </row>
    <row r="25" spans="1:14" ht="26.25">
      <c r="A25" s="73" t="s">
        <v>59</v>
      </c>
      <c r="B25" s="2" t="s">
        <v>106</v>
      </c>
      <c r="C25" s="4"/>
      <c r="D25" s="4"/>
      <c r="E25" s="2">
        <v>2</v>
      </c>
      <c r="F25" s="2">
        <v>9.5</v>
      </c>
      <c r="G25" s="2">
        <f t="shared" si="4"/>
        <v>0.95000000000000007</v>
      </c>
      <c r="H25" s="2">
        <v>0</v>
      </c>
      <c r="I25" s="4">
        <v>36.340000000000003</v>
      </c>
      <c r="J25" s="66">
        <f t="shared" si="5"/>
        <v>4.4800000000000004</v>
      </c>
      <c r="K25" s="2">
        <v>34.229999999999997</v>
      </c>
      <c r="L25" s="17">
        <f t="shared" si="6"/>
        <v>533.10339999999997</v>
      </c>
      <c r="M25" s="17">
        <f>381+152</f>
        <v>533</v>
      </c>
      <c r="N25" s="114">
        <f t="shared" si="7"/>
        <v>-0.10339999999996508</v>
      </c>
    </row>
    <row r="26" spans="1:14" ht="26.25">
      <c r="A26" s="73" t="s">
        <v>59</v>
      </c>
      <c r="B26" s="2" t="s">
        <v>107</v>
      </c>
      <c r="C26" s="4"/>
      <c r="D26" s="4"/>
      <c r="E26" s="2">
        <v>4</v>
      </c>
      <c r="F26" s="2">
        <v>18.5</v>
      </c>
      <c r="G26" s="2">
        <f t="shared" si="4"/>
        <v>1.85</v>
      </c>
      <c r="H26" s="2">
        <v>0</v>
      </c>
      <c r="I26" s="4">
        <v>36.340000000000003</v>
      </c>
      <c r="J26" s="66">
        <f t="shared" si="5"/>
        <v>8.9600000000000009</v>
      </c>
      <c r="K26" s="2">
        <v>34.229999999999997</v>
      </c>
      <c r="L26" s="17">
        <f t="shared" si="6"/>
        <v>1046.2198000000001</v>
      </c>
      <c r="M26" s="17">
        <v>784</v>
      </c>
      <c r="N26" s="114">
        <f t="shared" si="7"/>
        <v>-262.21980000000008</v>
      </c>
    </row>
    <row r="27" spans="1:14" ht="26.25">
      <c r="A27" s="73" t="s">
        <v>59</v>
      </c>
      <c r="B27" s="2" t="s">
        <v>108</v>
      </c>
      <c r="C27" s="4"/>
      <c r="D27" s="4"/>
      <c r="E27" s="2">
        <v>2</v>
      </c>
      <c r="F27" s="2">
        <v>9</v>
      </c>
      <c r="G27" s="2">
        <f t="shared" si="4"/>
        <v>0.9</v>
      </c>
      <c r="H27" s="2">
        <v>0</v>
      </c>
      <c r="I27" s="4">
        <v>36.340000000000003</v>
      </c>
      <c r="J27" s="66">
        <f t="shared" si="5"/>
        <v>4.4800000000000004</v>
      </c>
      <c r="K27" s="2">
        <v>34.229999999999997</v>
      </c>
      <c r="L27" s="17">
        <f t="shared" si="6"/>
        <v>513.1164</v>
      </c>
      <c r="M27" s="17">
        <f>361+152</f>
        <v>513</v>
      </c>
      <c r="N27" s="114">
        <f t="shared" si="7"/>
        <v>-0.11639999999999873</v>
      </c>
    </row>
    <row r="28" spans="1:14" ht="26.25">
      <c r="A28" s="73" t="s">
        <v>59</v>
      </c>
      <c r="B28" s="4" t="s">
        <v>109</v>
      </c>
      <c r="C28" s="4"/>
      <c r="D28" s="4"/>
      <c r="E28" s="2">
        <v>2</v>
      </c>
      <c r="F28" s="2">
        <v>9.5</v>
      </c>
      <c r="G28" s="2">
        <f t="shared" si="4"/>
        <v>0.95000000000000007</v>
      </c>
      <c r="H28" s="2">
        <v>0</v>
      </c>
      <c r="I28" s="4">
        <v>36.340000000000003</v>
      </c>
      <c r="J28" s="66">
        <f t="shared" si="5"/>
        <v>4.4800000000000004</v>
      </c>
      <c r="K28" s="2">
        <v>34.229999999999997</v>
      </c>
      <c r="L28" s="17">
        <f t="shared" si="6"/>
        <v>533.10339999999997</v>
      </c>
      <c r="M28" s="17">
        <f>381+152</f>
        <v>533</v>
      </c>
      <c r="N28" s="114">
        <f t="shared" si="7"/>
        <v>-0.10339999999996508</v>
      </c>
    </row>
    <row r="29" spans="1:14" ht="26.25">
      <c r="A29" s="73" t="s">
        <v>59</v>
      </c>
      <c r="B29" s="2" t="s">
        <v>63</v>
      </c>
      <c r="C29" s="4"/>
      <c r="D29" s="4"/>
      <c r="E29" s="2">
        <v>3</v>
      </c>
      <c r="F29" s="2">
        <v>13.5</v>
      </c>
      <c r="G29" s="2">
        <f t="shared" si="4"/>
        <v>1.35</v>
      </c>
      <c r="H29" s="2">
        <v>0</v>
      </c>
      <c r="I29" s="4">
        <v>36.340000000000003</v>
      </c>
      <c r="J29" s="66">
        <f t="shared" si="5"/>
        <v>6.7200000000000006</v>
      </c>
      <c r="K29" s="2">
        <v>34.229999999999997</v>
      </c>
      <c r="L29" s="17">
        <f t="shared" si="6"/>
        <v>769.67460000000005</v>
      </c>
      <c r="M29" s="17">
        <f>541+229</f>
        <v>770</v>
      </c>
      <c r="N29" s="114">
        <f t="shared" si="7"/>
        <v>0.32539999999994507</v>
      </c>
    </row>
    <row r="30" spans="1:14" ht="26.25">
      <c r="A30" s="73" t="s">
        <v>59</v>
      </c>
      <c r="B30" s="2" t="s">
        <v>66</v>
      </c>
      <c r="C30" s="4"/>
      <c r="D30" s="4"/>
      <c r="E30" s="2">
        <v>4</v>
      </c>
      <c r="F30" s="2">
        <v>19</v>
      </c>
      <c r="G30" s="2">
        <f t="shared" si="4"/>
        <v>1.9000000000000001</v>
      </c>
      <c r="H30" s="2">
        <v>0</v>
      </c>
      <c r="I30" s="4">
        <v>36.340000000000003</v>
      </c>
      <c r="J30" s="120"/>
      <c r="K30" s="120"/>
      <c r="L30" s="117"/>
      <c r="M30" s="117"/>
      <c r="N30" s="117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N7"/>
  <sheetViews>
    <sheetView zoomScale="70" zoomScaleNormal="70" workbookViewId="0">
      <selection activeCell="F3" sqref="F3:F7"/>
    </sheetView>
  </sheetViews>
  <sheetFormatPr defaultRowHeight="15"/>
  <cols>
    <col min="1" max="1" width="35.5703125" customWidth="1"/>
    <col min="2" max="2" width="16.28515625" customWidth="1"/>
    <col min="3" max="3" width="16.140625" customWidth="1"/>
    <col min="13" max="13" width="19.7109375" customWidth="1"/>
  </cols>
  <sheetData>
    <row r="2" spans="1:14" ht="45">
      <c r="A2" s="116" t="s">
        <v>53</v>
      </c>
      <c r="B2" s="116" t="s">
        <v>0</v>
      </c>
      <c r="C2" s="116" t="s">
        <v>1</v>
      </c>
      <c r="D2" s="116" t="s">
        <v>2</v>
      </c>
      <c r="E2" s="116" t="s">
        <v>3</v>
      </c>
      <c r="F2" s="116" t="s">
        <v>21</v>
      </c>
      <c r="G2" s="116" t="s">
        <v>5</v>
      </c>
      <c r="H2" s="116" t="s">
        <v>6</v>
      </c>
      <c r="I2" s="116" t="s">
        <v>56</v>
      </c>
      <c r="J2" s="116" t="s">
        <v>57</v>
      </c>
      <c r="K2" s="116" t="s">
        <v>58</v>
      </c>
      <c r="L2" s="116" t="s">
        <v>4</v>
      </c>
      <c r="M2" s="116" t="s">
        <v>7</v>
      </c>
      <c r="N2" s="116" t="s">
        <v>8</v>
      </c>
    </row>
    <row r="3" spans="1:14" ht="26.25">
      <c r="A3" s="105" t="s">
        <v>113</v>
      </c>
      <c r="B3" s="84" t="s">
        <v>112</v>
      </c>
      <c r="C3" s="2" t="s">
        <v>114</v>
      </c>
      <c r="D3" s="2">
        <v>1</v>
      </c>
      <c r="E3" s="2">
        <v>10</v>
      </c>
      <c r="F3" s="2">
        <f>D3*E3</f>
        <v>10</v>
      </c>
      <c r="G3" s="2">
        <f>F3*0.1</f>
        <v>1</v>
      </c>
      <c r="H3" s="50">
        <v>0</v>
      </c>
      <c r="I3" s="50">
        <v>34.85</v>
      </c>
      <c r="J3" s="50">
        <f>0.71*2</f>
        <v>1.42</v>
      </c>
      <c r="K3" s="2">
        <v>35.729999999999997</v>
      </c>
      <c r="L3" s="17">
        <f>(F3+G3+H3)*I3+J3*K3</f>
        <v>434.08660000000003</v>
      </c>
      <c r="M3" s="17">
        <f>380+54</f>
        <v>434</v>
      </c>
      <c r="N3" s="114">
        <f>-L3+M3</f>
        <v>-8.6600000000032651E-2</v>
      </c>
    </row>
    <row r="4" spans="1:14" ht="26.25">
      <c r="A4" s="105" t="s">
        <v>113</v>
      </c>
      <c r="B4" s="84" t="s">
        <v>111</v>
      </c>
      <c r="C4" s="2" t="s">
        <v>114</v>
      </c>
      <c r="D4" s="2">
        <v>1</v>
      </c>
      <c r="E4" s="2">
        <v>10</v>
      </c>
      <c r="F4" s="2">
        <f>D4*E4</f>
        <v>10</v>
      </c>
      <c r="G4" s="2">
        <f>F4*0.1</f>
        <v>1</v>
      </c>
      <c r="H4" s="50">
        <v>0</v>
      </c>
      <c r="I4" s="50">
        <v>34.85</v>
      </c>
      <c r="J4" s="50">
        <f>0.71*2</f>
        <v>1.42</v>
      </c>
      <c r="K4" s="2">
        <v>35.729999999999997</v>
      </c>
      <c r="L4" s="17">
        <f>(F4+G4+H4)*I4+J4*K4</f>
        <v>434.08660000000003</v>
      </c>
      <c r="M4" s="17">
        <f>380+54</f>
        <v>434</v>
      </c>
      <c r="N4" s="114">
        <f>-L4+M4</f>
        <v>-8.6600000000032651E-2</v>
      </c>
    </row>
    <row r="5" spans="1:14" ht="26.25">
      <c r="A5" s="111" t="s">
        <v>22</v>
      </c>
      <c r="B5" s="84" t="s">
        <v>87</v>
      </c>
      <c r="C5" s="4" t="s">
        <v>110</v>
      </c>
      <c r="D5" s="4">
        <v>1</v>
      </c>
      <c r="E5" s="4">
        <v>76.97</v>
      </c>
      <c r="F5" s="2">
        <f>D5*E5</f>
        <v>76.97</v>
      </c>
      <c r="G5" s="2">
        <f>F5*0.1</f>
        <v>7.6970000000000001</v>
      </c>
      <c r="H5" s="50">
        <v>0</v>
      </c>
      <c r="I5" s="50">
        <v>34.64</v>
      </c>
      <c r="J5" s="50">
        <v>3.14</v>
      </c>
      <c r="K5" s="2">
        <v>35.729999999999997</v>
      </c>
      <c r="L5" s="17">
        <f>(F5+G5+H5)*I5+J5*K5</f>
        <v>3045.05708</v>
      </c>
      <c r="M5" s="17">
        <f>2920+125</f>
        <v>3045</v>
      </c>
      <c r="N5" s="115">
        <f>-L5+M5</f>
        <v>-5.7080000000041764E-2</v>
      </c>
    </row>
    <row r="6" spans="1:14" ht="26.25">
      <c r="A6" s="121" t="s">
        <v>115</v>
      </c>
      <c r="B6" s="123" t="s">
        <v>51</v>
      </c>
      <c r="C6" s="4" t="s">
        <v>116</v>
      </c>
      <c r="D6" s="4">
        <v>2</v>
      </c>
      <c r="E6" s="4">
        <v>6</v>
      </c>
      <c r="F6" s="2">
        <f>D6*E6</f>
        <v>12</v>
      </c>
      <c r="G6" s="2">
        <f>F6*0.1</f>
        <v>1.2000000000000002</v>
      </c>
      <c r="H6" s="50">
        <v>0</v>
      </c>
      <c r="I6" s="4">
        <v>35.409999999999997</v>
      </c>
      <c r="J6" s="4">
        <f>1.15*2</f>
        <v>2.2999999999999998</v>
      </c>
      <c r="K6" s="2">
        <v>35.729999999999997</v>
      </c>
      <c r="L6" s="17">
        <f>(F6+G6+H6)*I6+J6*K6</f>
        <v>549.59099999999989</v>
      </c>
      <c r="M6" s="4">
        <f>475+75</f>
        <v>550</v>
      </c>
      <c r="N6" s="115">
        <f>-L6+M6</f>
        <v>0.4090000000001055</v>
      </c>
    </row>
    <row r="7" spans="1:14" ht="26.25">
      <c r="A7" s="121" t="s">
        <v>115</v>
      </c>
      <c r="B7" s="122" t="s">
        <v>117</v>
      </c>
      <c r="C7" s="4" t="s">
        <v>118</v>
      </c>
      <c r="D7" s="4">
        <v>1</v>
      </c>
      <c r="E7" s="4">
        <v>28</v>
      </c>
      <c r="F7" s="2">
        <f>D7*E7</f>
        <v>28</v>
      </c>
      <c r="G7" s="2">
        <f>F7*0.1</f>
        <v>2.8000000000000003</v>
      </c>
      <c r="H7" s="50">
        <v>0</v>
      </c>
      <c r="I7" s="4">
        <v>35.409999999999997</v>
      </c>
      <c r="J7" s="4">
        <f>1.15*2</f>
        <v>2.2999999999999998</v>
      </c>
      <c r="K7" s="2">
        <v>35.729999999999997</v>
      </c>
      <c r="L7" s="17">
        <f>(F7+G7+H7)*I7+J7*K7</f>
        <v>1172.807</v>
      </c>
      <c r="M7" s="4">
        <v>1100</v>
      </c>
      <c r="N7" s="115">
        <f>-L7+M7</f>
        <v>-72.807000000000016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3"/>
  <sheetViews>
    <sheetView tabSelected="1" zoomScale="70" zoomScaleNormal="70" workbookViewId="0">
      <selection activeCell="C9" sqref="C9"/>
    </sheetView>
  </sheetViews>
  <sheetFormatPr defaultRowHeight="15"/>
  <cols>
    <col min="1" max="1" width="41.85546875" customWidth="1"/>
    <col min="2" max="2" width="21.140625" customWidth="1"/>
    <col min="3" max="3" width="28" customWidth="1"/>
    <col min="13" max="13" width="12.85546875" customWidth="1"/>
  </cols>
  <sheetData>
    <row r="1" spans="1:14" ht="23.25">
      <c r="A1" s="91" t="s">
        <v>68</v>
      </c>
    </row>
    <row r="2" spans="1:14" ht="23.25">
      <c r="A2" s="90" t="s">
        <v>69</v>
      </c>
    </row>
    <row r="3" spans="1:14" ht="23.25">
      <c r="A3" s="90" t="s">
        <v>71</v>
      </c>
    </row>
    <row r="4" spans="1:14" ht="23.25">
      <c r="A4" s="90" t="s">
        <v>70</v>
      </c>
    </row>
    <row r="5" spans="1:14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ht="45">
      <c r="A6" s="93" t="s">
        <v>53</v>
      </c>
      <c r="B6" s="94" t="s">
        <v>0</v>
      </c>
      <c r="C6" s="86" t="s">
        <v>1</v>
      </c>
      <c r="D6" s="86" t="s">
        <v>2</v>
      </c>
      <c r="E6" s="86" t="s">
        <v>3</v>
      </c>
      <c r="F6" s="86" t="s">
        <v>21</v>
      </c>
      <c r="G6" s="86" t="s">
        <v>5</v>
      </c>
      <c r="H6" s="86" t="s">
        <v>6</v>
      </c>
      <c r="I6" s="86" t="s">
        <v>56</v>
      </c>
      <c r="J6" s="86" t="s">
        <v>57</v>
      </c>
      <c r="K6" s="86" t="s">
        <v>58</v>
      </c>
      <c r="L6" s="86" t="s">
        <v>4</v>
      </c>
      <c r="M6" s="86" t="s">
        <v>7</v>
      </c>
      <c r="N6" s="86" t="s">
        <v>8</v>
      </c>
    </row>
    <row r="7" spans="1:14" ht="26.25">
      <c r="A7" s="105" t="s">
        <v>119</v>
      </c>
      <c r="B7" s="84" t="s">
        <v>122</v>
      </c>
      <c r="C7" s="2" t="s">
        <v>124</v>
      </c>
      <c r="D7" s="2">
        <v>1</v>
      </c>
      <c r="E7" s="2">
        <v>29</v>
      </c>
      <c r="F7" s="2">
        <f t="shared" ref="F7:F16" si="0">D7*E7</f>
        <v>29</v>
      </c>
      <c r="G7" s="2">
        <f t="shared" ref="G7:G16" si="1">F7*0.1</f>
        <v>2.9000000000000004</v>
      </c>
      <c r="H7" s="50">
        <v>0</v>
      </c>
      <c r="I7" s="113">
        <f>46.4244*1.02</f>
        <v>47.352888</v>
      </c>
      <c r="J7" s="112"/>
      <c r="K7" s="2"/>
      <c r="L7" s="17">
        <f>(F7+G7+H7)*I7+J7*K7</f>
        <v>1510.5571272</v>
      </c>
      <c r="M7" s="17">
        <v>1530</v>
      </c>
      <c r="N7" s="17">
        <f>-L7+M7</f>
        <v>19.442872800000032</v>
      </c>
    </row>
    <row r="8" spans="1:14" ht="26.25">
      <c r="A8" s="105" t="s">
        <v>119</v>
      </c>
      <c r="B8" s="84" t="s">
        <v>76</v>
      </c>
      <c r="C8" s="2" t="s">
        <v>124</v>
      </c>
      <c r="D8" s="2">
        <v>1</v>
      </c>
      <c r="E8" s="2">
        <v>29</v>
      </c>
      <c r="F8" s="2">
        <f>E8</f>
        <v>29</v>
      </c>
      <c r="G8" s="2">
        <f>F8*0.1</f>
        <v>2.9000000000000004</v>
      </c>
      <c r="H8" s="50">
        <v>0</v>
      </c>
      <c r="I8" s="113">
        <f>46.4244*1.02</f>
        <v>47.352888</v>
      </c>
      <c r="J8" s="112"/>
      <c r="K8" s="2"/>
      <c r="L8" s="17">
        <f t="shared" ref="L8:L16" si="2">(F8+G8+H8)*I8+J8*K8</f>
        <v>1510.5571272</v>
      </c>
      <c r="M8" s="45">
        <v>1600</v>
      </c>
      <c r="N8" s="17">
        <f t="shared" ref="N8:N16" si="3">-L8+M8</f>
        <v>89.442872800000032</v>
      </c>
    </row>
    <row r="9" spans="1:14" ht="32.25">
      <c r="A9" s="111" t="s">
        <v>120</v>
      </c>
      <c r="B9" s="84" t="s">
        <v>123</v>
      </c>
      <c r="C9" s="2" t="s">
        <v>125</v>
      </c>
      <c r="D9" s="2">
        <v>1</v>
      </c>
      <c r="E9" s="2">
        <v>25</v>
      </c>
      <c r="F9" s="2">
        <f>D9*E9</f>
        <v>25</v>
      </c>
      <c r="G9" s="2">
        <f t="shared" si="1"/>
        <v>2.5</v>
      </c>
      <c r="H9" s="50">
        <v>0</v>
      </c>
      <c r="I9" s="113">
        <f>46.4244*1.02</f>
        <v>47.352888</v>
      </c>
      <c r="J9" s="112"/>
      <c r="K9" s="2"/>
      <c r="L9" s="17">
        <f t="shared" si="2"/>
        <v>1302.20442</v>
      </c>
      <c r="M9" s="17">
        <v>1300</v>
      </c>
      <c r="N9" s="17">
        <f t="shared" si="3"/>
        <v>-2.2044200000000274</v>
      </c>
    </row>
    <row r="10" spans="1:14" ht="26.25">
      <c r="A10" s="121" t="s">
        <v>121</v>
      </c>
      <c r="B10" s="84" t="s">
        <v>112</v>
      </c>
      <c r="C10" s="2" t="s">
        <v>126</v>
      </c>
      <c r="D10" s="2">
        <v>1</v>
      </c>
      <c r="E10" s="2">
        <v>47.07</v>
      </c>
      <c r="F10" s="2">
        <f t="shared" si="0"/>
        <v>47.07</v>
      </c>
      <c r="G10" s="2">
        <f t="shared" si="1"/>
        <v>4.7069999999999999</v>
      </c>
      <c r="H10" s="50">
        <v>0</v>
      </c>
      <c r="I10" s="113">
        <f>46.4244*1.02</f>
        <v>47.352888</v>
      </c>
      <c r="J10" s="112"/>
      <c r="K10" s="2"/>
      <c r="L10" s="17">
        <f>(F10+G10+H10)*I10+J10*K10</f>
        <v>2451.7904819760001</v>
      </c>
      <c r="M10" s="17">
        <v>2450</v>
      </c>
      <c r="N10" s="45">
        <f t="shared" si="3"/>
        <v>-1.7904819760001374</v>
      </c>
    </row>
    <row r="11" spans="1:14" ht="26.25">
      <c r="A11" s="108" t="s">
        <v>127</v>
      </c>
      <c r="B11" s="84" t="s">
        <v>87</v>
      </c>
      <c r="C11" s="4" t="s">
        <v>128</v>
      </c>
      <c r="D11" s="4">
        <v>1</v>
      </c>
      <c r="E11" s="4">
        <v>10.51</v>
      </c>
      <c r="F11" s="2">
        <f t="shared" si="0"/>
        <v>10.51</v>
      </c>
      <c r="G11" s="2">
        <f t="shared" si="1"/>
        <v>1.0509999999999999</v>
      </c>
      <c r="H11" s="50">
        <v>0</v>
      </c>
      <c r="I11" s="113">
        <v>48</v>
      </c>
      <c r="J11" s="112"/>
      <c r="K11" s="2"/>
      <c r="L11" s="17">
        <f t="shared" si="2"/>
        <v>554.928</v>
      </c>
      <c r="M11" s="17">
        <v>555</v>
      </c>
      <c r="N11" s="115">
        <f t="shared" si="3"/>
        <v>7.2000000000002728E-2</v>
      </c>
    </row>
    <row r="12" spans="1:14" ht="26.25">
      <c r="A12" s="124" t="s">
        <v>129</v>
      </c>
      <c r="B12" s="84" t="s">
        <v>130</v>
      </c>
      <c r="C12" s="2" t="s">
        <v>135</v>
      </c>
      <c r="D12" s="4">
        <v>1</v>
      </c>
      <c r="E12" s="4">
        <v>48.75</v>
      </c>
      <c r="F12" s="2">
        <f t="shared" si="0"/>
        <v>48.75</v>
      </c>
      <c r="G12" s="2">
        <f t="shared" si="1"/>
        <v>4.875</v>
      </c>
      <c r="H12" s="50">
        <v>0</v>
      </c>
      <c r="I12" s="112">
        <v>49</v>
      </c>
      <c r="J12" s="112"/>
      <c r="K12" s="2"/>
      <c r="L12" s="17">
        <f t="shared" si="2"/>
        <v>2627.625</v>
      </c>
      <c r="M12" s="17">
        <v>2700</v>
      </c>
      <c r="N12" s="45">
        <f t="shared" si="3"/>
        <v>72.375</v>
      </c>
    </row>
    <row r="13" spans="1:14" ht="26.25">
      <c r="A13" s="124" t="s">
        <v>129</v>
      </c>
      <c r="B13" s="84" t="s">
        <v>131</v>
      </c>
      <c r="C13" s="4" t="s">
        <v>136</v>
      </c>
      <c r="D13" s="4">
        <v>1</v>
      </c>
      <c r="E13" s="4">
        <v>27</v>
      </c>
      <c r="F13" s="2">
        <f t="shared" si="0"/>
        <v>27</v>
      </c>
      <c r="G13" s="2">
        <f t="shared" si="1"/>
        <v>2.7</v>
      </c>
      <c r="H13" s="50">
        <v>0</v>
      </c>
      <c r="I13" s="112">
        <v>49</v>
      </c>
      <c r="J13" s="112"/>
      <c r="K13" s="2"/>
      <c r="L13" s="17">
        <f t="shared" si="2"/>
        <v>1455.3</v>
      </c>
      <c r="M13" s="17">
        <v>1430</v>
      </c>
      <c r="N13" s="45">
        <f t="shared" si="3"/>
        <v>-25.299999999999955</v>
      </c>
    </row>
    <row r="14" spans="1:14" ht="32.25">
      <c r="A14" s="124" t="s">
        <v>129</v>
      </c>
      <c r="B14" s="27" t="s">
        <v>132</v>
      </c>
      <c r="C14" s="2" t="s">
        <v>137</v>
      </c>
      <c r="D14" s="110">
        <v>1</v>
      </c>
      <c r="E14" s="110">
        <v>66</v>
      </c>
      <c r="F14" s="5">
        <f t="shared" si="0"/>
        <v>66</v>
      </c>
      <c r="G14" s="5">
        <f t="shared" si="1"/>
        <v>6.6000000000000005</v>
      </c>
      <c r="H14" s="48">
        <v>0</v>
      </c>
      <c r="I14" s="112">
        <v>49</v>
      </c>
      <c r="J14" s="113"/>
      <c r="K14" s="2"/>
      <c r="L14" s="13">
        <f t="shared" si="2"/>
        <v>3557.3999999999996</v>
      </c>
      <c r="M14" s="100">
        <v>3500</v>
      </c>
      <c r="N14" s="100">
        <f t="shared" si="3"/>
        <v>-57.399999999999636</v>
      </c>
    </row>
    <row r="15" spans="1:14" ht="32.25">
      <c r="A15" s="124" t="s">
        <v>129</v>
      </c>
      <c r="B15" s="27" t="s">
        <v>11</v>
      </c>
      <c r="C15" s="2" t="s">
        <v>138</v>
      </c>
      <c r="D15" s="110">
        <v>1</v>
      </c>
      <c r="E15" s="4">
        <v>48.75</v>
      </c>
      <c r="F15" s="5">
        <f t="shared" si="0"/>
        <v>48.75</v>
      </c>
      <c r="G15" s="5">
        <f>F15*0.1</f>
        <v>4.875</v>
      </c>
      <c r="H15" s="48">
        <v>0</v>
      </c>
      <c r="I15" s="112">
        <v>49</v>
      </c>
      <c r="J15" s="113"/>
      <c r="K15" s="2"/>
      <c r="L15" s="13">
        <f t="shared" si="2"/>
        <v>2627.625</v>
      </c>
      <c r="M15" s="13">
        <v>2630</v>
      </c>
      <c r="N15" s="100">
        <f t="shared" si="3"/>
        <v>2.375</v>
      </c>
    </row>
    <row r="16" spans="1:14" ht="26.25">
      <c r="A16" s="124" t="s">
        <v>129</v>
      </c>
      <c r="B16" s="30" t="s">
        <v>133</v>
      </c>
      <c r="C16" s="4" t="s">
        <v>124</v>
      </c>
      <c r="D16" s="4">
        <v>1</v>
      </c>
      <c r="E16" s="4">
        <v>66</v>
      </c>
      <c r="F16" s="2">
        <f t="shared" si="0"/>
        <v>66</v>
      </c>
      <c r="G16" s="2">
        <f t="shared" si="1"/>
        <v>6.6000000000000005</v>
      </c>
      <c r="H16" s="50">
        <v>0</v>
      </c>
      <c r="I16" s="112">
        <v>49</v>
      </c>
      <c r="J16" s="112"/>
      <c r="K16" s="2"/>
      <c r="L16" s="17">
        <f t="shared" si="2"/>
        <v>3557.3999999999996</v>
      </c>
      <c r="M16" s="17">
        <v>3500</v>
      </c>
      <c r="N16" s="45">
        <f t="shared" si="3"/>
        <v>-57.399999999999636</v>
      </c>
    </row>
    <row r="17" spans="1:14" ht="26.25">
      <c r="A17" s="124" t="s">
        <v>129</v>
      </c>
      <c r="B17" s="84" t="s">
        <v>134</v>
      </c>
      <c r="C17" s="2" t="s">
        <v>139</v>
      </c>
      <c r="D17" s="4">
        <v>1</v>
      </c>
      <c r="E17" s="4">
        <v>15.75</v>
      </c>
      <c r="F17" s="2">
        <f t="shared" ref="F17:F25" si="4">D17*E17</f>
        <v>15.75</v>
      </c>
      <c r="G17" s="2">
        <f t="shared" ref="G17:G34" si="5">F17*0.1</f>
        <v>1.5750000000000002</v>
      </c>
      <c r="H17" s="50">
        <v>0</v>
      </c>
      <c r="I17" s="112">
        <v>49</v>
      </c>
      <c r="J17" s="112"/>
      <c r="K17" s="2"/>
      <c r="L17" s="17">
        <f t="shared" ref="L17:L25" si="6">(F17+G17+H17)*I17+J17*K17</f>
        <v>848.92499999999995</v>
      </c>
      <c r="M17" s="17">
        <v>850</v>
      </c>
      <c r="N17" s="45">
        <f t="shared" ref="N17:N25" si="7">-L17+M17</f>
        <v>1.0750000000000455</v>
      </c>
    </row>
    <row r="18" spans="1:14" ht="26.25">
      <c r="A18" s="109" t="s">
        <v>140</v>
      </c>
      <c r="B18" s="84" t="s">
        <v>133</v>
      </c>
      <c r="C18" s="4" t="s">
        <v>141</v>
      </c>
      <c r="D18" s="4">
        <v>1</v>
      </c>
      <c r="E18" s="4">
        <v>48</v>
      </c>
      <c r="F18" s="2">
        <f t="shared" si="4"/>
        <v>48</v>
      </c>
      <c r="G18" s="2">
        <f t="shared" si="5"/>
        <v>4.8000000000000007</v>
      </c>
      <c r="H18" s="50">
        <v>0</v>
      </c>
      <c r="I18" s="112">
        <v>49</v>
      </c>
      <c r="J18" s="112"/>
      <c r="K18" s="2"/>
      <c r="L18" s="17">
        <f t="shared" si="6"/>
        <v>2587.1999999999998</v>
      </c>
      <c r="M18" s="127">
        <v>2700</v>
      </c>
      <c r="N18" s="45">
        <f t="shared" si="7"/>
        <v>112.80000000000018</v>
      </c>
    </row>
    <row r="19" spans="1:14" ht="26.25">
      <c r="A19" s="109" t="s">
        <v>140</v>
      </c>
      <c r="B19" s="27" t="s">
        <v>132</v>
      </c>
      <c r="C19" s="110" t="s">
        <v>142</v>
      </c>
      <c r="D19" s="110">
        <v>1</v>
      </c>
      <c r="E19" s="110">
        <v>24</v>
      </c>
      <c r="F19" s="5">
        <f t="shared" si="4"/>
        <v>24</v>
      </c>
      <c r="G19" s="5">
        <f t="shared" si="5"/>
        <v>2.4000000000000004</v>
      </c>
      <c r="H19" s="48">
        <v>0</v>
      </c>
      <c r="I19" s="112">
        <v>49</v>
      </c>
      <c r="J19" s="113"/>
      <c r="K19" s="2"/>
      <c r="L19" s="13">
        <f t="shared" si="6"/>
        <v>1293.5999999999999</v>
      </c>
      <c r="M19" s="13">
        <v>1351</v>
      </c>
      <c r="N19" s="100">
        <f t="shared" si="7"/>
        <v>57.400000000000091</v>
      </c>
    </row>
    <row r="20" spans="1:14" ht="26.25">
      <c r="A20" s="111" t="s">
        <v>143</v>
      </c>
      <c r="B20" s="27" t="s">
        <v>144</v>
      </c>
      <c r="C20" s="2" t="s">
        <v>145</v>
      </c>
      <c r="D20" s="110">
        <v>1</v>
      </c>
      <c r="E20" s="110">
        <v>46.98</v>
      </c>
      <c r="F20" s="5">
        <f t="shared" si="4"/>
        <v>46.98</v>
      </c>
      <c r="G20" s="5">
        <f t="shared" si="5"/>
        <v>4.6979999999999995</v>
      </c>
      <c r="H20" s="48">
        <v>0</v>
      </c>
      <c r="I20" s="112">
        <v>49</v>
      </c>
      <c r="J20" s="113"/>
      <c r="K20" s="2"/>
      <c r="L20" s="13">
        <f t="shared" si="6"/>
        <v>2532.2219999999998</v>
      </c>
      <c r="M20" s="13">
        <v>2532</v>
      </c>
      <c r="N20" s="100">
        <f t="shared" si="7"/>
        <v>-0.22199999999975262</v>
      </c>
    </row>
    <row r="21" spans="1:14" ht="26.25">
      <c r="A21" s="107" t="s">
        <v>146</v>
      </c>
      <c r="B21" s="30" t="s">
        <v>11</v>
      </c>
      <c r="C21" s="4" t="s">
        <v>147</v>
      </c>
      <c r="D21" s="4">
        <v>1</v>
      </c>
      <c r="E21" s="4">
        <v>24.8</v>
      </c>
      <c r="F21" s="2">
        <f t="shared" si="4"/>
        <v>24.8</v>
      </c>
      <c r="G21" s="2">
        <f t="shared" si="5"/>
        <v>2.4800000000000004</v>
      </c>
      <c r="H21" s="50">
        <v>0</v>
      </c>
      <c r="I21" s="112">
        <v>49</v>
      </c>
      <c r="J21" s="112"/>
      <c r="K21" s="2"/>
      <c r="L21" s="17">
        <f t="shared" si="6"/>
        <v>1336.72</v>
      </c>
      <c r="M21" s="129"/>
      <c r="N21" s="45">
        <f t="shared" si="7"/>
        <v>-1336.72</v>
      </c>
    </row>
    <row r="22" spans="1:14" ht="26.25">
      <c r="A22" s="108" t="s">
        <v>148</v>
      </c>
      <c r="B22" s="84" t="s">
        <v>149</v>
      </c>
      <c r="C22" s="4" t="s">
        <v>151</v>
      </c>
      <c r="D22" s="4">
        <v>1</v>
      </c>
      <c r="E22" s="4">
        <v>32.799999999999997</v>
      </c>
      <c r="F22" s="2">
        <f t="shared" si="4"/>
        <v>32.799999999999997</v>
      </c>
      <c r="G22" s="2">
        <f t="shared" si="5"/>
        <v>3.28</v>
      </c>
      <c r="H22" s="50">
        <v>0</v>
      </c>
      <c r="I22" s="112">
        <v>49</v>
      </c>
      <c r="J22" s="112"/>
      <c r="K22" s="2"/>
      <c r="L22" s="17">
        <f t="shared" si="6"/>
        <v>1767.9199999999998</v>
      </c>
      <c r="M22" s="129"/>
      <c r="N22" s="45">
        <f t="shared" si="7"/>
        <v>-1767.9199999999998</v>
      </c>
    </row>
    <row r="23" spans="1:14" ht="26.25">
      <c r="A23" s="108" t="s">
        <v>148</v>
      </c>
      <c r="B23" s="27" t="s">
        <v>112</v>
      </c>
      <c r="C23" s="110" t="s">
        <v>151</v>
      </c>
      <c r="D23" s="110">
        <v>1</v>
      </c>
      <c r="E23" s="4">
        <v>32.799999999999997</v>
      </c>
      <c r="F23" s="5">
        <f t="shared" si="4"/>
        <v>32.799999999999997</v>
      </c>
      <c r="G23" s="5">
        <f t="shared" si="5"/>
        <v>3.28</v>
      </c>
      <c r="H23" s="48">
        <v>0</v>
      </c>
      <c r="I23" s="112">
        <v>49</v>
      </c>
      <c r="J23" s="113"/>
      <c r="K23" s="2"/>
      <c r="L23" s="13">
        <f t="shared" si="6"/>
        <v>1767.9199999999998</v>
      </c>
      <c r="M23" s="13">
        <v>1768</v>
      </c>
      <c r="N23" s="100">
        <f t="shared" si="7"/>
        <v>8.0000000000154614E-2</v>
      </c>
    </row>
    <row r="24" spans="1:14" ht="26.25">
      <c r="A24" s="108" t="s">
        <v>148</v>
      </c>
      <c r="B24" s="27" t="s">
        <v>150</v>
      </c>
      <c r="C24" s="2" t="s">
        <v>152</v>
      </c>
      <c r="D24" s="110">
        <v>1</v>
      </c>
      <c r="E24" s="110">
        <v>28.8</v>
      </c>
      <c r="F24" s="5">
        <f t="shared" si="4"/>
        <v>28.8</v>
      </c>
      <c r="G24" s="5">
        <f t="shared" si="5"/>
        <v>2.8800000000000003</v>
      </c>
      <c r="H24" s="48">
        <v>0</v>
      </c>
      <c r="I24" s="112">
        <v>49</v>
      </c>
      <c r="J24" s="113"/>
      <c r="K24" s="2"/>
      <c r="L24" s="13">
        <f t="shared" si="6"/>
        <v>1552.32</v>
      </c>
      <c r="M24" s="13">
        <v>1552</v>
      </c>
      <c r="N24" s="100">
        <f t="shared" si="7"/>
        <v>-0.31999999999993634</v>
      </c>
    </row>
    <row r="25" spans="1:14" ht="26.25">
      <c r="A25" s="107" t="s">
        <v>119</v>
      </c>
      <c r="B25" s="30" t="s">
        <v>19</v>
      </c>
      <c r="C25" s="4" t="s">
        <v>153</v>
      </c>
      <c r="D25" s="4">
        <v>1</v>
      </c>
      <c r="E25" s="4">
        <v>29</v>
      </c>
      <c r="F25" s="2">
        <f t="shared" si="4"/>
        <v>29</v>
      </c>
      <c r="G25" s="2">
        <f t="shared" si="5"/>
        <v>2.9000000000000004</v>
      </c>
      <c r="H25" s="50">
        <v>1</v>
      </c>
      <c r="I25" s="112">
        <v>49</v>
      </c>
      <c r="J25" s="112"/>
      <c r="K25" s="2"/>
      <c r="L25" s="17">
        <f t="shared" si="6"/>
        <v>1612.1</v>
      </c>
      <c r="M25" s="17">
        <v>1620</v>
      </c>
      <c r="N25" s="45">
        <f t="shared" si="7"/>
        <v>7.9000000000000909</v>
      </c>
    </row>
    <row r="26" spans="1:14" ht="26.25">
      <c r="A26" s="125" t="s">
        <v>154</v>
      </c>
      <c r="B26" s="27" t="s">
        <v>76</v>
      </c>
      <c r="C26" s="4" t="s">
        <v>161</v>
      </c>
      <c r="D26" s="110">
        <v>1</v>
      </c>
      <c r="E26" s="110">
        <v>44.6</v>
      </c>
      <c r="F26" s="5">
        <f t="shared" ref="F26:F31" si="8">D26*E26</f>
        <v>44.6</v>
      </c>
      <c r="G26" s="5">
        <f t="shared" si="5"/>
        <v>4.46</v>
      </c>
      <c r="H26" s="48">
        <v>0</v>
      </c>
      <c r="I26" s="112">
        <v>49</v>
      </c>
      <c r="J26" s="113"/>
      <c r="K26" s="2"/>
      <c r="L26" s="13">
        <f t="shared" ref="L26:L31" si="9">(F26+G26+H26)*I26+J26*K26</f>
        <v>2403.94</v>
      </c>
      <c r="M26" s="13">
        <v>2400</v>
      </c>
      <c r="N26" s="100">
        <f t="shared" ref="N26:N31" si="10">-L26+M26</f>
        <v>-3.9400000000000546</v>
      </c>
    </row>
    <row r="27" spans="1:14" ht="26.25">
      <c r="A27" s="125" t="s">
        <v>154</v>
      </c>
      <c r="B27" s="27" t="s">
        <v>108</v>
      </c>
      <c r="C27" s="2" t="s">
        <v>162</v>
      </c>
      <c r="D27" s="110">
        <v>1</v>
      </c>
      <c r="E27" s="110">
        <v>37.6</v>
      </c>
      <c r="F27" s="5">
        <f t="shared" si="8"/>
        <v>37.6</v>
      </c>
      <c r="G27" s="5">
        <f t="shared" si="5"/>
        <v>3.7600000000000002</v>
      </c>
      <c r="H27" s="48">
        <v>0</v>
      </c>
      <c r="I27" s="112">
        <v>49</v>
      </c>
      <c r="J27" s="113"/>
      <c r="K27" s="2"/>
      <c r="L27" s="13">
        <f t="shared" si="9"/>
        <v>2026.6399999999999</v>
      </c>
      <c r="M27" s="13">
        <v>2027</v>
      </c>
      <c r="N27" s="100">
        <f t="shared" si="10"/>
        <v>0.36000000000012733</v>
      </c>
    </row>
    <row r="28" spans="1:14" ht="26.25">
      <c r="A28" s="125" t="s">
        <v>154</v>
      </c>
      <c r="B28" s="30" t="s">
        <v>155</v>
      </c>
      <c r="C28" s="4" t="s">
        <v>161</v>
      </c>
      <c r="D28" s="4">
        <v>1</v>
      </c>
      <c r="E28" s="4">
        <v>23.8</v>
      </c>
      <c r="F28" s="2">
        <f t="shared" si="8"/>
        <v>23.8</v>
      </c>
      <c r="G28" s="2">
        <f t="shared" si="5"/>
        <v>2.3800000000000003</v>
      </c>
      <c r="H28" s="50">
        <v>0</v>
      </c>
      <c r="I28" s="112">
        <v>49</v>
      </c>
      <c r="J28" s="112"/>
      <c r="K28" s="2"/>
      <c r="L28" s="17">
        <f t="shared" si="9"/>
        <v>1282.82</v>
      </c>
      <c r="M28" s="17">
        <v>1283</v>
      </c>
      <c r="N28" s="45">
        <f t="shared" si="10"/>
        <v>0.18000000000006366</v>
      </c>
    </row>
    <row r="29" spans="1:14" ht="26.25">
      <c r="A29" s="125" t="s">
        <v>154</v>
      </c>
      <c r="B29" s="27" t="s">
        <v>156</v>
      </c>
      <c r="C29" s="110" t="s">
        <v>17</v>
      </c>
      <c r="D29" s="110">
        <v>1</v>
      </c>
      <c r="E29" s="110">
        <v>10.4</v>
      </c>
      <c r="F29" s="5">
        <f t="shared" si="8"/>
        <v>10.4</v>
      </c>
      <c r="G29" s="5">
        <f t="shared" si="5"/>
        <v>1.04</v>
      </c>
      <c r="H29" s="48">
        <v>0</v>
      </c>
      <c r="I29" s="112">
        <v>49</v>
      </c>
      <c r="J29" s="113"/>
      <c r="K29" s="2"/>
      <c r="L29" s="13">
        <f t="shared" si="9"/>
        <v>560.56000000000006</v>
      </c>
      <c r="M29" s="13">
        <v>561</v>
      </c>
      <c r="N29" s="100">
        <f t="shared" si="10"/>
        <v>0.43999999999994088</v>
      </c>
    </row>
    <row r="30" spans="1:14" ht="26.25">
      <c r="A30" s="125" t="s">
        <v>154</v>
      </c>
      <c r="B30" s="27" t="s">
        <v>157</v>
      </c>
      <c r="C30" s="2" t="s">
        <v>159</v>
      </c>
      <c r="D30" s="110">
        <v>1</v>
      </c>
      <c r="E30" s="110">
        <v>25.6</v>
      </c>
      <c r="F30" s="5">
        <f t="shared" si="8"/>
        <v>25.6</v>
      </c>
      <c r="G30" s="5">
        <f t="shared" si="5"/>
        <v>2.5600000000000005</v>
      </c>
      <c r="H30" s="48">
        <v>0</v>
      </c>
      <c r="I30" s="112">
        <v>49</v>
      </c>
      <c r="J30" s="113"/>
      <c r="K30" s="2"/>
      <c r="L30" s="13">
        <f t="shared" si="9"/>
        <v>1379.8400000000001</v>
      </c>
      <c r="M30" s="100">
        <v>1380</v>
      </c>
      <c r="N30" s="100">
        <f t="shared" si="10"/>
        <v>0.15999999999985448</v>
      </c>
    </row>
    <row r="31" spans="1:14" ht="26.25">
      <c r="A31" s="125" t="s">
        <v>154</v>
      </c>
      <c r="B31" s="30" t="s">
        <v>158</v>
      </c>
      <c r="C31" s="4" t="s">
        <v>161</v>
      </c>
      <c r="D31" s="4">
        <v>1</v>
      </c>
      <c r="E31" s="4">
        <v>66.8</v>
      </c>
      <c r="F31" s="2">
        <f t="shared" si="8"/>
        <v>66.8</v>
      </c>
      <c r="G31" s="2">
        <f t="shared" si="5"/>
        <v>6.68</v>
      </c>
      <c r="H31" s="50">
        <v>0</v>
      </c>
      <c r="I31" s="112">
        <v>49</v>
      </c>
      <c r="J31" s="112"/>
      <c r="K31" s="2"/>
      <c r="L31" s="17">
        <f t="shared" si="9"/>
        <v>3600.5199999999995</v>
      </c>
      <c r="M31" s="17">
        <v>3601</v>
      </c>
      <c r="N31" s="45">
        <f t="shared" si="10"/>
        <v>0.48000000000047294</v>
      </c>
    </row>
    <row r="32" spans="1:14" ht="26.25">
      <c r="A32" s="125" t="s">
        <v>154</v>
      </c>
      <c r="B32" s="27" t="s">
        <v>112</v>
      </c>
      <c r="C32" s="110" t="s">
        <v>160</v>
      </c>
      <c r="D32" s="110">
        <v>1</v>
      </c>
      <c r="E32" s="110">
        <v>20.8</v>
      </c>
      <c r="F32" s="5">
        <f>D32*E32</f>
        <v>20.8</v>
      </c>
      <c r="G32" s="5">
        <f t="shared" si="5"/>
        <v>2.08</v>
      </c>
      <c r="H32" s="48">
        <v>0</v>
      </c>
      <c r="I32" s="112">
        <v>49</v>
      </c>
      <c r="J32" s="113"/>
      <c r="K32" s="2"/>
      <c r="L32" s="13">
        <f>(F32+G32+H32)*I32+J32*K32</f>
        <v>1121.1200000000001</v>
      </c>
      <c r="M32" s="13">
        <v>1121</v>
      </c>
      <c r="N32" s="100">
        <f>-L32+M32</f>
        <v>-0.12000000000011823</v>
      </c>
    </row>
    <row r="33" spans="1:14" ht="26.25">
      <c r="A33" s="111" t="s">
        <v>23</v>
      </c>
      <c r="B33" s="27" t="s">
        <v>19</v>
      </c>
      <c r="C33" s="2" t="s">
        <v>47</v>
      </c>
      <c r="D33" s="110">
        <v>1</v>
      </c>
      <c r="E33" s="110">
        <f>12*0.6</f>
        <v>7.1999999999999993</v>
      </c>
      <c r="F33" s="5">
        <f>D33*E33</f>
        <v>7.1999999999999993</v>
      </c>
      <c r="G33" s="5">
        <f t="shared" si="5"/>
        <v>0.72</v>
      </c>
      <c r="H33" s="48">
        <v>0</v>
      </c>
      <c r="I33" s="112">
        <v>49</v>
      </c>
      <c r="J33" s="113"/>
      <c r="K33" s="2"/>
      <c r="L33" s="13">
        <f>(F33+G33+H33)*I33+J33*K33</f>
        <v>388.07999999999993</v>
      </c>
      <c r="M33" s="13">
        <v>388</v>
      </c>
      <c r="N33" s="100">
        <f>-L33+M33</f>
        <v>-7.999999999992724E-2</v>
      </c>
    </row>
    <row r="34" spans="1:14" ht="26.25">
      <c r="A34" s="111" t="s">
        <v>23</v>
      </c>
      <c r="B34" s="30" t="s">
        <v>163</v>
      </c>
      <c r="C34" s="2" t="s">
        <v>47</v>
      </c>
      <c r="D34" s="4">
        <v>1</v>
      </c>
      <c r="E34" s="4">
        <f>10*0.6</f>
        <v>6</v>
      </c>
      <c r="F34" s="2">
        <f>D34*E34</f>
        <v>6</v>
      </c>
      <c r="G34" s="2">
        <f t="shared" si="5"/>
        <v>0.60000000000000009</v>
      </c>
      <c r="H34" s="50">
        <v>0</v>
      </c>
      <c r="I34" s="112">
        <v>49</v>
      </c>
      <c r="J34" s="112"/>
      <c r="K34" s="2"/>
      <c r="L34" s="17">
        <f>(F34+G34+H34)*I34+J34*K34</f>
        <v>323.39999999999998</v>
      </c>
      <c r="M34" s="17">
        <v>323</v>
      </c>
      <c r="N34" s="45">
        <f>-L34+M34</f>
        <v>-0.39999999999997726</v>
      </c>
    </row>
    <row r="35" spans="1:14" ht="26.25">
      <c r="A35" s="111" t="s">
        <v>23</v>
      </c>
      <c r="B35" s="27" t="s">
        <v>164</v>
      </c>
      <c r="C35" s="2" t="s">
        <v>47</v>
      </c>
      <c r="D35" s="110">
        <v>1</v>
      </c>
      <c r="E35" s="4">
        <f>13.5*0.6</f>
        <v>8.1</v>
      </c>
      <c r="F35" s="5">
        <f t="shared" ref="F35:F59" si="11">D35*E35</f>
        <v>8.1</v>
      </c>
      <c r="G35" s="5">
        <f t="shared" ref="G35:G59" si="12">F35*0.1</f>
        <v>0.81</v>
      </c>
      <c r="H35" s="48">
        <v>0</v>
      </c>
      <c r="I35" s="112">
        <v>49</v>
      </c>
      <c r="J35" s="113"/>
      <c r="K35" s="2"/>
      <c r="L35" s="13">
        <f t="shared" ref="L35:L59" si="13">(F35+G35+H35)*I35+J35*K35</f>
        <v>436.59000000000003</v>
      </c>
      <c r="M35" s="13">
        <v>437</v>
      </c>
      <c r="N35" s="100">
        <f t="shared" ref="N35:N59" si="14">-L35+M35</f>
        <v>0.40999999999996817</v>
      </c>
    </row>
    <row r="36" spans="1:14" ht="26.25">
      <c r="A36" s="111" t="s">
        <v>23</v>
      </c>
      <c r="B36" s="30" t="s">
        <v>165</v>
      </c>
      <c r="C36" s="2" t="s">
        <v>47</v>
      </c>
      <c r="D36" s="4">
        <v>1</v>
      </c>
      <c r="E36" s="4">
        <f>12*0.6</f>
        <v>7.1999999999999993</v>
      </c>
      <c r="F36" s="2">
        <f t="shared" si="11"/>
        <v>7.1999999999999993</v>
      </c>
      <c r="G36" s="2">
        <f t="shared" si="12"/>
        <v>0.72</v>
      </c>
      <c r="H36" s="50">
        <v>0</v>
      </c>
      <c r="I36" s="112">
        <v>49</v>
      </c>
      <c r="J36" s="112"/>
      <c r="K36" s="2"/>
      <c r="L36" s="17">
        <f t="shared" si="13"/>
        <v>388.07999999999993</v>
      </c>
      <c r="M36" s="17">
        <v>388</v>
      </c>
      <c r="N36" s="45">
        <f t="shared" si="14"/>
        <v>-7.999999999992724E-2</v>
      </c>
    </row>
    <row r="37" spans="1:14" ht="26.25">
      <c r="A37" s="111" t="s">
        <v>23</v>
      </c>
      <c r="B37" s="27" t="s">
        <v>157</v>
      </c>
      <c r="C37" s="2" t="s">
        <v>47</v>
      </c>
      <c r="D37" s="110">
        <v>1</v>
      </c>
      <c r="E37" s="4">
        <f>15*0.6</f>
        <v>9</v>
      </c>
      <c r="F37" s="5">
        <f t="shared" si="11"/>
        <v>9</v>
      </c>
      <c r="G37" s="5">
        <f t="shared" si="12"/>
        <v>0.9</v>
      </c>
      <c r="H37" s="48">
        <v>0</v>
      </c>
      <c r="I37" s="112">
        <v>49</v>
      </c>
      <c r="J37" s="113"/>
      <c r="K37" s="2"/>
      <c r="L37" s="13">
        <f t="shared" si="13"/>
        <v>485.1</v>
      </c>
      <c r="M37" s="129"/>
      <c r="N37" s="100">
        <f t="shared" si="14"/>
        <v>-485.1</v>
      </c>
    </row>
    <row r="38" spans="1:14" ht="26.25">
      <c r="A38" s="111" t="s">
        <v>23</v>
      </c>
      <c r="B38" s="27" t="s">
        <v>166</v>
      </c>
      <c r="C38" s="2" t="s">
        <v>47</v>
      </c>
      <c r="D38" s="4">
        <v>1</v>
      </c>
      <c r="E38" s="4">
        <f>6*0.6</f>
        <v>3.5999999999999996</v>
      </c>
      <c r="F38" s="2">
        <f t="shared" si="11"/>
        <v>3.5999999999999996</v>
      </c>
      <c r="G38" s="2">
        <f t="shared" si="12"/>
        <v>0.36</v>
      </c>
      <c r="H38" s="50">
        <v>0</v>
      </c>
      <c r="I38" s="112">
        <v>49</v>
      </c>
      <c r="J38" s="112"/>
      <c r="K38" s="2"/>
      <c r="L38" s="17">
        <f t="shared" si="13"/>
        <v>194.03999999999996</v>
      </c>
      <c r="M38" s="17">
        <v>194</v>
      </c>
      <c r="N38" s="45">
        <f t="shared" si="14"/>
        <v>-3.999999999996362E-2</v>
      </c>
    </row>
    <row r="39" spans="1:14" ht="26.25">
      <c r="A39" s="111" t="s">
        <v>23</v>
      </c>
      <c r="B39" s="27" t="s">
        <v>133</v>
      </c>
      <c r="C39" s="2" t="s">
        <v>47</v>
      </c>
      <c r="D39" s="110">
        <v>1</v>
      </c>
      <c r="E39" s="4">
        <f>19*0.6</f>
        <v>11.4</v>
      </c>
      <c r="F39" s="5">
        <f t="shared" si="11"/>
        <v>11.4</v>
      </c>
      <c r="G39" s="5">
        <f t="shared" si="12"/>
        <v>1.1400000000000001</v>
      </c>
      <c r="H39" s="48">
        <v>0</v>
      </c>
      <c r="I39" s="112">
        <v>49</v>
      </c>
      <c r="J39" s="113"/>
      <c r="K39" s="2"/>
      <c r="L39" s="13">
        <f t="shared" si="13"/>
        <v>614.46</v>
      </c>
      <c r="M39" s="128">
        <v>800</v>
      </c>
      <c r="N39" s="100">
        <f t="shared" si="14"/>
        <v>185.53999999999996</v>
      </c>
    </row>
    <row r="40" spans="1:14" ht="26.25">
      <c r="A40" s="107" t="s">
        <v>167</v>
      </c>
      <c r="B40" s="30" t="s">
        <v>171</v>
      </c>
      <c r="C40" s="4" t="s">
        <v>173</v>
      </c>
      <c r="D40" s="4">
        <v>1</v>
      </c>
      <c r="E40" s="4">
        <v>59</v>
      </c>
      <c r="F40" s="2">
        <f t="shared" ref="F40:F42" si="15">D40*E40</f>
        <v>59</v>
      </c>
      <c r="G40" s="2">
        <f t="shared" ref="G40:G42" si="16">F40*0.1</f>
        <v>5.9</v>
      </c>
      <c r="H40" s="50">
        <v>0</v>
      </c>
      <c r="I40" s="112">
        <v>51</v>
      </c>
      <c r="J40" s="112"/>
      <c r="K40" s="2"/>
      <c r="L40" s="17">
        <f t="shared" ref="L40:L42" si="17">(F40+G40+H40)*I40+J40*K40</f>
        <v>3309.9</v>
      </c>
      <c r="M40" s="17">
        <v>3310</v>
      </c>
      <c r="N40" s="45">
        <f t="shared" ref="N40:N42" si="18">-L40+M40</f>
        <v>9.9999999999909051E-2</v>
      </c>
    </row>
    <row r="41" spans="1:14" ht="26.25">
      <c r="A41" s="107" t="s">
        <v>167</v>
      </c>
      <c r="B41" s="27" t="s">
        <v>172</v>
      </c>
      <c r="C41" s="2" t="s">
        <v>174</v>
      </c>
      <c r="D41" s="110">
        <v>1</v>
      </c>
      <c r="E41" s="110">
        <v>16</v>
      </c>
      <c r="F41" s="5">
        <f t="shared" si="15"/>
        <v>16</v>
      </c>
      <c r="G41" s="5">
        <f t="shared" si="16"/>
        <v>1.6</v>
      </c>
      <c r="H41" s="48">
        <v>0</v>
      </c>
      <c r="I41" s="112">
        <v>51</v>
      </c>
      <c r="J41" s="113"/>
      <c r="K41" s="2"/>
      <c r="L41" s="13">
        <f t="shared" si="17"/>
        <v>897.6</v>
      </c>
      <c r="M41" s="13">
        <v>900</v>
      </c>
      <c r="N41" s="100">
        <f t="shared" si="18"/>
        <v>2.3999999999999773</v>
      </c>
    </row>
    <row r="42" spans="1:14" ht="26.25">
      <c r="A42" s="125" t="s">
        <v>168</v>
      </c>
      <c r="B42" s="30" t="s">
        <v>169</v>
      </c>
      <c r="C42" s="4" t="s">
        <v>170</v>
      </c>
      <c r="D42" s="4">
        <v>1</v>
      </c>
      <c r="E42" s="4">
        <v>76</v>
      </c>
      <c r="F42" s="2">
        <f t="shared" si="15"/>
        <v>76</v>
      </c>
      <c r="G42" s="2">
        <f t="shared" si="16"/>
        <v>7.6000000000000005</v>
      </c>
      <c r="H42" s="50">
        <v>0</v>
      </c>
      <c r="I42" s="112">
        <v>51</v>
      </c>
      <c r="J42" s="112"/>
      <c r="K42" s="2"/>
      <c r="L42" s="17">
        <f t="shared" si="17"/>
        <v>4263.5999999999995</v>
      </c>
      <c r="M42" s="17">
        <v>4290</v>
      </c>
      <c r="N42" s="45">
        <f t="shared" si="18"/>
        <v>26.400000000000546</v>
      </c>
    </row>
    <row r="43" spans="1:14" ht="26.25">
      <c r="A43" s="108" t="s">
        <v>127</v>
      </c>
      <c r="B43" s="30" t="s">
        <v>175</v>
      </c>
      <c r="C43" s="4" t="s">
        <v>176</v>
      </c>
      <c r="D43" s="4">
        <v>1</v>
      </c>
      <c r="E43" s="4">
        <v>5.99</v>
      </c>
      <c r="F43" s="2">
        <f t="shared" si="11"/>
        <v>5.99</v>
      </c>
      <c r="G43" s="2">
        <f t="shared" si="12"/>
        <v>0.59900000000000009</v>
      </c>
      <c r="H43" s="50">
        <v>3</v>
      </c>
      <c r="I43" s="112">
        <v>51</v>
      </c>
      <c r="J43" s="112"/>
      <c r="K43" s="2"/>
      <c r="L43" s="17">
        <f t="shared" si="13"/>
        <v>489.03900000000004</v>
      </c>
      <c r="M43" s="17">
        <v>490</v>
      </c>
      <c r="N43" s="45">
        <f t="shared" si="14"/>
        <v>0.96099999999995589</v>
      </c>
    </row>
    <row r="44" spans="1:14" ht="26.25">
      <c r="A44" s="125" t="s">
        <v>168</v>
      </c>
      <c r="B44" s="27" t="s">
        <v>177</v>
      </c>
      <c r="C44" s="2" t="s">
        <v>170</v>
      </c>
      <c r="D44" s="110">
        <v>1</v>
      </c>
      <c r="E44" s="110">
        <v>84.8</v>
      </c>
      <c r="F44" s="5">
        <f t="shared" si="11"/>
        <v>84.8</v>
      </c>
      <c r="G44" s="5">
        <f t="shared" si="12"/>
        <v>8.48</v>
      </c>
      <c r="H44" s="48">
        <v>0</v>
      </c>
      <c r="I44" s="112">
        <v>52</v>
      </c>
      <c r="J44" s="113"/>
      <c r="K44" s="2"/>
      <c r="L44" s="13">
        <f t="shared" si="13"/>
        <v>4850.5600000000004</v>
      </c>
      <c r="M44" s="13">
        <v>4850</v>
      </c>
      <c r="N44" s="100">
        <f t="shared" si="14"/>
        <v>-0.56000000000040018</v>
      </c>
    </row>
    <row r="45" spans="1:14" ht="26.25">
      <c r="A45" s="126" t="s">
        <v>96</v>
      </c>
      <c r="B45" s="30" t="s">
        <v>171</v>
      </c>
      <c r="C45" s="4" t="s">
        <v>47</v>
      </c>
      <c r="D45" s="4">
        <v>1</v>
      </c>
      <c r="E45" s="4">
        <f>26.16*0.85</f>
        <v>22.236000000000001</v>
      </c>
      <c r="F45" s="2">
        <f t="shared" si="11"/>
        <v>22.236000000000001</v>
      </c>
      <c r="G45" s="2">
        <f t="shared" si="12"/>
        <v>2.2236000000000002</v>
      </c>
      <c r="H45" s="50">
        <v>0</v>
      </c>
      <c r="I45" s="112">
        <v>53</v>
      </c>
      <c r="J45" s="112"/>
      <c r="K45" s="2"/>
      <c r="L45" s="17">
        <f t="shared" si="13"/>
        <v>1296.3588000000002</v>
      </c>
      <c r="M45" s="17"/>
      <c r="N45" s="45">
        <f t="shared" si="14"/>
        <v>-1296.3588000000002</v>
      </c>
    </row>
    <row r="46" spans="1:14" ht="26.25">
      <c r="A46" s="126" t="s">
        <v>96</v>
      </c>
      <c r="B46" s="30" t="s">
        <v>178</v>
      </c>
      <c r="C46" s="4" t="s">
        <v>47</v>
      </c>
      <c r="D46" s="4">
        <v>1</v>
      </c>
      <c r="E46" s="4">
        <f>4.39*0.85</f>
        <v>3.7314999999999996</v>
      </c>
      <c r="F46" s="2">
        <f t="shared" si="11"/>
        <v>3.7314999999999996</v>
      </c>
      <c r="G46" s="2">
        <f t="shared" si="12"/>
        <v>0.37314999999999998</v>
      </c>
      <c r="H46" s="50">
        <v>0</v>
      </c>
      <c r="I46" s="112">
        <v>53</v>
      </c>
      <c r="J46" s="112"/>
      <c r="K46" s="2"/>
      <c r="L46" s="17">
        <f t="shared" si="13"/>
        <v>217.54644999999996</v>
      </c>
      <c r="M46" s="17"/>
      <c r="N46" s="45">
        <f t="shared" si="14"/>
        <v>-217.54644999999996</v>
      </c>
    </row>
    <row r="47" spans="1:14" ht="26.25">
      <c r="A47" s="126" t="s">
        <v>96</v>
      </c>
      <c r="B47" s="30" t="s">
        <v>108</v>
      </c>
      <c r="C47" s="4" t="s">
        <v>47</v>
      </c>
      <c r="D47" s="4">
        <v>1</v>
      </c>
      <c r="E47" s="4">
        <f>4.78*0.85</f>
        <v>4.0629999999999997</v>
      </c>
      <c r="F47" s="2">
        <f t="shared" ref="F47:F50" si="19">D47*E47</f>
        <v>4.0629999999999997</v>
      </c>
      <c r="G47" s="2">
        <f t="shared" ref="G47:G50" si="20">F47*0.1</f>
        <v>0.40629999999999999</v>
      </c>
      <c r="H47" s="50">
        <v>0</v>
      </c>
      <c r="I47" s="112">
        <v>53</v>
      </c>
      <c r="J47" s="112"/>
      <c r="K47" s="2"/>
      <c r="L47" s="17">
        <f t="shared" ref="L47:L50" si="21">(F47+G47+H47)*I47+J47*K47</f>
        <v>236.87289999999999</v>
      </c>
      <c r="M47" s="17"/>
      <c r="N47" s="45">
        <f t="shared" ref="N47:N50" si="22">-L47+M47</f>
        <v>-236.87289999999999</v>
      </c>
    </row>
    <row r="48" spans="1:14" ht="26.25">
      <c r="A48" s="126" t="s">
        <v>96</v>
      </c>
      <c r="B48" s="30" t="s">
        <v>133</v>
      </c>
      <c r="C48" s="4" t="s">
        <v>47</v>
      </c>
      <c r="D48" s="4">
        <v>1</v>
      </c>
      <c r="E48" s="4">
        <f>22.46*0.85</f>
        <v>19.091000000000001</v>
      </c>
      <c r="F48" s="2">
        <f t="shared" si="19"/>
        <v>19.091000000000001</v>
      </c>
      <c r="G48" s="2">
        <f t="shared" si="20"/>
        <v>1.9091000000000002</v>
      </c>
      <c r="H48" s="50">
        <v>0</v>
      </c>
      <c r="I48" s="112">
        <v>53</v>
      </c>
      <c r="J48" s="112"/>
      <c r="K48" s="2"/>
      <c r="L48" s="17">
        <f t="shared" si="21"/>
        <v>1113.0053</v>
      </c>
      <c r="M48" s="17"/>
      <c r="N48" s="45">
        <f t="shared" si="22"/>
        <v>-1113.0053</v>
      </c>
    </row>
    <row r="49" spans="1:14" ht="26.25">
      <c r="A49" s="126" t="s">
        <v>96</v>
      </c>
      <c r="B49" s="30" t="s">
        <v>157</v>
      </c>
      <c r="C49" s="4" t="s">
        <v>47</v>
      </c>
      <c r="D49" s="4">
        <v>1</v>
      </c>
      <c r="E49" s="4">
        <f>1.49*0.85</f>
        <v>1.2665</v>
      </c>
      <c r="F49" s="2">
        <f t="shared" si="19"/>
        <v>1.2665</v>
      </c>
      <c r="G49" s="2">
        <f t="shared" si="20"/>
        <v>0.12665000000000001</v>
      </c>
      <c r="H49" s="50">
        <v>0</v>
      </c>
      <c r="I49" s="112">
        <v>53</v>
      </c>
      <c r="J49" s="112"/>
      <c r="K49" s="2"/>
      <c r="L49" s="17">
        <f t="shared" si="21"/>
        <v>73.836949999999987</v>
      </c>
      <c r="M49" s="17"/>
      <c r="N49" s="45">
        <f t="shared" si="22"/>
        <v>-73.836949999999987</v>
      </c>
    </row>
    <row r="50" spans="1:14" ht="26.25">
      <c r="A50" s="107" t="s">
        <v>179</v>
      </c>
      <c r="B50" s="30" t="s">
        <v>180</v>
      </c>
      <c r="C50" s="4" t="s">
        <v>181</v>
      </c>
      <c r="D50" s="4">
        <v>1</v>
      </c>
      <c r="E50" s="4">
        <v>127</v>
      </c>
      <c r="F50" s="2">
        <f t="shared" si="19"/>
        <v>127</v>
      </c>
      <c r="G50" s="2">
        <f t="shared" si="20"/>
        <v>12.700000000000001</v>
      </c>
      <c r="H50" s="50">
        <v>0</v>
      </c>
      <c r="I50" s="112">
        <v>52</v>
      </c>
      <c r="J50" s="112"/>
      <c r="K50" s="2"/>
      <c r="L50" s="17">
        <f t="shared" si="21"/>
        <v>7264.4</v>
      </c>
      <c r="M50" s="17">
        <v>7265</v>
      </c>
      <c r="N50" s="45">
        <f t="shared" si="22"/>
        <v>0.6000000000003638</v>
      </c>
    </row>
    <row r="51" spans="1:14" ht="26.25">
      <c r="A51" s="125" t="s">
        <v>119</v>
      </c>
      <c r="B51" s="30" t="s">
        <v>182</v>
      </c>
      <c r="C51" s="4" t="s">
        <v>183</v>
      </c>
      <c r="D51" s="4">
        <v>1</v>
      </c>
      <c r="E51" s="4">
        <v>42</v>
      </c>
      <c r="F51" s="2">
        <f t="shared" ref="F51:F52" si="23">D51*E51</f>
        <v>42</v>
      </c>
      <c r="G51" s="2">
        <f t="shared" ref="G51:G52" si="24">F51*0.1</f>
        <v>4.2</v>
      </c>
      <c r="H51" s="50">
        <v>0</v>
      </c>
      <c r="I51" s="112">
        <v>53</v>
      </c>
      <c r="J51" s="112"/>
      <c r="K51" s="2"/>
      <c r="L51" s="17">
        <f t="shared" ref="L51:L52" si="25">(F51+G51+H51)*I51+J51*K51</f>
        <v>2448.6000000000004</v>
      </c>
      <c r="M51" s="17"/>
      <c r="N51" s="45">
        <f t="shared" ref="N51:N52" si="26">-L51+M51</f>
        <v>-2448.6000000000004</v>
      </c>
    </row>
    <row r="52" spans="1:14" ht="26.25">
      <c r="A52" s="130" t="s">
        <v>52</v>
      </c>
      <c r="B52" s="30" t="s">
        <v>184</v>
      </c>
      <c r="C52" s="4" t="s">
        <v>38</v>
      </c>
      <c r="D52" s="4">
        <v>1</v>
      </c>
      <c r="E52" s="4">
        <v>15.99</v>
      </c>
      <c r="F52" s="2">
        <f t="shared" si="23"/>
        <v>15.99</v>
      </c>
      <c r="G52" s="2">
        <f t="shared" si="24"/>
        <v>1.5990000000000002</v>
      </c>
      <c r="H52" s="50">
        <v>0</v>
      </c>
      <c r="I52" s="112">
        <v>53</v>
      </c>
      <c r="J52" s="112"/>
      <c r="K52" s="2"/>
      <c r="L52" s="17">
        <f t="shared" si="25"/>
        <v>932.21699999999987</v>
      </c>
      <c r="M52" s="17"/>
      <c r="N52" s="45">
        <f t="shared" si="26"/>
        <v>-932.21699999999987</v>
      </c>
    </row>
    <row r="53" spans="1:14" ht="26.25">
      <c r="A53" s="130" t="s">
        <v>52</v>
      </c>
      <c r="B53" s="30" t="s">
        <v>185</v>
      </c>
      <c r="C53" s="4" t="s">
        <v>186</v>
      </c>
      <c r="D53" s="4">
        <v>2</v>
      </c>
      <c r="E53" s="4">
        <v>14</v>
      </c>
      <c r="F53" s="2">
        <f t="shared" ref="F53:F54" si="27">D53*E53</f>
        <v>28</v>
      </c>
      <c r="G53" s="2">
        <f t="shared" ref="G53:G54" si="28">F53*0.1</f>
        <v>2.8000000000000003</v>
      </c>
      <c r="H53" s="50">
        <v>0</v>
      </c>
      <c r="I53" s="112">
        <v>53</v>
      </c>
      <c r="J53" s="112"/>
      <c r="K53" s="2"/>
      <c r="L53" s="17">
        <f t="shared" ref="L53:L54" si="29">(F53+G53+H53)*I53+J53*K53</f>
        <v>1632.4</v>
      </c>
      <c r="M53" s="17"/>
      <c r="N53" s="45">
        <f t="shared" ref="N53:N54" si="30">-L53+M53</f>
        <v>-1632.4</v>
      </c>
    </row>
    <row r="54" spans="1:14" ht="26.25">
      <c r="A54" s="131" t="s">
        <v>187</v>
      </c>
      <c r="B54" s="30" t="s">
        <v>188</v>
      </c>
      <c r="C54" s="4" t="s">
        <v>17</v>
      </c>
      <c r="D54" s="4">
        <v>2</v>
      </c>
      <c r="E54" s="4">
        <f>4.5*0.95</f>
        <v>4.2749999999999995</v>
      </c>
      <c r="F54" s="2">
        <f t="shared" si="27"/>
        <v>8.5499999999999989</v>
      </c>
      <c r="G54" s="2">
        <f t="shared" si="28"/>
        <v>0.85499999999999998</v>
      </c>
      <c r="H54" s="50">
        <v>0</v>
      </c>
      <c r="I54" s="112">
        <v>53</v>
      </c>
      <c r="J54" s="112"/>
      <c r="K54" s="2"/>
      <c r="L54" s="17">
        <f t="shared" si="29"/>
        <v>498.46499999999997</v>
      </c>
      <c r="M54" s="17"/>
      <c r="N54" s="45">
        <f t="shared" si="30"/>
        <v>-498.46499999999997</v>
      </c>
    </row>
    <row r="55" spans="1:14" ht="26.25">
      <c r="A55" s="131" t="s">
        <v>187</v>
      </c>
      <c r="B55" s="30" t="s">
        <v>63</v>
      </c>
      <c r="C55" s="4" t="s">
        <v>17</v>
      </c>
      <c r="D55" s="4">
        <v>8</v>
      </c>
      <c r="E55" s="4">
        <f t="shared" ref="E55:E56" si="31">4.5*0.95</f>
        <v>4.2749999999999995</v>
      </c>
      <c r="F55" s="2">
        <f t="shared" ref="F55:F58" si="32">D55*E55</f>
        <v>34.199999999999996</v>
      </c>
      <c r="G55" s="2">
        <f t="shared" ref="G55:G58" si="33">F55*0.1</f>
        <v>3.42</v>
      </c>
      <c r="H55" s="50">
        <v>0</v>
      </c>
      <c r="I55" s="112">
        <v>53</v>
      </c>
      <c r="J55" s="112"/>
      <c r="K55" s="2"/>
      <c r="L55" s="17">
        <f t="shared" ref="L55:L58" si="34">(F55+G55+H55)*I55+J55*K55</f>
        <v>1993.86</v>
      </c>
      <c r="M55" s="17"/>
      <c r="N55" s="45">
        <f t="shared" ref="N55:N58" si="35">-L55+M55</f>
        <v>-1993.86</v>
      </c>
    </row>
    <row r="56" spans="1:14" ht="26.25">
      <c r="A56" s="131" t="s">
        <v>187</v>
      </c>
      <c r="B56" s="30" t="s">
        <v>189</v>
      </c>
      <c r="C56" s="4" t="s">
        <v>17</v>
      </c>
      <c r="D56" s="4">
        <v>4</v>
      </c>
      <c r="E56" s="4">
        <f t="shared" si="31"/>
        <v>4.2749999999999995</v>
      </c>
      <c r="F56" s="2">
        <f t="shared" si="32"/>
        <v>17.099999999999998</v>
      </c>
      <c r="G56" s="2">
        <f t="shared" si="33"/>
        <v>1.71</v>
      </c>
      <c r="H56" s="50">
        <v>0</v>
      </c>
      <c r="I56" s="112">
        <v>53</v>
      </c>
      <c r="J56" s="112"/>
      <c r="K56" s="2"/>
      <c r="L56" s="17">
        <f t="shared" si="34"/>
        <v>996.93</v>
      </c>
      <c r="M56" s="17"/>
      <c r="N56" s="45">
        <f t="shared" si="35"/>
        <v>-996.93</v>
      </c>
    </row>
    <row r="57" spans="1:14" ht="26.25">
      <c r="A57" s="107"/>
      <c r="B57" s="30"/>
      <c r="C57" s="4"/>
      <c r="D57" s="4">
        <v>1</v>
      </c>
      <c r="E57" s="4"/>
      <c r="F57" s="2">
        <f t="shared" si="32"/>
        <v>0</v>
      </c>
      <c r="G57" s="2">
        <f t="shared" si="33"/>
        <v>0</v>
      </c>
      <c r="H57" s="50">
        <v>0</v>
      </c>
      <c r="I57" s="50"/>
      <c r="J57" s="112"/>
      <c r="K57" s="2"/>
      <c r="L57" s="17">
        <f t="shared" si="34"/>
        <v>0</v>
      </c>
      <c r="M57" s="17"/>
      <c r="N57" s="45">
        <f t="shared" si="35"/>
        <v>0</v>
      </c>
    </row>
    <row r="58" spans="1:14" ht="26.25">
      <c r="A58" s="107"/>
      <c r="B58" s="30"/>
      <c r="C58" s="4"/>
      <c r="D58" s="4">
        <v>1</v>
      </c>
      <c r="E58" s="4"/>
      <c r="F58" s="2">
        <f t="shared" si="32"/>
        <v>0</v>
      </c>
      <c r="G58" s="2">
        <f t="shared" si="33"/>
        <v>0</v>
      </c>
      <c r="H58" s="50">
        <v>0</v>
      </c>
      <c r="I58" s="50"/>
      <c r="J58" s="112"/>
      <c r="K58" s="2"/>
      <c r="L58" s="17">
        <f t="shared" si="34"/>
        <v>0</v>
      </c>
      <c r="M58" s="17"/>
      <c r="N58" s="45">
        <f t="shared" si="35"/>
        <v>0</v>
      </c>
    </row>
    <row r="59" spans="1:14" ht="26.25">
      <c r="A59" s="107"/>
      <c r="B59" s="30"/>
      <c r="C59" s="4"/>
      <c r="D59" s="4">
        <v>1</v>
      </c>
      <c r="E59" s="4"/>
      <c r="F59" s="2">
        <f t="shared" si="11"/>
        <v>0</v>
      </c>
      <c r="G59" s="2">
        <f t="shared" si="12"/>
        <v>0</v>
      </c>
      <c r="H59" s="50">
        <v>0</v>
      </c>
      <c r="I59" s="50"/>
      <c r="J59" s="112"/>
      <c r="K59" s="2"/>
      <c r="L59" s="17">
        <f t="shared" si="13"/>
        <v>0</v>
      </c>
      <c r="M59" s="17"/>
      <c r="N59" s="45">
        <f t="shared" si="14"/>
        <v>0</v>
      </c>
    </row>
    <row r="62" spans="1:14" ht="21">
      <c r="A62" s="104" t="s">
        <v>82</v>
      </c>
    </row>
    <row r="63" spans="1:14" ht="21">
      <c r="A63" s="104" t="s">
        <v>99</v>
      </c>
    </row>
  </sheetData>
  <hyperlinks>
    <hyperlink ref="B38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2014-12-10T03:35:50Z</dcterms:modified>
</cp:coreProperties>
</file>