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 tabRatio="910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</sheets>
  <calcPr calcId="162913"/>
</workbook>
</file>

<file path=xl/calcChain.xml><?xml version="1.0" encoding="utf-8"?>
<calcChain xmlns="http://schemas.openxmlformats.org/spreadsheetml/2006/main">
  <c r="B156" i="6" l="1"/>
  <c r="B153" i="6"/>
  <c r="B152" i="6"/>
  <c r="B150" i="6"/>
  <c r="B147" i="6"/>
  <c r="B140" i="6"/>
  <c r="B123" i="6"/>
  <c r="B122" i="6"/>
  <c r="B110" i="6"/>
  <c r="B103" i="6"/>
  <c r="B96" i="6"/>
  <c r="B75" i="6"/>
  <c r="B65" i="6"/>
  <c r="B57" i="6"/>
  <c r="B52" i="6"/>
  <c r="B40" i="6"/>
  <c r="B32" i="6"/>
  <c r="B27" i="6"/>
  <c r="B26" i="6"/>
  <c r="B21" i="6"/>
  <c r="B20" i="6"/>
  <c r="B13" i="6"/>
  <c r="B6" i="6"/>
  <c r="B3" i="6"/>
  <c r="B11" i="6"/>
  <c r="B49" i="6"/>
  <c r="B61" i="6"/>
  <c r="B71" i="6"/>
  <c r="B87" i="6"/>
  <c r="B99" i="6"/>
  <c r="B108" i="6"/>
  <c r="B121" i="6"/>
  <c r="B127" i="6"/>
  <c r="B146" i="6"/>
  <c r="B148" i="6"/>
  <c r="B149" i="6"/>
  <c r="K26" i="21"/>
  <c r="K17" i="21"/>
  <c r="K11" i="21"/>
  <c r="K21" i="21"/>
  <c r="K24" i="21"/>
  <c r="K29" i="21"/>
  <c r="K34" i="21"/>
  <c r="K36" i="21"/>
  <c r="K39" i="21"/>
  <c r="K42" i="21"/>
  <c r="K50" i="21"/>
  <c r="K55" i="21"/>
  <c r="K58" i="21"/>
  <c r="K60" i="21"/>
  <c r="K70" i="21"/>
  <c r="K68" i="21"/>
  <c r="K64" i="21"/>
  <c r="K69" i="21"/>
  <c r="K67" i="21"/>
  <c r="K62" i="21"/>
  <c r="K59" i="21"/>
  <c r="K57" i="21"/>
  <c r="K52" i="21"/>
  <c r="K44" i="21"/>
  <c r="K40" i="21"/>
  <c r="K37" i="21"/>
  <c r="K35" i="21"/>
  <c r="K31" i="21"/>
  <c r="K27" i="21"/>
  <c r="K25" i="21"/>
  <c r="K22" i="21"/>
  <c r="K18" i="21"/>
  <c r="K14" i="21"/>
  <c r="K4" i="21"/>
  <c r="K4" i="20"/>
  <c r="I70" i="21"/>
  <c r="I64" i="21"/>
  <c r="I62" i="21"/>
  <c r="I60" i="21"/>
  <c r="I55" i="21"/>
  <c r="I52" i="21"/>
  <c r="I50" i="21"/>
  <c r="I44" i="21"/>
  <c r="I42" i="21"/>
  <c r="I40" i="21"/>
  <c r="I37" i="21"/>
  <c r="I35" i="21"/>
  <c r="I57" i="21"/>
  <c r="I59" i="21"/>
  <c r="I69" i="21"/>
  <c r="I67" i="21"/>
  <c r="I68" i="21"/>
  <c r="I58" i="21"/>
  <c r="I39" i="21"/>
  <c r="I36" i="21"/>
  <c r="I34" i="21"/>
  <c r="I31" i="21"/>
  <c r="I29" i="21"/>
  <c r="I27" i="21"/>
  <c r="I26" i="21"/>
  <c r="I25" i="21"/>
  <c r="I24" i="21"/>
  <c r="I22" i="21"/>
  <c r="I21" i="21"/>
  <c r="I18" i="21"/>
  <c r="I17" i="21"/>
  <c r="I14" i="21"/>
  <c r="I11" i="21"/>
  <c r="I4" i="21"/>
  <c r="G5" i="20"/>
  <c r="F76" i="20"/>
  <c r="B1" i="21"/>
  <c r="E24" i="21"/>
  <c r="E11" i="21"/>
  <c r="E12" i="21"/>
  <c r="E13" i="21"/>
  <c r="E10" i="21"/>
  <c r="E48" i="21"/>
  <c r="E49" i="21"/>
  <c r="E67" i="21"/>
  <c r="E14" i="21"/>
  <c r="E15" i="21"/>
  <c r="E16" i="21"/>
  <c r="E50" i="21"/>
  <c r="E51" i="21"/>
  <c r="E34" i="21"/>
  <c r="F34" i="21"/>
  <c r="F51" i="21"/>
  <c r="F50" i="21"/>
  <c r="F16" i="21"/>
  <c r="F15" i="21"/>
  <c r="F14" i="21"/>
  <c r="F67" i="21"/>
  <c r="F49" i="21"/>
  <c r="F48" i="21"/>
  <c r="F10" i="21"/>
  <c r="F13" i="21"/>
  <c r="F12" i="21"/>
  <c r="F11" i="21"/>
  <c r="F24" i="21"/>
  <c r="F20" i="21"/>
  <c r="D20" i="21"/>
  <c r="E20" i="21" s="1"/>
  <c r="F26" i="21"/>
  <c r="D26" i="21"/>
  <c r="E26" i="21" s="1"/>
  <c r="F47" i="21"/>
  <c r="D47" i="21"/>
  <c r="E47" i="21" s="1"/>
  <c r="F9" i="21"/>
  <c r="D9" i="21"/>
  <c r="E9" i="21" s="1"/>
  <c r="F59" i="21"/>
  <c r="G59" i="21" s="1"/>
  <c r="E59" i="21"/>
  <c r="D59" i="21"/>
  <c r="F66" i="21"/>
  <c r="D66" i="21"/>
  <c r="F33" i="21"/>
  <c r="D33" i="21"/>
  <c r="E33" i="21" s="1"/>
  <c r="F32" i="21"/>
  <c r="D32" i="21"/>
  <c r="E32" i="21" s="1"/>
  <c r="F46" i="21"/>
  <c r="D46" i="21"/>
  <c r="E46" i="21" s="1"/>
  <c r="F43" i="21"/>
  <c r="E43" i="21"/>
  <c r="D43" i="21"/>
  <c r="F45" i="21"/>
  <c r="D45" i="21"/>
  <c r="E45" i="21" s="1"/>
  <c r="F63" i="21"/>
  <c r="G63" i="21" s="1"/>
  <c r="D63" i="21"/>
  <c r="E63" i="21" s="1"/>
  <c r="F31" i="21"/>
  <c r="D31" i="21"/>
  <c r="E31" i="21" s="1"/>
  <c r="F30" i="21"/>
  <c r="G30" i="21" s="1"/>
  <c r="D30" i="21"/>
  <c r="E30" i="21" s="1"/>
  <c r="F23" i="21"/>
  <c r="D23" i="21"/>
  <c r="E23" i="21" s="1"/>
  <c r="F39" i="21"/>
  <c r="G39" i="21" s="1"/>
  <c r="D39" i="21"/>
  <c r="E39" i="21" s="1"/>
  <c r="F65" i="21"/>
  <c r="D65" i="21"/>
  <c r="E65" i="21" s="1"/>
  <c r="F22" i="21"/>
  <c r="D22" i="21"/>
  <c r="E22" i="21" s="1"/>
  <c r="F8" i="21"/>
  <c r="E8" i="21"/>
  <c r="D8" i="21"/>
  <c r="F71" i="21"/>
  <c r="D71" i="21"/>
  <c r="E71" i="21" s="1"/>
  <c r="F54" i="21"/>
  <c r="D54" i="21"/>
  <c r="E54" i="21" s="1"/>
  <c r="F56" i="21"/>
  <c r="D56" i="21"/>
  <c r="E56" i="21" s="1"/>
  <c r="F68" i="21"/>
  <c r="D68" i="21"/>
  <c r="E68" i="21" s="1"/>
  <c r="F61" i="21"/>
  <c r="D61" i="21"/>
  <c r="E61" i="21" s="1"/>
  <c r="F21" i="21"/>
  <c r="D21" i="21"/>
  <c r="F69" i="21"/>
  <c r="D69" i="21"/>
  <c r="E69" i="21" s="1"/>
  <c r="F35" i="21"/>
  <c r="D35" i="21"/>
  <c r="E35" i="21" s="1"/>
  <c r="F42" i="21"/>
  <c r="D42" i="21"/>
  <c r="E42" i="21" s="1"/>
  <c r="F7" i="21"/>
  <c r="D7" i="21"/>
  <c r="E7" i="21" s="1"/>
  <c r="F60" i="21"/>
  <c r="D60" i="21"/>
  <c r="E60" i="21" s="1"/>
  <c r="F19" i="21"/>
  <c r="D19" i="21"/>
  <c r="E19" i="21" s="1"/>
  <c r="F25" i="21"/>
  <c r="D25" i="21"/>
  <c r="E25" i="21" s="1"/>
  <c r="F6" i="21"/>
  <c r="E6" i="21"/>
  <c r="D6" i="21"/>
  <c r="F38" i="21"/>
  <c r="D38" i="21"/>
  <c r="E38" i="21" s="1"/>
  <c r="F28" i="21"/>
  <c r="G28" i="21" s="1"/>
  <c r="H28" i="21" s="1"/>
  <c r="D28" i="21"/>
  <c r="E28" i="21" s="1"/>
  <c r="F70" i="21"/>
  <c r="D70" i="21"/>
  <c r="E70" i="21" s="1"/>
  <c r="F55" i="21"/>
  <c r="G55" i="21" s="1"/>
  <c r="D55" i="21"/>
  <c r="E55" i="21" s="1"/>
  <c r="F18" i="21"/>
  <c r="D18" i="21"/>
  <c r="E18" i="21" s="1"/>
  <c r="F17" i="21"/>
  <c r="G17" i="21" s="1"/>
  <c r="D17" i="21"/>
  <c r="E17" i="21" s="1"/>
  <c r="F41" i="21"/>
  <c r="D41" i="21"/>
  <c r="E41" i="21" s="1"/>
  <c r="F58" i="21"/>
  <c r="D58" i="21"/>
  <c r="E58" i="21" s="1"/>
  <c r="F64" i="21"/>
  <c r="D64" i="21"/>
  <c r="E64" i="21" s="1"/>
  <c r="F44" i="21"/>
  <c r="G44" i="21" s="1"/>
  <c r="D44" i="21"/>
  <c r="E44" i="21" s="1"/>
  <c r="F62" i="21"/>
  <c r="D62" i="21"/>
  <c r="E62" i="21" s="1"/>
  <c r="F5" i="21"/>
  <c r="G5" i="21" s="1"/>
  <c r="D5" i="21"/>
  <c r="E5" i="21" s="1"/>
  <c r="F53" i="21"/>
  <c r="D53" i="21"/>
  <c r="E53" i="21" s="1"/>
  <c r="F57" i="21"/>
  <c r="G57" i="21" s="1"/>
  <c r="D57" i="21"/>
  <c r="E57" i="21" s="1"/>
  <c r="F37" i="21"/>
  <c r="D37" i="21"/>
  <c r="E37" i="21" s="1"/>
  <c r="F36" i="21"/>
  <c r="G36" i="21" s="1"/>
  <c r="D36" i="21"/>
  <c r="E36" i="21" s="1"/>
  <c r="F40" i="21"/>
  <c r="D40" i="21"/>
  <c r="E40" i="21" s="1"/>
  <c r="F72" i="21"/>
  <c r="G72" i="21" s="1"/>
  <c r="E72" i="21"/>
  <c r="F29" i="21"/>
  <c r="D29" i="21"/>
  <c r="E29" i="21" s="1"/>
  <c r="F27" i="21"/>
  <c r="G27" i="21" s="1"/>
  <c r="D27" i="21"/>
  <c r="E27" i="21" s="1"/>
  <c r="F4" i="21"/>
  <c r="F73" i="21" s="1"/>
  <c r="E4" i="21"/>
  <c r="D4" i="21"/>
  <c r="F52" i="21"/>
  <c r="D52" i="21"/>
  <c r="E52" i="21" s="1"/>
  <c r="G47" i="21" l="1"/>
  <c r="H47" i="21" s="1"/>
  <c r="G20" i="21"/>
  <c r="G13" i="21"/>
  <c r="G67" i="21"/>
  <c r="H51" i="21"/>
  <c r="G19" i="21"/>
  <c r="G7" i="21"/>
  <c r="H7" i="21" s="1"/>
  <c r="G35" i="21"/>
  <c r="G21" i="21"/>
  <c r="G68" i="21"/>
  <c r="H68" i="21" s="1"/>
  <c r="G54" i="21"/>
  <c r="H54" i="21" s="1"/>
  <c r="G43" i="21"/>
  <c r="G32" i="21"/>
  <c r="G24" i="21"/>
  <c r="H24" i="21" s="1"/>
  <c r="G51" i="21"/>
  <c r="H50" i="21"/>
  <c r="H67" i="21"/>
  <c r="H13" i="21"/>
  <c r="G14" i="21"/>
  <c r="H14" i="21" s="1"/>
  <c r="G22" i="21"/>
  <c r="G34" i="21"/>
  <c r="G46" i="21"/>
  <c r="G58" i="21"/>
  <c r="G10" i="21"/>
  <c r="H10" i="21" s="1"/>
  <c r="G42" i="21"/>
  <c r="G66" i="21"/>
  <c r="G6" i="21"/>
  <c r="G26" i="21"/>
  <c r="G50" i="21"/>
  <c r="G62" i="21"/>
  <c r="H62" i="21" s="1"/>
  <c r="G29" i="21"/>
  <c r="G40" i="21"/>
  <c r="H40" i="21" s="1"/>
  <c r="G37" i="21"/>
  <c r="G53" i="21"/>
  <c r="H53" i="21" s="1"/>
  <c r="G64" i="21"/>
  <c r="H64" i="21" s="1"/>
  <c r="G41" i="21"/>
  <c r="G18" i="21"/>
  <c r="G70" i="21"/>
  <c r="G38" i="21"/>
  <c r="G8" i="21"/>
  <c r="H8" i="21" s="1"/>
  <c r="G65" i="21"/>
  <c r="G23" i="21"/>
  <c r="G31" i="21"/>
  <c r="G45" i="21"/>
  <c r="H59" i="21"/>
  <c r="G9" i="21"/>
  <c r="H9" i="21" s="1"/>
  <c r="G11" i="21"/>
  <c r="G48" i="21"/>
  <c r="H48" i="21" s="1"/>
  <c r="G15" i="21"/>
  <c r="H49" i="21"/>
  <c r="G52" i="21"/>
  <c r="H52" i="21" s="1"/>
  <c r="H72" i="21"/>
  <c r="H6" i="21"/>
  <c r="G25" i="21"/>
  <c r="H25" i="21" s="1"/>
  <c r="G60" i="21"/>
  <c r="G69" i="21"/>
  <c r="H69" i="21" s="1"/>
  <c r="G61" i="21"/>
  <c r="G56" i="21"/>
  <c r="H56" i="21" s="1"/>
  <c r="G71" i="21"/>
  <c r="H43" i="21"/>
  <c r="G33" i="21"/>
  <c r="G12" i="21"/>
  <c r="H12" i="21" s="1"/>
  <c r="G49" i="21"/>
  <c r="G16" i="21"/>
  <c r="H16" i="21" s="1"/>
  <c r="H34" i="21"/>
  <c r="H15" i="21"/>
  <c r="H11" i="21"/>
  <c r="H60" i="21"/>
  <c r="H44" i="21"/>
  <c r="H36" i="21"/>
  <c r="E66" i="21"/>
  <c r="H66" i="21" s="1"/>
  <c r="G4" i="21"/>
  <c r="H4" i="21" s="1"/>
  <c r="H71" i="21"/>
  <c r="H63" i="21"/>
  <c r="H55" i="21"/>
  <c r="H39" i="21"/>
  <c r="H35" i="21"/>
  <c r="H31" i="21"/>
  <c r="H27" i="21"/>
  <c r="H23" i="21"/>
  <c r="H19" i="21"/>
  <c r="H20" i="21"/>
  <c r="H70" i="21"/>
  <c r="H58" i="21"/>
  <c r="H46" i="21"/>
  <c r="H42" i="21"/>
  <c r="H38" i="21"/>
  <c r="H30" i="21"/>
  <c r="H26" i="21"/>
  <c r="H22" i="21"/>
  <c r="H18" i="21"/>
  <c r="H32" i="21"/>
  <c r="E21" i="21"/>
  <c r="H21" i="21" s="1"/>
  <c r="H65" i="21"/>
  <c r="H61" i="21"/>
  <c r="H57" i="21"/>
  <c r="H45" i="21"/>
  <c r="H41" i="21"/>
  <c r="H37" i="21"/>
  <c r="H33" i="21"/>
  <c r="H29" i="21"/>
  <c r="H17" i="21"/>
  <c r="H5" i="21"/>
  <c r="J41" i="20"/>
  <c r="J9" i="20"/>
  <c r="J30" i="20"/>
  <c r="J13" i="20"/>
  <c r="J63" i="20" l="1"/>
  <c r="J73" i="20"/>
  <c r="J38" i="20"/>
  <c r="J44" i="20"/>
  <c r="J25" i="20"/>
  <c r="J4" i="20"/>
  <c r="J35" i="20"/>
  <c r="J28" i="20"/>
  <c r="J23" i="20"/>
  <c r="J21" i="20"/>
  <c r="J15" i="20"/>
  <c r="J11" i="20"/>
  <c r="J48" i="20"/>
  <c r="J59" i="20"/>
  <c r="K9" i="20" l="1"/>
  <c r="K13" i="20"/>
  <c r="K15" i="20"/>
  <c r="K21" i="20"/>
  <c r="K25" i="20"/>
  <c r="K30" i="20"/>
  <c r="K35" i="20"/>
  <c r="K38" i="20"/>
  <c r="K41" i="20"/>
  <c r="K44" i="20"/>
  <c r="K48" i="20"/>
  <c r="K51" i="20"/>
  <c r="K59" i="20"/>
  <c r="K63" i="20"/>
  <c r="K54" i="20"/>
  <c r="K32" i="20"/>
  <c r="K34" i="19"/>
  <c r="F74" i="20"/>
  <c r="B1" i="20"/>
  <c r="D6" i="20" l="1"/>
  <c r="D8" i="20"/>
  <c r="D10" i="20"/>
  <c r="D12" i="20"/>
  <c r="D14" i="20"/>
  <c r="D16" i="20"/>
  <c r="D17" i="20"/>
  <c r="D19" i="20"/>
  <c r="D20" i="20"/>
  <c r="D22" i="20"/>
  <c r="D24" i="20"/>
  <c r="D26" i="20"/>
  <c r="D27" i="20"/>
  <c r="D29" i="20"/>
  <c r="D31" i="20"/>
  <c r="D33" i="20"/>
  <c r="D34" i="20"/>
  <c r="D36" i="20"/>
  <c r="D37" i="20"/>
  <c r="D39" i="20"/>
  <c r="D40" i="20"/>
  <c r="D42" i="20"/>
  <c r="D43" i="20"/>
  <c r="D45" i="20"/>
  <c r="D46" i="20"/>
  <c r="D47" i="20"/>
  <c r="D49" i="20"/>
  <c r="D50" i="20"/>
  <c r="D52" i="20"/>
  <c r="D53" i="20"/>
  <c r="D55" i="20"/>
  <c r="D56" i="20"/>
  <c r="D57" i="20"/>
  <c r="D58" i="20"/>
  <c r="D60" i="20"/>
  <c r="D61" i="20"/>
  <c r="D62" i="20"/>
  <c r="D64" i="20"/>
  <c r="D65" i="20"/>
  <c r="D66" i="20"/>
  <c r="D67" i="20"/>
  <c r="D68" i="20"/>
  <c r="D69" i="20"/>
  <c r="D70" i="20"/>
  <c r="D71" i="20"/>
  <c r="D72" i="20"/>
  <c r="D74" i="20"/>
  <c r="D5" i="20"/>
  <c r="E64" i="20" l="1"/>
  <c r="K4" i="19" l="1"/>
  <c r="F5" i="19"/>
  <c r="E76" i="20"/>
  <c r="E74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E62" i="20"/>
  <c r="C62" i="20"/>
  <c r="E61" i="20"/>
  <c r="C61" i="20"/>
  <c r="E60" i="20"/>
  <c r="C60" i="20"/>
  <c r="E58" i="20"/>
  <c r="C58" i="20"/>
  <c r="E57" i="20"/>
  <c r="C57" i="20"/>
  <c r="E56" i="20"/>
  <c r="C56" i="20"/>
  <c r="E55" i="20"/>
  <c r="C55" i="20"/>
  <c r="E53" i="20"/>
  <c r="C53" i="20"/>
  <c r="E52" i="20"/>
  <c r="C52" i="20"/>
  <c r="E50" i="20"/>
  <c r="C50" i="20"/>
  <c r="E49" i="20"/>
  <c r="C49" i="20"/>
  <c r="E47" i="20"/>
  <c r="C47" i="20"/>
  <c r="E46" i="20"/>
  <c r="C46" i="20"/>
  <c r="E45" i="20"/>
  <c r="C45" i="20"/>
  <c r="C43" i="20"/>
  <c r="E42" i="20"/>
  <c r="C42" i="20"/>
  <c r="E40" i="20"/>
  <c r="C40" i="20"/>
  <c r="E39" i="20"/>
  <c r="C39" i="20"/>
  <c r="E37" i="20"/>
  <c r="C37" i="20"/>
  <c r="E36" i="20"/>
  <c r="C36" i="20"/>
  <c r="E34" i="20"/>
  <c r="C34" i="20"/>
  <c r="E33" i="20"/>
  <c r="C33" i="20"/>
  <c r="E31" i="20"/>
  <c r="C31" i="20"/>
  <c r="E6" i="20"/>
  <c r="C6" i="20"/>
  <c r="E29" i="20"/>
  <c r="C29" i="20"/>
  <c r="E27" i="20"/>
  <c r="C27" i="20"/>
  <c r="E24" i="20"/>
  <c r="C24" i="20"/>
  <c r="E22" i="20"/>
  <c r="C22" i="20"/>
  <c r="E17" i="20"/>
  <c r="C17" i="20"/>
  <c r="E20" i="20"/>
  <c r="C20" i="20"/>
  <c r="E19" i="20"/>
  <c r="C19" i="20"/>
  <c r="E26" i="20"/>
  <c r="C26" i="20"/>
  <c r="E16" i="20"/>
  <c r="C16" i="20"/>
  <c r="E14" i="20"/>
  <c r="C14" i="20"/>
  <c r="E12" i="20"/>
  <c r="C12" i="20"/>
  <c r="E10" i="20"/>
  <c r="C10" i="20"/>
  <c r="E8" i="20"/>
  <c r="C8" i="20"/>
  <c r="E5" i="20"/>
  <c r="C5" i="20"/>
  <c r="E77" i="20" l="1"/>
  <c r="F8" i="20" s="1"/>
  <c r="G8" i="20" s="1"/>
  <c r="I8" i="20" s="1"/>
  <c r="I7" i="20" s="1"/>
  <c r="K7" i="20" s="1"/>
  <c r="F64" i="20"/>
  <c r="G64" i="20" s="1"/>
  <c r="I64" i="20" s="1"/>
  <c r="F69" i="20"/>
  <c r="G69" i="20" s="1"/>
  <c r="I69" i="20" s="1"/>
  <c r="F45" i="20"/>
  <c r="G45" i="20" s="1"/>
  <c r="I45" i="20" s="1"/>
  <c r="F5" i="20"/>
  <c r="I5" i="20" s="1"/>
  <c r="G74" i="20"/>
  <c r="I74" i="20" s="1"/>
  <c r="I73" i="20" s="1"/>
  <c r="K73" i="20" s="1"/>
  <c r="F68" i="20"/>
  <c r="G68" i="20" s="1"/>
  <c r="I68" i="20" s="1"/>
  <c r="F65" i="20"/>
  <c r="G65" i="20" s="1"/>
  <c r="I65" i="20" s="1"/>
  <c r="F58" i="20"/>
  <c r="G58" i="20" s="1"/>
  <c r="I58" i="20" s="1"/>
  <c r="F52" i="20"/>
  <c r="G52" i="20" s="1"/>
  <c r="I52" i="20" s="1"/>
  <c r="F49" i="20"/>
  <c r="G49" i="20" s="1"/>
  <c r="I49" i="20" s="1"/>
  <c r="F42" i="20"/>
  <c r="G42" i="20" s="1"/>
  <c r="I42" i="20" s="1"/>
  <c r="F39" i="20"/>
  <c r="G39" i="20" s="1"/>
  <c r="I39" i="20" s="1"/>
  <c r="F33" i="20"/>
  <c r="G33" i="20" s="1"/>
  <c r="I33" i="20" s="1"/>
  <c r="F24" i="20"/>
  <c r="G24" i="20" s="1"/>
  <c r="I24" i="20" s="1"/>
  <c r="I23" i="20" s="1"/>
  <c r="K23" i="20" s="1"/>
  <c r="F20" i="20"/>
  <c r="G20" i="20" s="1"/>
  <c r="I20" i="20" s="1"/>
  <c r="F16" i="20"/>
  <c r="G16" i="20" s="1"/>
  <c r="I16" i="20" s="1"/>
  <c r="F14" i="20"/>
  <c r="G14" i="20" s="1"/>
  <c r="I14" i="20" s="1"/>
  <c r="I13" i="20" s="1"/>
  <c r="F72" i="20"/>
  <c r="G72" i="20" s="1"/>
  <c r="I72" i="20" s="1"/>
  <c r="F67" i="20"/>
  <c r="G67" i="20" s="1"/>
  <c r="I67" i="20" s="1"/>
  <c r="F62" i="20"/>
  <c r="G62" i="20" s="1"/>
  <c r="I62" i="20" s="1"/>
  <c r="F56" i="20"/>
  <c r="G56" i="20" s="1"/>
  <c r="I56" i="20" s="1"/>
  <c r="F53" i="20"/>
  <c r="G53" i="20" s="1"/>
  <c r="I53" i="20" s="1"/>
  <c r="F40" i="20"/>
  <c r="G40" i="20" s="1"/>
  <c r="I40" i="20" s="1"/>
  <c r="F10" i="20"/>
  <c r="G10" i="20" s="1"/>
  <c r="I10" i="20" s="1"/>
  <c r="I9" i="20" s="1"/>
  <c r="B104" i="6" s="1"/>
  <c r="F70" i="20"/>
  <c r="G70" i="20" s="1"/>
  <c r="I70" i="20" s="1"/>
  <c r="F61" i="20"/>
  <c r="G61" i="20" s="1"/>
  <c r="I61" i="20" s="1"/>
  <c r="F46" i="20"/>
  <c r="G46" i="20" s="1"/>
  <c r="I46" i="20" s="1"/>
  <c r="F43" i="20"/>
  <c r="G43" i="20" s="1"/>
  <c r="I43" i="20" s="1"/>
  <c r="F37" i="20"/>
  <c r="G37" i="20" s="1"/>
  <c r="I37" i="20" s="1"/>
  <c r="F29" i="20"/>
  <c r="G29" i="20" s="1"/>
  <c r="I29" i="20" s="1"/>
  <c r="I28" i="20" s="1"/>
  <c r="K28" i="20" s="1"/>
  <c r="B89" i="6" s="1"/>
  <c r="F22" i="20"/>
  <c r="G22" i="20" s="1"/>
  <c r="I22" i="20" s="1"/>
  <c r="I21" i="20" s="1"/>
  <c r="B67" i="6" s="1"/>
  <c r="F19" i="20"/>
  <c r="G19" i="20" s="1"/>
  <c r="I19" i="20" s="1"/>
  <c r="F26" i="20"/>
  <c r="G26" i="20" s="1"/>
  <c r="I26" i="20" s="1"/>
  <c r="F6" i="20"/>
  <c r="G6" i="20" s="1"/>
  <c r="I6" i="20" s="1"/>
  <c r="F17" i="20"/>
  <c r="G17" i="20" s="1"/>
  <c r="I17" i="20" s="1"/>
  <c r="F12" i="20"/>
  <c r="G12" i="20" s="1"/>
  <c r="I12" i="20" s="1"/>
  <c r="I11" i="20" s="1"/>
  <c r="K11" i="20" s="1"/>
  <c r="B130" i="6" s="1"/>
  <c r="G76" i="20"/>
  <c r="F71" i="20"/>
  <c r="G71" i="20" s="1"/>
  <c r="I71" i="20" s="1"/>
  <c r="F66" i="20"/>
  <c r="G66" i="20" s="1"/>
  <c r="I66" i="20" s="1"/>
  <c r="F60" i="20"/>
  <c r="G60" i="20" s="1"/>
  <c r="I60" i="20" s="1"/>
  <c r="F57" i="20"/>
  <c r="G57" i="20" s="1"/>
  <c r="I57" i="20" s="1"/>
  <c r="F55" i="20"/>
  <c r="G55" i="20" s="1"/>
  <c r="I55" i="20" s="1"/>
  <c r="F50" i="20"/>
  <c r="G50" i="20" s="1"/>
  <c r="I50" i="20" s="1"/>
  <c r="F47" i="20"/>
  <c r="G47" i="20" s="1"/>
  <c r="I47" i="20" s="1"/>
  <c r="F36" i="20"/>
  <c r="G36" i="20" s="1"/>
  <c r="I36" i="20" s="1"/>
  <c r="F34" i="20"/>
  <c r="G34" i="20" s="1"/>
  <c r="I34" i="20" s="1"/>
  <c r="F31" i="20"/>
  <c r="G31" i="20" s="1"/>
  <c r="I31" i="20" s="1"/>
  <c r="I30" i="20" s="1"/>
  <c r="B118" i="6" s="1"/>
  <c r="F27" i="20"/>
  <c r="G27" i="20" s="1"/>
  <c r="I27" i="20" s="1"/>
  <c r="J6" i="19"/>
  <c r="I25" i="20" l="1"/>
  <c r="I15" i="20"/>
  <c r="B128" i="6" s="1"/>
  <c r="I4" i="20"/>
  <c r="B77" i="6" s="1"/>
  <c r="I54" i="20"/>
  <c r="I41" i="20"/>
  <c r="I44" i="20"/>
  <c r="I48" i="20"/>
  <c r="B114" i="6" s="1"/>
  <c r="I35" i="20"/>
  <c r="I32" i="20"/>
  <c r="I51" i="20"/>
  <c r="B131" i="6" s="1"/>
  <c r="I63" i="20"/>
  <c r="I59" i="20"/>
  <c r="I18" i="20"/>
  <c r="K18" i="20" s="1"/>
  <c r="B7" i="6" s="1"/>
  <c r="I38" i="20"/>
  <c r="B39" i="6" s="1"/>
  <c r="J8" i="19"/>
  <c r="J12" i="19"/>
  <c r="J40" i="19"/>
  <c r="J26" i="19"/>
  <c r="K59" i="19" l="1"/>
  <c r="K30" i="19" l="1"/>
  <c r="K56" i="19" l="1"/>
  <c r="K22" i="19"/>
  <c r="K76" i="19"/>
  <c r="K63" i="19"/>
  <c r="K44" i="19"/>
  <c r="K71" i="19"/>
  <c r="K82" i="19"/>
  <c r="K14" i="19"/>
  <c r="K10" i="19"/>
  <c r="K16" i="19"/>
  <c r="K50" i="19"/>
  <c r="K18" i="19"/>
  <c r="K42" i="19"/>
  <c r="K47" i="19"/>
  <c r="K88" i="19"/>
  <c r="K38" i="19"/>
  <c r="K24" i="19"/>
  <c r="K32" i="19"/>
  <c r="K36" i="19"/>
  <c r="K20" i="19"/>
  <c r="K53" i="19"/>
  <c r="I59" i="19" l="1"/>
  <c r="B1" i="19" l="1"/>
  <c r="E98" i="19"/>
  <c r="L29" i="19"/>
  <c r="J36" i="19" l="1"/>
  <c r="J54" i="17" l="1"/>
  <c r="B115" i="6" l="1"/>
  <c r="D9" i="19"/>
  <c r="D7" i="19"/>
  <c r="D11" i="19"/>
  <c r="D13" i="19"/>
  <c r="D15" i="19"/>
  <c r="D17" i="19"/>
  <c r="D19" i="19"/>
  <c r="D21" i="19"/>
  <c r="D23" i="19"/>
  <c r="D25" i="19"/>
  <c r="D27" i="19"/>
  <c r="D29" i="19"/>
  <c r="D31" i="19"/>
  <c r="D33" i="19"/>
  <c r="D35" i="19"/>
  <c r="D37" i="19"/>
  <c r="D39" i="19"/>
  <c r="D41" i="19"/>
  <c r="D43" i="19"/>
  <c r="D45" i="19"/>
  <c r="D46" i="19"/>
  <c r="D48" i="19"/>
  <c r="D49" i="19"/>
  <c r="D51" i="19"/>
  <c r="D52" i="19"/>
  <c r="D54" i="19"/>
  <c r="D55" i="19"/>
  <c r="D57" i="19"/>
  <c r="D58" i="19"/>
  <c r="D60" i="19"/>
  <c r="D61" i="19"/>
  <c r="D62" i="19"/>
  <c r="D64" i="19"/>
  <c r="D65" i="19"/>
  <c r="D66" i="19"/>
  <c r="D68" i="19"/>
  <c r="D69" i="19"/>
  <c r="D70" i="19"/>
  <c r="D72" i="19"/>
  <c r="D73" i="19"/>
  <c r="D74" i="19"/>
  <c r="D75" i="19"/>
  <c r="D77" i="19"/>
  <c r="D78" i="19"/>
  <c r="D79" i="19"/>
  <c r="D80" i="19"/>
  <c r="D81" i="19"/>
  <c r="D83" i="19"/>
  <c r="D84" i="19"/>
  <c r="D85" i="19"/>
  <c r="D86" i="19"/>
  <c r="D87" i="19"/>
  <c r="D89" i="19"/>
  <c r="D90" i="19"/>
  <c r="D91" i="19"/>
  <c r="D92" i="19"/>
  <c r="D93" i="19"/>
  <c r="D94" i="19"/>
  <c r="D5" i="19"/>
  <c r="F45" i="19"/>
  <c r="J60" i="18"/>
  <c r="K60" i="18"/>
  <c r="K69" i="18"/>
  <c r="K78" i="18"/>
  <c r="G45" i="19" l="1"/>
  <c r="F92" i="19"/>
  <c r="G92" i="19" s="1"/>
  <c r="I92" i="19" s="1"/>
  <c r="F94" i="19" l="1"/>
  <c r="G94" i="19" s="1"/>
  <c r="I94" i="19" s="1"/>
  <c r="F93" i="19"/>
  <c r="F91" i="19"/>
  <c r="G91" i="19" s="1"/>
  <c r="I91" i="19" s="1"/>
  <c r="F90" i="19"/>
  <c r="G90" i="19" s="1"/>
  <c r="I90" i="19" s="1"/>
  <c r="F89" i="19"/>
  <c r="G89" i="19" s="1"/>
  <c r="I89" i="19" s="1"/>
  <c r="F87" i="19"/>
  <c r="G87" i="19" s="1"/>
  <c r="I87" i="19" s="1"/>
  <c r="F86" i="19"/>
  <c r="G86" i="19" s="1"/>
  <c r="I86" i="19" s="1"/>
  <c r="F85" i="19"/>
  <c r="G85" i="19" s="1"/>
  <c r="I85" i="19" s="1"/>
  <c r="F84" i="19"/>
  <c r="G84" i="19" s="1"/>
  <c r="I84" i="19" s="1"/>
  <c r="F83" i="19"/>
  <c r="G83" i="19" s="1"/>
  <c r="I83" i="19" s="1"/>
  <c r="F66" i="19"/>
  <c r="G66" i="19" s="1"/>
  <c r="I66" i="19" s="1"/>
  <c r="F65" i="19"/>
  <c r="G65" i="19" s="1"/>
  <c r="I65" i="19" s="1"/>
  <c r="F64" i="19"/>
  <c r="G64" i="19" s="1"/>
  <c r="I64" i="19" s="1"/>
  <c r="F70" i="19"/>
  <c r="G70" i="19" s="1"/>
  <c r="I70" i="19" s="1"/>
  <c r="F69" i="19"/>
  <c r="G69" i="19" s="1"/>
  <c r="I69" i="19" s="1"/>
  <c r="F68" i="19"/>
  <c r="G68" i="19" s="1"/>
  <c r="I68" i="19" s="1"/>
  <c r="I67" i="19" s="1"/>
  <c r="K67" i="19" s="1"/>
  <c r="F46" i="19"/>
  <c r="G46" i="19" s="1"/>
  <c r="I46" i="19" s="1"/>
  <c r="I45" i="19"/>
  <c r="F52" i="19"/>
  <c r="G52" i="19" s="1"/>
  <c r="I52" i="19" s="1"/>
  <c r="F51" i="19"/>
  <c r="G51" i="19" s="1"/>
  <c r="I51" i="19" s="1"/>
  <c r="I50" i="19" s="1"/>
  <c r="F9" i="19"/>
  <c r="G9" i="19" s="1"/>
  <c r="I9" i="19" s="1"/>
  <c r="I8" i="19" s="1"/>
  <c r="K8" i="19" s="1"/>
  <c r="F11" i="19"/>
  <c r="G11" i="19" s="1"/>
  <c r="I11" i="19" s="1"/>
  <c r="I10" i="19" s="1"/>
  <c r="G5" i="19"/>
  <c r="I5" i="19" s="1"/>
  <c r="I4" i="19" s="1"/>
  <c r="B43" i="6" s="1"/>
  <c r="F7" i="19"/>
  <c r="G7" i="19" s="1"/>
  <c r="I7" i="19" s="1"/>
  <c r="I6" i="19" s="1"/>
  <c r="K6" i="19" s="1"/>
  <c r="B66" i="6" s="1"/>
  <c r="F41" i="19"/>
  <c r="G41" i="19" s="1"/>
  <c r="I41" i="19" s="1"/>
  <c r="I40" i="19" s="1"/>
  <c r="F37" i="19"/>
  <c r="G37" i="19" s="1"/>
  <c r="I37" i="19" s="1"/>
  <c r="I36" i="19" s="1"/>
  <c r="B95" i="6" s="1"/>
  <c r="F43" i="19"/>
  <c r="G43" i="19" s="1"/>
  <c r="I43" i="19" s="1"/>
  <c r="I42" i="19" s="1"/>
  <c r="F39" i="19"/>
  <c r="G39" i="19" s="1"/>
  <c r="I39" i="19" s="1"/>
  <c r="I38" i="19" s="1"/>
  <c r="F58" i="19"/>
  <c r="G58" i="19" s="1"/>
  <c r="I58" i="19" s="1"/>
  <c r="F74" i="19"/>
  <c r="G74" i="19" s="1"/>
  <c r="I74" i="19" s="1"/>
  <c r="F78" i="19"/>
  <c r="G78" i="19" s="1"/>
  <c r="I78" i="19" s="1"/>
  <c r="F15" i="19"/>
  <c r="G15" i="19" s="1"/>
  <c r="I15" i="19" s="1"/>
  <c r="I14" i="19" s="1"/>
  <c r="B5" i="6" s="1"/>
  <c r="F23" i="19"/>
  <c r="G23" i="19" s="1"/>
  <c r="I23" i="19" s="1"/>
  <c r="I22" i="19" s="1"/>
  <c r="F54" i="19"/>
  <c r="G54" i="19" s="1"/>
  <c r="I54" i="19" s="1"/>
  <c r="F57" i="19"/>
  <c r="G57" i="19" s="1"/>
  <c r="I57" i="19" s="1"/>
  <c r="F49" i="19"/>
  <c r="G49" i="19" s="1"/>
  <c r="I49" i="19" s="1"/>
  <c r="F81" i="19"/>
  <c r="G81" i="19" s="1"/>
  <c r="I81" i="19" s="1"/>
  <c r="F13" i="19"/>
  <c r="G13" i="19" s="1"/>
  <c r="I13" i="19" s="1"/>
  <c r="I12" i="19" s="1"/>
  <c r="F21" i="19"/>
  <c r="G21" i="19" s="1"/>
  <c r="I21" i="19" s="1"/>
  <c r="I20" i="19" s="1"/>
  <c r="B59" i="6" s="1"/>
  <c r="F48" i="19"/>
  <c r="G48" i="19" s="1"/>
  <c r="I48" i="19" s="1"/>
  <c r="F55" i="19"/>
  <c r="G55" i="19" s="1"/>
  <c r="I55" i="19" s="1"/>
  <c r="F19" i="19"/>
  <c r="G19" i="19" s="1"/>
  <c r="I19" i="19" s="1"/>
  <c r="I18" i="19" s="1"/>
  <c r="B151" i="6" s="1"/>
  <c r="F33" i="19"/>
  <c r="G33" i="19" s="1"/>
  <c r="I33" i="19" s="1"/>
  <c r="I32" i="19" s="1"/>
  <c r="B41" i="6" s="1"/>
  <c r="F35" i="19"/>
  <c r="G35" i="19" s="1"/>
  <c r="I35" i="19" s="1"/>
  <c r="I34" i="19" s="1"/>
  <c r="B109" i="6" s="1"/>
  <c r="F61" i="19"/>
  <c r="G61" i="19" s="1"/>
  <c r="I61" i="19" s="1"/>
  <c r="F75" i="19"/>
  <c r="G75" i="19" s="1"/>
  <c r="I75" i="19" s="1"/>
  <c r="F31" i="19"/>
  <c r="G31" i="19" s="1"/>
  <c r="I31" i="19" s="1"/>
  <c r="I30" i="19" s="1"/>
  <c r="F29" i="19"/>
  <c r="G29" i="19" s="1"/>
  <c r="I29" i="19" s="1"/>
  <c r="I28" i="19" s="1"/>
  <c r="K28" i="19" s="1"/>
  <c r="B125" i="6" s="1"/>
  <c r="F27" i="19"/>
  <c r="G27" i="19" s="1"/>
  <c r="I27" i="19" s="1"/>
  <c r="I26" i="19" s="1"/>
  <c r="K26" i="19" s="1"/>
  <c r="F25" i="19"/>
  <c r="G25" i="19" s="1"/>
  <c r="I25" i="19" s="1"/>
  <c r="I24" i="19" s="1"/>
  <c r="B19" i="6" s="1"/>
  <c r="F80" i="19"/>
  <c r="G80" i="19" s="1"/>
  <c r="I80" i="19" s="1"/>
  <c r="F73" i="19"/>
  <c r="G73" i="19" s="1"/>
  <c r="I73" i="19" s="1"/>
  <c r="F62" i="19"/>
  <c r="G62" i="19" s="1"/>
  <c r="I62" i="19" s="1"/>
  <c r="F60" i="19"/>
  <c r="G60" i="19" s="1"/>
  <c r="I60" i="19" s="1"/>
  <c r="F17" i="19"/>
  <c r="G17" i="19" s="1"/>
  <c r="I17" i="19" s="1"/>
  <c r="I16" i="19" s="1"/>
  <c r="F72" i="19"/>
  <c r="G72" i="19" s="1"/>
  <c r="I72" i="19" s="1"/>
  <c r="I71" i="19" s="1"/>
  <c r="F77" i="19"/>
  <c r="G77" i="19" s="1"/>
  <c r="I77" i="19" s="1"/>
  <c r="F79" i="19"/>
  <c r="G79" i="19" s="1"/>
  <c r="I79" i="19" s="1"/>
  <c r="K48" i="18"/>
  <c r="B133" i="6" l="1"/>
  <c r="K12" i="19"/>
  <c r="B159" i="6"/>
  <c r="G93" i="19"/>
  <c r="I93" i="19" s="1"/>
  <c r="I88" i="19" s="1"/>
  <c r="B98" i="6"/>
  <c r="B111" i="6"/>
  <c r="I76" i="19"/>
  <c r="B46" i="6"/>
  <c r="K40" i="19"/>
  <c r="I56" i="19"/>
  <c r="I53" i="19"/>
  <c r="I82" i="19"/>
  <c r="B137" i="6" s="1"/>
  <c r="I63" i="19"/>
  <c r="B80" i="6" s="1"/>
  <c r="B92" i="6"/>
  <c r="I44" i="19"/>
  <c r="B93" i="6" s="1"/>
  <c r="I47" i="19"/>
  <c r="K38" i="18"/>
  <c r="B55" i="6" l="1"/>
  <c r="D70" i="18"/>
  <c r="D71" i="18"/>
  <c r="D72" i="18"/>
  <c r="D73" i="18"/>
  <c r="D74" i="18"/>
  <c r="K35" i="18" l="1"/>
  <c r="K27" i="18"/>
  <c r="K66" i="18"/>
  <c r="K75" i="18"/>
  <c r="K31" i="18"/>
  <c r="K16" i="18"/>
  <c r="K29" i="18"/>
  <c r="K14" i="18"/>
  <c r="K45" i="18"/>
  <c r="K40" i="18"/>
  <c r="K24" i="18"/>
  <c r="K51" i="18" l="1"/>
  <c r="K12" i="18"/>
  <c r="K20" i="18"/>
  <c r="K42" i="18" l="1"/>
  <c r="K33" i="18"/>
  <c r="K22" i="18"/>
  <c r="K18" i="18"/>
  <c r="K23" i="17"/>
  <c r="B1" i="18"/>
  <c r="G76" i="18"/>
  <c r="J69" i="18" l="1"/>
  <c r="J33" i="17"/>
  <c r="J40" i="17"/>
  <c r="J50" i="17"/>
  <c r="C53" i="18" l="1"/>
  <c r="C50" i="18"/>
  <c r="C47" i="18"/>
  <c r="C44" i="18"/>
  <c r="C41" i="18"/>
  <c r="C26" i="18"/>
  <c r="C23" i="18"/>
  <c r="E79" i="18"/>
  <c r="E77" i="18"/>
  <c r="E76" i="18"/>
  <c r="E74" i="18"/>
  <c r="E73" i="18"/>
  <c r="E72" i="18"/>
  <c r="E71" i="18"/>
  <c r="E70" i="18"/>
  <c r="E68" i="18"/>
  <c r="E67" i="18"/>
  <c r="E65" i="18"/>
  <c r="E64" i="18"/>
  <c r="E63" i="18"/>
  <c r="E62" i="18"/>
  <c r="E61" i="18"/>
  <c r="E59" i="18"/>
  <c r="E58" i="18"/>
  <c r="E57" i="18"/>
  <c r="E56" i="18"/>
  <c r="E55" i="18"/>
  <c r="E53" i="18"/>
  <c r="E52" i="18"/>
  <c r="E50" i="18"/>
  <c r="E49" i="18"/>
  <c r="E47" i="18"/>
  <c r="E46" i="18"/>
  <c r="E44" i="18"/>
  <c r="E43" i="18"/>
  <c r="E41" i="18"/>
  <c r="E39" i="18"/>
  <c r="E37" i="18"/>
  <c r="E36" i="18"/>
  <c r="E34" i="18"/>
  <c r="E32" i="18"/>
  <c r="E30" i="18"/>
  <c r="E28" i="18"/>
  <c r="E26" i="18"/>
  <c r="E25" i="18"/>
  <c r="E23" i="18"/>
  <c r="E21" i="18"/>
  <c r="E19" i="18"/>
  <c r="E17" i="18"/>
  <c r="E15" i="18"/>
  <c r="E13" i="18"/>
  <c r="E11" i="18"/>
  <c r="E9" i="18"/>
  <c r="E7" i="18"/>
  <c r="E5" i="18"/>
  <c r="J24" i="18" l="1"/>
  <c r="J75" i="18"/>
  <c r="J12" i="17"/>
  <c r="J12" i="18"/>
  <c r="J84" i="17"/>
  <c r="J61" i="17"/>
  <c r="J72" i="17"/>
  <c r="J86" i="17"/>
  <c r="J88" i="17"/>
  <c r="J82" i="17"/>
  <c r="J68" i="17"/>
  <c r="J90" i="17"/>
  <c r="J65" i="17" l="1"/>
  <c r="J80" i="17"/>
  <c r="J36" i="17"/>
  <c r="J23" i="17"/>
  <c r="J42" i="17"/>
  <c r="J92" i="17"/>
  <c r="J29" i="17"/>
  <c r="J75" i="17"/>
  <c r="J47" i="17"/>
  <c r="J57" i="17"/>
  <c r="J52" i="17"/>
  <c r="E80" i="18"/>
  <c r="D7" i="18"/>
  <c r="D9" i="18"/>
  <c r="D11" i="18"/>
  <c r="D58" i="18"/>
  <c r="D59" i="18"/>
  <c r="D64" i="18"/>
  <c r="D65" i="18"/>
  <c r="D68" i="18"/>
  <c r="D76" i="18"/>
  <c r="D77" i="18"/>
  <c r="C79" i="18"/>
  <c r="D79" i="18" s="1"/>
  <c r="C74" i="18"/>
  <c r="C67" i="18"/>
  <c r="D67" i="18" s="1"/>
  <c r="C63" i="18"/>
  <c r="D63" i="18" s="1"/>
  <c r="C62" i="18"/>
  <c r="D62" i="18" s="1"/>
  <c r="C61" i="18"/>
  <c r="D61" i="18" s="1"/>
  <c r="C57" i="18"/>
  <c r="D57" i="18" s="1"/>
  <c r="C56" i="18"/>
  <c r="D56" i="18" s="1"/>
  <c r="C55" i="18"/>
  <c r="D53" i="18"/>
  <c r="C52" i="18"/>
  <c r="D52" i="18" s="1"/>
  <c r="C49" i="18"/>
  <c r="C46" i="18"/>
  <c r="D44" i="18"/>
  <c r="C43" i="18"/>
  <c r="D41" i="18"/>
  <c r="C39" i="18"/>
  <c r="C36" i="18"/>
  <c r="C34" i="18"/>
  <c r="C32" i="18"/>
  <c r="C30" i="18"/>
  <c r="C28" i="18"/>
  <c r="D28" i="18" s="1"/>
  <c r="C25" i="18"/>
  <c r="D23" i="18"/>
  <c r="C37" i="18"/>
  <c r="C21" i="18"/>
  <c r="D21" i="18" s="1"/>
  <c r="C19" i="18"/>
  <c r="C17" i="18"/>
  <c r="D17" i="18" s="1"/>
  <c r="C15" i="18"/>
  <c r="C13" i="18"/>
  <c r="D13" i="18" s="1"/>
  <c r="G80" i="18" l="1"/>
  <c r="F70" i="18"/>
  <c r="G70" i="18"/>
  <c r="I70" i="18" s="1"/>
  <c r="F62" i="18"/>
  <c r="G62" i="18" s="1"/>
  <c r="I62" i="18" s="1"/>
  <c r="F46" i="18"/>
  <c r="F15" i="18"/>
  <c r="F74" i="18"/>
  <c r="G74" i="18" s="1"/>
  <c r="I74" i="18" s="1"/>
  <c r="F58" i="18"/>
  <c r="G58" i="18" s="1"/>
  <c r="I58" i="18" s="1"/>
  <c r="F25" i="18"/>
  <c r="F11" i="18"/>
  <c r="G11" i="18" s="1"/>
  <c r="I11" i="18" s="1"/>
  <c r="I10" i="18" s="1"/>
  <c r="K10" i="18" s="1"/>
  <c r="F37" i="18"/>
  <c r="F7" i="18"/>
  <c r="G7" i="18" s="1"/>
  <c r="I7" i="18" s="1"/>
  <c r="I6" i="18" s="1"/>
  <c r="K6" i="18" s="1"/>
  <c r="B17" i="6" s="1"/>
  <c r="F50" i="18"/>
  <c r="F19" i="18"/>
  <c r="F79" i="18"/>
  <c r="G79" i="18" s="1"/>
  <c r="I79" i="18" s="1"/>
  <c r="I78" i="18" s="1"/>
  <c r="D15" i="18"/>
  <c r="D30" i="18"/>
  <c r="D39" i="18"/>
  <c r="D46" i="18"/>
  <c r="D37" i="18"/>
  <c r="D50" i="18"/>
  <c r="D32" i="18"/>
  <c r="D19" i="18"/>
  <c r="D25" i="18"/>
  <c r="D47" i="18"/>
  <c r="D26" i="18"/>
  <c r="D34" i="18"/>
  <c r="D43" i="18"/>
  <c r="D55" i="18"/>
  <c r="D49" i="18"/>
  <c r="D36" i="18"/>
  <c r="F77" i="18"/>
  <c r="G77" i="18" s="1"/>
  <c r="I77" i="18" s="1"/>
  <c r="F73" i="18"/>
  <c r="G73" i="18" s="1"/>
  <c r="I73" i="18" s="1"/>
  <c r="F65" i="18"/>
  <c r="G65" i="18" s="1"/>
  <c r="I65" i="18" s="1"/>
  <c r="F61" i="18"/>
  <c r="G61" i="18" s="1"/>
  <c r="I61" i="18" s="1"/>
  <c r="F57" i="18"/>
  <c r="G57" i="18" s="1"/>
  <c r="I57" i="18" s="1"/>
  <c r="F53" i="18"/>
  <c r="G53" i="18" s="1"/>
  <c r="I53" i="18" s="1"/>
  <c r="F49" i="18"/>
  <c r="G49" i="18" s="1"/>
  <c r="I49" i="18" s="1"/>
  <c r="F41" i="18"/>
  <c r="G41" i="18" s="1"/>
  <c r="I41" i="18" s="1"/>
  <c r="I40" i="18" s="1"/>
  <c r="F36" i="18"/>
  <c r="F32" i="18"/>
  <c r="F28" i="18"/>
  <c r="G28" i="18" s="1"/>
  <c r="I28" i="18" s="1"/>
  <c r="I27" i="18" s="1"/>
  <c r="F76" i="18"/>
  <c r="I76" i="18" s="1"/>
  <c r="F72" i="18"/>
  <c r="G72" i="18" s="1"/>
  <c r="I72" i="18" s="1"/>
  <c r="F68" i="18"/>
  <c r="G68" i="18" s="1"/>
  <c r="I68" i="18" s="1"/>
  <c r="F64" i="18"/>
  <c r="G64" i="18" s="1"/>
  <c r="I64" i="18" s="1"/>
  <c r="F56" i="18"/>
  <c r="G56" i="18" s="1"/>
  <c r="I56" i="18" s="1"/>
  <c r="F52" i="18"/>
  <c r="G52" i="18" s="1"/>
  <c r="I52" i="18" s="1"/>
  <c r="F44" i="18"/>
  <c r="G44" i="18" s="1"/>
  <c r="I44" i="18" s="1"/>
  <c r="F23" i="18"/>
  <c r="G23" i="18" s="1"/>
  <c r="I23" i="18" s="1"/>
  <c r="I22" i="18" s="1"/>
  <c r="F21" i="18"/>
  <c r="G21" i="18" s="1"/>
  <c r="I21" i="18" s="1"/>
  <c r="I20" i="18" s="1"/>
  <c r="F17" i="18"/>
  <c r="G17" i="18" s="1"/>
  <c r="I17" i="18" s="1"/>
  <c r="I16" i="18" s="1"/>
  <c r="F13" i="18"/>
  <c r="G13" i="18" s="1"/>
  <c r="I13" i="18" s="1"/>
  <c r="I12" i="18" s="1"/>
  <c r="F9" i="18"/>
  <c r="G9" i="18" s="1"/>
  <c r="I9" i="18" s="1"/>
  <c r="I8" i="18" s="1"/>
  <c r="K8" i="18" s="1"/>
  <c r="F5" i="18"/>
  <c r="G5" i="18" s="1"/>
  <c r="F71" i="18"/>
  <c r="G71" i="18" s="1"/>
  <c r="I71" i="18" s="1"/>
  <c r="F67" i="18"/>
  <c r="G67" i="18" s="1"/>
  <c r="I67" i="18" s="1"/>
  <c r="I66" i="18" s="1"/>
  <c r="B10" i="6" s="1"/>
  <c r="F63" i="18"/>
  <c r="G63" i="18" s="1"/>
  <c r="I63" i="18" s="1"/>
  <c r="F59" i="18"/>
  <c r="G59" i="18" s="1"/>
  <c r="I59" i="18" s="1"/>
  <c r="F55" i="18"/>
  <c r="F47" i="18"/>
  <c r="G47" i="18" s="1"/>
  <c r="I47" i="18" s="1"/>
  <c r="F43" i="18"/>
  <c r="F39" i="18"/>
  <c r="F34" i="18"/>
  <c r="F30" i="18"/>
  <c r="F26" i="18"/>
  <c r="B1" i="17"/>
  <c r="I69" i="18" l="1"/>
  <c r="G46" i="18"/>
  <c r="I46" i="18" s="1"/>
  <c r="I45" i="18" s="1"/>
  <c r="B132" i="6" s="1"/>
  <c r="G55" i="18"/>
  <c r="I55" i="18" s="1"/>
  <c r="I54" i="18" s="1"/>
  <c r="K54" i="18" s="1"/>
  <c r="I51" i="18"/>
  <c r="G32" i="18"/>
  <c r="I32" i="18" s="1"/>
  <c r="I31" i="18" s="1"/>
  <c r="I60" i="18"/>
  <c r="B70" i="6" s="1"/>
  <c r="G37" i="18"/>
  <c r="I37" i="18" s="1"/>
  <c r="G15" i="18"/>
  <c r="I15" i="18" s="1"/>
  <c r="I14" i="18" s="1"/>
  <c r="I75" i="18"/>
  <c r="G19" i="18"/>
  <c r="I19" i="18" s="1"/>
  <c r="I18" i="18" s="1"/>
  <c r="G43" i="18"/>
  <c r="I43" i="18" s="1"/>
  <c r="I42" i="18" s="1"/>
  <c r="G50" i="18"/>
  <c r="I50" i="18" s="1"/>
  <c r="I48" i="18" s="1"/>
  <c r="B112" i="6" s="1"/>
  <c r="G36" i="18"/>
  <c r="I36" i="18" s="1"/>
  <c r="G34" i="18"/>
  <c r="I34" i="18" s="1"/>
  <c r="I33" i="18" s="1"/>
  <c r="B48" i="6" s="1"/>
  <c r="G25" i="18"/>
  <c r="I25" i="18" s="1"/>
  <c r="G39" i="18"/>
  <c r="I39" i="18" s="1"/>
  <c r="I38" i="18" s="1"/>
  <c r="G26" i="18"/>
  <c r="I26" i="18" s="1"/>
  <c r="G30" i="18"/>
  <c r="I30" i="18" s="1"/>
  <c r="I29" i="18" s="1"/>
  <c r="I35" i="18" l="1"/>
  <c r="I24" i="18"/>
  <c r="C46" i="17"/>
  <c r="C89" i="17"/>
  <c r="D7" i="17" l="1"/>
  <c r="D9" i="17"/>
  <c r="D10" i="17"/>
  <c r="D11" i="17"/>
  <c r="D13" i="17"/>
  <c r="D15" i="17"/>
  <c r="D16" i="17"/>
  <c r="D17" i="17"/>
  <c r="D18" i="17"/>
  <c r="D20" i="17"/>
  <c r="D22" i="17"/>
  <c r="D24" i="17"/>
  <c r="D25" i="17"/>
  <c r="D26" i="17"/>
  <c r="D28" i="17"/>
  <c r="D30" i="17"/>
  <c r="D31" i="17"/>
  <c r="D32" i="17"/>
  <c r="D34" i="17"/>
  <c r="D35" i="17"/>
  <c r="D37" i="17"/>
  <c r="D38" i="17"/>
  <c r="D39" i="17"/>
  <c r="D41" i="17"/>
  <c r="D69" i="17"/>
  <c r="D43" i="17"/>
  <c r="D44" i="17"/>
  <c r="D45" i="17"/>
  <c r="D46" i="17"/>
  <c r="D48" i="17"/>
  <c r="D49" i="17"/>
  <c r="D51" i="17"/>
  <c r="D53" i="17"/>
  <c r="D55" i="17"/>
  <c r="D58" i="17"/>
  <c r="D59" i="17"/>
  <c r="D60" i="17"/>
  <c r="D62" i="17"/>
  <c r="D64" i="17"/>
  <c r="D66" i="17"/>
  <c r="D67" i="17"/>
  <c r="D70" i="17"/>
  <c r="D71" i="17"/>
  <c r="D73" i="17"/>
  <c r="D74" i="17"/>
  <c r="D76" i="17"/>
  <c r="D78" i="17"/>
  <c r="D79" i="17"/>
  <c r="D81" i="17"/>
  <c r="D83" i="17"/>
  <c r="D85" i="17"/>
  <c r="D87" i="17"/>
  <c r="D56" i="17"/>
  <c r="D89" i="17"/>
  <c r="D91" i="17"/>
  <c r="D93" i="17"/>
  <c r="D5" i="17"/>
  <c r="E93" i="17"/>
  <c r="E91" i="17"/>
  <c r="E89" i="17"/>
  <c r="E56" i="17"/>
  <c r="E87" i="17"/>
  <c r="E85" i="17"/>
  <c r="E83" i="17"/>
  <c r="E81" i="17"/>
  <c r="E79" i="17"/>
  <c r="E78" i="17"/>
  <c r="E76" i="17"/>
  <c r="E74" i="17"/>
  <c r="E73" i="17"/>
  <c r="E71" i="17"/>
  <c r="E70" i="17"/>
  <c r="E67" i="17"/>
  <c r="E66" i="17"/>
  <c r="E64" i="17"/>
  <c r="E62" i="17"/>
  <c r="E60" i="17"/>
  <c r="E59" i="17"/>
  <c r="E58" i="17"/>
  <c r="E55" i="17"/>
  <c r="E53" i="17"/>
  <c r="E51" i="17"/>
  <c r="E49" i="17"/>
  <c r="E48" i="17"/>
  <c r="E46" i="17"/>
  <c r="E45" i="17"/>
  <c r="E44" i="17"/>
  <c r="E43" i="17"/>
  <c r="E69" i="17"/>
  <c r="E41" i="17"/>
  <c r="E39" i="17"/>
  <c r="E38" i="17"/>
  <c r="E37" i="17"/>
  <c r="E35" i="17"/>
  <c r="E34" i="17"/>
  <c r="E32" i="17"/>
  <c r="E31" i="17"/>
  <c r="E30" i="17"/>
  <c r="E28" i="17"/>
  <c r="E26" i="17"/>
  <c r="E25" i="17"/>
  <c r="E24" i="17"/>
  <c r="E22" i="17"/>
  <c r="E20" i="17"/>
  <c r="E18" i="17"/>
  <c r="E17" i="17"/>
  <c r="E15" i="17"/>
  <c r="E13" i="17"/>
  <c r="E11" i="17"/>
  <c r="E10" i="17"/>
  <c r="E9" i="17"/>
  <c r="E7" i="17"/>
  <c r="E5" i="17"/>
  <c r="E94" i="17" l="1"/>
  <c r="G94" i="17" s="1"/>
  <c r="J45" i="16"/>
  <c r="J16" i="16"/>
  <c r="J32" i="16"/>
  <c r="J26" i="16"/>
  <c r="J39" i="16"/>
  <c r="J51" i="16"/>
  <c r="J48" i="16"/>
  <c r="J42" i="16"/>
  <c r="J6" i="16"/>
  <c r="J54" i="16"/>
  <c r="J24" i="16"/>
  <c r="J4" i="16"/>
  <c r="J22" i="16"/>
  <c r="J36" i="16"/>
  <c r="J14" i="16"/>
  <c r="J34" i="16"/>
  <c r="J28" i="16"/>
  <c r="J10" i="16"/>
  <c r="J61" i="16"/>
  <c r="J65" i="16"/>
  <c r="J57" i="16"/>
  <c r="J8" i="16"/>
  <c r="F46" i="17" l="1"/>
  <c r="G46" i="17" s="1"/>
  <c r="F10" i="17"/>
  <c r="G10" i="17" s="1"/>
  <c r="I10" i="17" s="1"/>
  <c r="F26" i="17"/>
  <c r="G26" i="17" s="1"/>
  <c r="I26" i="17" s="1"/>
  <c r="F48" i="17"/>
  <c r="G48" i="17" s="1"/>
  <c r="I48" i="17" s="1"/>
  <c r="F85" i="17"/>
  <c r="G85" i="17" s="1"/>
  <c r="I85" i="17" s="1"/>
  <c r="I84" i="17" s="1"/>
  <c r="F16" i="17"/>
  <c r="G16" i="17" s="1"/>
  <c r="I16" i="17" s="1"/>
  <c r="F69" i="17"/>
  <c r="G69" i="17" s="1"/>
  <c r="I69" i="17" s="1"/>
  <c r="F66" i="17"/>
  <c r="G66" i="17" s="1"/>
  <c r="I66" i="17" s="1"/>
  <c r="F17" i="17"/>
  <c r="G17" i="17" s="1"/>
  <c r="I17" i="17" s="1"/>
  <c r="F38" i="17"/>
  <c r="G38" i="17" s="1"/>
  <c r="I38" i="17" s="1"/>
  <c r="F64" i="17"/>
  <c r="G64" i="17" s="1"/>
  <c r="I64" i="17" s="1"/>
  <c r="I63" i="17" s="1"/>
  <c r="K63" i="17" s="1"/>
  <c r="F39" i="17"/>
  <c r="G39" i="17" s="1"/>
  <c r="I39" i="17" s="1"/>
  <c r="I36" i="17" s="1"/>
  <c r="F15" i="17"/>
  <c r="G15" i="17" s="1"/>
  <c r="I15" i="17" s="1"/>
  <c r="F34" i="17"/>
  <c r="G34" i="17" s="1"/>
  <c r="I34" i="17" s="1"/>
  <c r="F51" i="17"/>
  <c r="G51" i="17" s="1"/>
  <c r="I51" i="17" s="1"/>
  <c r="I50" i="17" s="1"/>
  <c r="K50" i="17" s="1"/>
  <c r="F91" i="17"/>
  <c r="G91" i="17" s="1"/>
  <c r="I91" i="17" s="1"/>
  <c r="I90" i="17" s="1"/>
  <c r="K90" i="17" s="1"/>
  <c r="F24" i="17"/>
  <c r="G24" i="17" s="1"/>
  <c r="I24" i="17" s="1"/>
  <c r="I46" i="17"/>
  <c r="F83" i="17"/>
  <c r="G83" i="17" s="1"/>
  <c r="I83" i="17" s="1"/>
  <c r="I82" i="17" s="1"/>
  <c r="K82" i="17" s="1"/>
  <c r="B58" i="6" s="1"/>
  <c r="F22" i="17"/>
  <c r="G22" i="17" s="1"/>
  <c r="I22" i="17" s="1"/>
  <c r="I21" i="17" s="1"/>
  <c r="K21" i="17" s="1"/>
  <c r="B97" i="6" s="1"/>
  <c r="F41" i="17"/>
  <c r="G41" i="17" s="1"/>
  <c r="I41" i="17" s="1"/>
  <c r="I40" i="17" s="1"/>
  <c r="F70" i="17"/>
  <c r="G70" i="17" s="1"/>
  <c r="I70" i="17" s="1"/>
  <c r="F53" i="17"/>
  <c r="G53" i="17" s="1"/>
  <c r="I53" i="17" s="1"/>
  <c r="I52" i="17" s="1"/>
  <c r="K52" i="17" s="1"/>
  <c r="F31" i="17"/>
  <c r="G31" i="17" s="1"/>
  <c r="I31" i="17" s="1"/>
  <c r="F13" i="17"/>
  <c r="G13" i="17" s="1"/>
  <c r="I13" i="17" s="1"/>
  <c r="I12" i="17" s="1"/>
  <c r="F37" i="17"/>
  <c r="G37" i="17" s="1"/>
  <c r="I37" i="17" s="1"/>
  <c r="F60" i="17"/>
  <c r="G60" i="17" s="1"/>
  <c r="I60" i="17" s="1"/>
  <c r="F11" i="17"/>
  <c r="G11" i="17" s="1"/>
  <c r="I11" i="17" s="1"/>
  <c r="F32" i="17"/>
  <c r="G32" i="17" s="1"/>
  <c r="I32" i="17" s="1"/>
  <c r="F49" i="17"/>
  <c r="G49" i="17" s="1"/>
  <c r="I49" i="17" s="1"/>
  <c r="F89" i="17"/>
  <c r="G89" i="17" s="1"/>
  <c r="I89" i="17" s="1"/>
  <c r="I88" i="17" s="1"/>
  <c r="K88" i="17" s="1"/>
  <c r="F25" i="17"/>
  <c r="G25" i="17" s="1"/>
  <c r="I25" i="17" s="1"/>
  <c r="I23" i="17" s="1"/>
  <c r="F44" i="17"/>
  <c r="G44" i="17" s="1"/>
  <c r="I44" i="17" s="1"/>
  <c r="F78" i="17"/>
  <c r="G78" i="17" s="1"/>
  <c r="I78" i="17" s="1"/>
  <c r="F79" i="17"/>
  <c r="G79" i="17" s="1"/>
  <c r="I79" i="17" s="1"/>
  <c r="F7" i="17"/>
  <c r="G7" i="17" s="1"/>
  <c r="I7" i="17" s="1"/>
  <c r="I6" i="17" s="1"/>
  <c r="K6" i="17" s="1"/>
  <c r="B56" i="6" s="1"/>
  <c r="F18" i="17"/>
  <c r="G18" i="17" s="1"/>
  <c r="I18" i="17" s="1"/>
  <c r="F43" i="17"/>
  <c r="G43" i="17" s="1"/>
  <c r="I43" i="17" s="1"/>
  <c r="F74" i="17"/>
  <c r="G74" i="17" s="1"/>
  <c r="I74" i="17" s="1"/>
  <c r="F35" i="17"/>
  <c r="G35" i="17" s="1"/>
  <c r="I35" i="17" s="1"/>
  <c r="I33" i="17" s="1"/>
  <c r="K33" i="17" s="1"/>
  <c r="F58" i="17"/>
  <c r="G58" i="17" s="1"/>
  <c r="I58" i="17" s="1"/>
  <c r="F5" i="17"/>
  <c r="G5" i="17" s="1"/>
  <c r="I5" i="17" s="1"/>
  <c r="I4" i="17" s="1"/>
  <c r="K4" i="17" s="1"/>
  <c r="F30" i="17"/>
  <c r="G30" i="17" s="1"/>
  <c r="I30" i="17" s="1"/>
  <c r="F55" i="17"/>
  <c r="G55" i="17" s="1"/>
  <c r="I55" i="17" s="1"/>
  <c r="F81" i="17"/>
  <c r="G81" i="17" s="1"/>
  <c r="I81" i="17" s="1"/>
  <c r="I80" i="17" s="1"/>
  <c r="F28" i="17"/>
  <c r="G28" i="17" s="1"/>
  <c r="I28" i="17" s="1"/>
  <c r="I27" i="17" s="1"/>
  <c r="F93" i="17"/>
  <c r="G93" i="17" s="1"/>
  <c r="I93" i="17" s="1"/>
  <c r="I92" i="17" s="1"/>
  <c r="F56" i="17"/>
  <c r="G56" i="17" s="1"/>
  <c r="I56" i="17" s="1"/>
  <c r="F71" i="17"/>
  <c r="G71" i="17" s="1"/>
  <c r="I71" i="17" s="1"/>
  <c r="F59" i="17"/>
  <c r="G59" i="17" s="1"/>
  <c r="I59" i="17" s="1"/>
  <c r="F45" i="17"/>
  <c r="G45" i="17" s="1"/>
  <c r="I45" i="17" s="1"/>
  <c r="F20" i="17"/>
  <c r="G20" i="17" s="1"/>
  <c r="I20" i="17" s="1"/>
  <c r="I19" i="17" s="1"/>
  <c r="K19" i="17" s="1"/>
  <c r="F73" i="17"/>
  <c r="G73" i="17" s="1"/>
  <c r="I73" i="17" s="1"/>
  <c r="F9" i="17"/>
  <c r="G9" i="17" s="1"/>
  <c r="I9" i="17" s="1"/>
  <c r="F87" i="17"/>
  <c r="G87" i="17" s="1"/>
  <c r="I87" i="17" s="1"/>
  <c r="I86" i="17" s="1"/>
  <c r="F76" i="17"/>
  <c r="G76" i="17" s="1"/>
  <c r="I76" i="17" s="1"/>
  <c r="I75" i="17" s="1"/>
  <c r="F62" i="17"/>
  <c r="G62" i="17" s="1"/>
  <c r="I62" i="17" s="1"/>
  <c r="I61" i="17" s="1"/>
  <c r="F67" i="17"/>
  <c r="G67" i="17" s="1"/>
  <c r="I67" i="17" s="1"/>
  <c r="J12" i="16"/>
  <c r="J69" i="16"/>
  <c r="K36" i="17" l="1"/>
  <c r="B91" i="6" s="1"/>
  <c r="K86" i="17"/>
  <c r="B85" i="6" s="1"/>
  <c r="K92" i="17"/>
  <c r="K75" i="17"/>
  <c r="B129" i="6"/>
  <c r="K27" i="17"/>
  <c r="K61" i="17"/>
  <c r="K80" i="17"/>
  <c r="K40" i="17"/>
  <c r="B88" i="6" s="1"/>
  <c r="K84" i="17"/>
  <c r="K12" i="17"/>
  <c r="B45" i="6" s="1"/>
  <c r="I68" i="17"/>
  <c r="I29" i="17"/>
  <c r="I14" i="17"/>
  <c r="K14" i="17" s="1"/>
  <c r="I42" i="17"/>
  <c r="K42" i="17" s="1"/>
  <c r="I47" i="17"/>
  <c r="I72" i="17"/>
  <c r="K72" i="17" s="1"/>
  <c r="I54" i="17"/>
  <c r="K54" i="17" s="1"/>
  <c r="I77" i="17"/>
  <c r="K77" i="17" s="1"/>
  <c r="I65" i="17"/>
  <c r="K65" i="17" s="1"/>
  <c r="I8" i="17"/>
  <c r="K8" i="17" s="1"/>
  <c r="I57" i="17"/>
  <c r="K57" i="17" s="1"/>
  <c r="B1" i="16"/>
  <c r="K29" i="17" l="1"/>
  <c r="B34" i="6" s="1"/>
  <c r="K68" i="17"/>
  <c r="K47" i="17"/>
  <c r="E83" i="16"/>
  <c r="E74" i="16"/>
  <c r="E73" i="16"/>
  <c r="E72" i="16"/>
  <c r="E71" i="16"/>
  <c r="E70" i="16"/>
  <c r="E68" i="16"/>
  <c r="E67" i="16"/>
  <c r="E66" i="16"/>
  <c r="E64" i="16"/>
  <c r="E63" i="16"/>
  <c r="E62" i="16"/>
  <c r="E84" i="16"/>
  <c r="E82" i="16"/>
  <c r="E60" i="16"/>
  <c r="E59" i="16"/>
  <c r="E58" i="16"/>
  <c r="E56" i="16"/>
  <c r="E55" i="16"/>
  <c r="E53" i="16"/>
  <c r="E52" i="16"/>
  <c r="E50" i="16"/>
  <c r="E49" i="16"/>
  <c r="E47" i="16"/>
  <c r="E46" i="16"/>
  <c r="E43" i="16"/>
  <c r="E41" i="16"/>
  <c r="E40" i="16"/>
  <c r="E38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11" i="16"/>
  <c r="E9" i="16"/>
  <c r="E7" i="16"/>
  <c r="E5" i="16"/>
  <c r="C74" i="16"/>
  <c r="D74" i="16" s="1"/>
  <c r="C73" i="16"/>
  <c r="D73" i="16" s="1"/>
  <c r="C68" i="16"/>
  <c r="D68" i="16" s="1"/>
  <c r="C64" i="16"/>
  <c r="D83" i="16"/>
  <c r="C60" i="16"/>
  <c r="D60" i="16" s="1"/>
  <c r="C59" i="16"/>
  <c r="D59" i="16" s="1"/>
  <c r="C58" i="16"/>
  <c r="C56" i="16"/>
  <c r="D56" i="16" s="1"/>
  <c r="C55" i="16"/>
  <c r="D55" i="16" s="1"/>
  <c r="C53" i="16"/>
  <c r="C52" i="16"/>
  <c r="D52" i="16" s="1"/>
  <c r="C50" i="16"/>
  <c r="D50" i="16" s="1"/>
  <c r="C49" i="16"/>
  <c r="D49" i="16" s="1"/>
  <c r="C47" i="16"/>
  <c r="D47" i="16" s="1"/>
  <c r="C46" i="16"/>
  <c r="D46" i="16" s="1"/>
  <c r="D40" i="16"/>
  <c r="C35" i="16"/>
  <c r="D35" i="16" s="1"/>
  <c r="C33" i="16"/>
  <c r="D33" i="16" s="1"/>
  <c r="C31" i="16"/>
  <c r="D31" i="16" s="1"/>
  <c r="C29" i="16"/>
  <c r="D29" i="16" s="1"/>
  <c r="C27" i="16"/>
  <c r="D27" i="16" s="1"/>
  <c r="C25" i="16"/>
  <c r="D25" i="16" s="1"/>
  <c r="C23" i="16"/>
  <c r="D23" i="16" s="1"/>
  <c r="C21" i="16"/>
  <c r="D21" i="16" s="1"/>
  <c r="C19" i="16"/>
  <c r="D19" i="16" s="1"/>
  <c r="C7" i="16"/>
  <c r="D7" i="16" s="1"/>
  <c r="E76" i="16"/>
  <c r="D84" i="16"/>
  <c r="D82" i="16"/>
  <c r="D53" i="16"/>
  <c r="D37" i="16"/>
  <c r="D38" i="16"/>
  <c r="D41" i="16"/>
  <c r="D43" i="16"/>
  <c r="D44" i="16"/>
  <c r="I76" i="16"/>
  <c r="D72" i="16"/>
  <c r="D71" i="16"/>
  <c r="D70" i="16"/>
  <c r="D67" i="16"/>
  <c r="D66" i="16"/>
  <c r="D64" i="16"/>
  <c r="D63" i="16"/>
  <c r="D58" i="16"/>
  <c r="D17" i="16"/>
  <c r="D13" i="16"/>
  <c r="D11" i="16"/>
  <c r="D9" i="16"/>
  <c r="D5" i="16"/>
  <c r="E77" i="16" l="1"/>
  <c r="F5" i="16" s="1"/>
  <c r="D15" i="16"/>
  <c r="D62" i="16"/>
  <c r="J8" i="15"/>
  <c r="J61" i="15"/>
  <c r="J49" i="15"/>
  <c r="J32" i="15"/>
  <c r="J26" i="15"/>
  <c r="J29" i="15"/>
  <c r="J12" i="15"/>
  <c r="J14" i="15"/>
  <c r="G5" i="16" l="1"/>
  <c r="I5" i="16" s="1"/>
  <c r="I4" i="16" s="1"/>
  <c r="K4" i="16" s="1"/>
  <c r="G77" i="16"/>
  <c r="F84" i="16"/>
  <c r="G84" i="16" s="1"/>
  <c r="I84" i="16" s="1"/>
  <c r="F83" i="16"/>
  <c r="G83" i="16" s="1"/>
  <c r="I83" i="16" s="1"/>
  <c r="F82" i="16"/>
  <c r="G82" i="16" s="1"/>
  <c r="I82" i="16" s="1"/>
  <c r="F56" i="16"/>
  <c r="G56" i="16" s="1"/>
  <c r="I56" i="16" s="1"/>
  <c r="F55" i="16"/>
  <c r="G55" i="16" s="1"/>
  <c r="I55" i="16" s="1"/>
  <c r="F50" i="16"/>
  <c r="G50" i="16" s="1"/>
  <c r="I50" i="16" s="1"/>
  <c r="F49" i="16"/>
  <c r="G49" i="16" s="1"/>
  <c r="I49" i="16" s="1"/>
  <c r="F53" i="16"/>
  <c r="G53" i="16" s="1"/>
  <c r="I53" i="16" s="1"/>
  <c r="F52" i="16"/>
  <c r="G52" i="16" s="1"/>
  <c r="I52" i="16" s="1"/>
  <c r="F47" i="16"/>
  <c r="G47" i="16" s="1"/>
  <c r="I47" i="16" s="1"/>
  <c r="F46" i="16"/>
  <c r="G46" i="16" s="1"/>
  <c r="I46" i="16" s="1"/>
  <c r="F38" i="16"/>
  <c r="G38" i="16" s="1"/>
  <c r="I38" i="16" s="1"/>
  <c r="F44" i="16"/>
  <c r="G44" i="16" s="1"/>
  <c r="I44" i="16" s="1"/>
  <c r="F40" i="16"/>
  <c r="G40" i="16" s="1"/>
  <c r="I40" i="16" s="1"/>
  <c r="F41" i="16"/>
  <c r="G41" i="16" s="1"/>
  <c r="I41" i="16" s="1"/>
  <c r="F37" i="16"/>
  <c r="G37" i="16" s="1"/>
  <c r="I37" i="16" s="1"/>
  <c r="F43" i="16"/>
  <c r="G43" i="16" s="1"/>
  <c r="I43" i="16" s="1"/>
  <c r="I42" i="16" s="1"/>
  <c r="K42" i="16" s="1"/>
  <c r="F68" i="16"/>
  <c r="G68" i="16" s="1"/>
  <c r="I68" i="16" s="1"/>
  <c r="F35" i="16"/>
  <c r="G35" i="16" s="1"/>
  <c r="I35" i="16" s="1"/>
  <c r="I34" i="16" s="1"/>
  <c r="K34" i="16" s="1"/>
  <c r="B138" i="6" s="1"/>
  <c r="F31" i="16"/>
  <c r="G31" i="16" s="1"/>
  <c r="I31" i="16" s="1"/>
  <c r="I30" i="16" s="1"/>
  <c r="K30" i="16" s="1"/>
  <c r="F27" i="16"/>
  <c r="G27" i="16" s="1"/>
  <c r="I27" i="16" s="1"/>
  <c r="I26" i="16" s="1"/>
  <c r="K26" i="16" s="1"/>
  <c r="B94" i="6" s="1"/>
  <c r="F33" i="16"/>
  <c r="G33" i="16" s="1"/>
  <c r="I33" i="16" s="1"/>
  <c r="I32" i="16" s="1"/>
  <c r="K32" i="16" s="1"/>
  <c r="F29" i="16"/>
  <c r="G29" i="16" s="1"/>
  <c r="I29" i="16" s="1"/>
  <c r="I28" i="16" s="1"/>
  <c r="K28" i="16" s="1"/>
  <c r="F71" i="16"/>
  <c r="G71" i="16" s="1"/>
  <c r="I71" i="16" s="1"/>
  <c r="F59" i="16"/>
  <c r="G59" i="16" s="1"/>
  <c r="I59" i="16" s="1"/>
  <c r="F11" i="16"/>
  <c r="G11" i="16" s="1"/>
  <c r="I11" i="16" s="1"/>
  <c r="I10" i="16" s="1"/>
  <c r="K10" i="16" s="1"/>
  <c r="F23" i="16"/>
  <c r="G23" i="16" s="1"/>
  <c r="I23" i="16" s="1"/>
  <c r="I22" i="16" s="1"/>
  <c r="F66" i="16"/>
  <c r="G66" i="16" s="1"/>
  <c r="I66" i="16" s="1"/>
  <c r="F25" i="16"/>
  <c r="G25" i="16" s="1"/>
  <c r="I25" i="16" s="1"/>
  <c r="I24" i="16" s="1"/>
  <c r="K24" i="16" s="1"/>
  <c r="F19" i="16"/>
  <c r="G19" i="16" s="1"/>
  <c r="I19" i="16" s="1"/>
  <c r="I18" i="16" s="1"/>
  <c r="K18" i="16" s="1"/>
  <c r="F21" i="16"/>
  <c r="G21" i="16" s="1"/>
  <c r="I21" i="16" s="1"/>
  <c r="I20" i="16" s="1"/>
  <c r="K20" i="16" s="1"/>
  <c r="F67" i="16"/>
  <c r="G67" i="16" s="1"/>
  <c r="I67" i="16" s="1"/>
  <c r="F73" i="16"/>
  <c r="G73" i="16" s="1"/>
  <c r="I73" i="16" s="1"/>
  <c r="F13" i="16"/>
  <c r="G13" i="16" s="1"/>
  <c r="I13" i="16" s="1"/>
  <c r="I12" i="16" s="1"/>
  <c r="K12" i="16" s="1"/>
  <c r="F63" i="16"/>
  <c r="G63" i="16" s="1"/>
  <c r="I63" i="16" s="1"/>
  <c r="F74" i="16"/>
  <c r="G74" i="16" s="1"/>
  <c r="I74" i="16" s="1"/>
  <c r="F72" i="16"/>
  <c r="G72" i="16" s="1"/>
  <c r="I72" i="16" s="1"/>
  <c r="F70" i="16"/>
  <c r="G70" i="16" s="1"/>
  <c r="I70" i="16" s="1"/>
  <c r="F62" i="16"/>
  <c r="G62" i="16" s="1"/>
  <c r="I62" i="16" s="1"/>
  <c r="F9" i="16"/>
  <c r="G9" i="16" s="1"/>
  <c r="I9" i="16" s="1"/>
  <c r="I8" i="16" s="1"/>
  <c r="K8" i="16" s="1"/>
  <c r="F76" i="16"/>
  <c r="F64" i="16"/>
  <c r="G64" i="16" s="1"/>
  <c r="I64" i="16" s="1"/>
  <c r="F17" i="16"/>
  <c r="G17" i="16" s="1"/>
  <c r="I17" i="16" s="1"/>
  <c r="I16" i="16" s="1"/>
  <c r="K16" i="16" s="1"/>
  <c r="F15" i="16"/>
  <c r="G15" i="16" s="1"/>
  <c r="I15" i="16" s="1"/>
  <c r="I14" i="16" s="1"/>
  <c r="K14" i="16" s="1"/>
  <c r="F7" i="16"/>
  <c r="G7" i="16" s="1"/>
  <c r="I7" i="16" s="1"/>
  <c r="I6" i="16" s="1"/>
  <c r="F60" i="16"/>
  <c r="G60" i="16" s="1"/>
  <c r="I60" i="16" s="1"/>
  <c r="F58" i="16"/>
  <c r="G58" i="16" s="1"/>
  <c r="I58" i="16" s="1"/>
  <c r="J18" i="15"/>
  <c r="K6" i="16" l="1"/>
  <c r="K22" i="16"/>
  <c r="I45" i="16"/>
  <c r="K45" i="16" s="1"/>
  <c r="B144" i="6" s="1"/>
  <c r="I48" i="16"/>
  <c r="K48" i="16" s="1"/>
  <c r="B135" i="6" s="1"/>
  <c r="I81" i="16"/>
  <c r="I65" i="16"/>
  <c r="K65" i="16" s="1"/>
  <c r="I57" i="16"/>
  <c r="I36" i="16"/>
  <c r="K36" i="16" s="1"/>
  <c r="B37" i="6" s="1"/>
  <c r="I51" i="16"/>
  <c r="K51" i="16" s="1"/>
  <c r="I54" i="16"/>
  <c r="K54" i="16" s="1"/>
  <c r="I39" i="16"/>
  <c r="K39" i="16" s="1"/>
  <c r="B107" i="6" s="1"/>
  <c r="I61" i="16"/>
  <c r="K61" i="16" s="1"/>
  <c r="B113" i="6" s="1"/>
  <c r="I69" i="16"/>
  <c r="K69" i="16" s="1"/>
  <c r="J24" i="15"/>
  <c r="J39" i="15"/>
  <c r="J46" i="15"/>
  <c r="K57" i="16" l="1"/>
  <c r="J10" i="15"/>
  <c r="L11" i="15" l="1"/>
  <c r="L65" i="15"/>
  <c r="L25" i="15"/>
  <c r="L51" i="15"/>
  <c r="B1" i="15"/>
  <c r="J43" i="15" l="1"/>
  <c r="C55" i="15" l="1"/>
  <c r="E55" i="15"/>
  <c r="E53" i="15"/>
  <c r="C53" i="15"/>
  <c r="J52" i="15" l="1"/>
  <c r="E54" i="15" l="1"/>
  <c r="C54" i="15"/>
  <c r="I70" i="15" l="1"/>
  <c r="E68" i="15"/>
  <c r="E67" i="15"/>
  <c r="E66" i="15"/>
  <c r="E65" i="15"/>
  <c r="E64" i="15"/>
  <c r="E63" i="15"/>
  <c r="E62" i="15"/>
  <c r="E59" i="15"/>
  <c r="E51" i="15"/>
  <c r="E50" i="15"/>
  <c r="E48" i="15"/>
  <c r="E47" i="15"/>
  <c r="E45" i="15"/>
  <c r="E44" i="15"/>
  <c r="E42" i="15"/>
  <c r="E41" i="15"/>
  <c r="E40" i="15"/>
  <c r="E38" i="15"/>
  <c r="E37" i="15"/>
  <c r="E36" i="15"/>
  <c r="E34" i="15"/>
  <c r="E33" i="15"/>
  <c r="E31" i="15"/>
  <c r="E30" i="15"/>
  <c r="E28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D7" i="15"/>
  <c r="D9" i="15"/>
  <c r="D36" i="15"/>
  <c r="D55" i="15"/>
  <c r="D57" i="15"/>
  <c r="D58" i="15"/>
  <c r="D66" i="15"/>
  <c r="D67" i="15"/>
  <c r="D68" i="15"/>
  <c r="C65" i="15"/>
  <c r="D65" i="15" s="1"/>
  <c r="C64" i="15"/>
  <c r="D64" i="15" s="1"/>
  <c r="C63" i="15"/>
  <c r="D63" i="15" s="1"/>
  <c r="C62" i="15"/>
  <c r="D62" i="15" s="1"/>
  <c r="D60" i="15"/>
  <c r="D59" i="15"/>
  <c r="D54" i="15"/>
  <c r="D53" i="15"/>
  <c r="C51" i="15"/>
  <c r="D51" i="15" s="1"/>
  <c r="C50" i="15"/>
  <c r="D50" i="15" s="1"/>
  <c r="C48" i="15"/>
  <c r="D48" i="15" s="1"/>
  <c r="C47" i="15"/>
  <c r="D47" i="15" s="1"/>
  <c r="C45" i="15"/>
  <c r="D45" i="15" s="1"/>
  <c r="C44" i="15"/>
  <c r="D44" i="15" s="1"/>
  <c r="C42" i="15"/>
  <c r="D42" i="15" s="1"/>
  <c r="C41" i="15"/>
  <c r="D41" i="15" s="1"/>
  <c r="C40" i="15"/>
  <c r="D40" i="15" s="1"/>
  <c r="C38" i="15"/>
  <c r="D38" i="15" s="1"/>
  <c r="C37" i="15"/>
  <c r="D37" i="15" s="1"/>
  <c r="C34" i="15"/>
  <c r="D34" i="15" s="1"/>
  <c r="C33" i="15"/>
  <c r="D33" i="15" s="1"/>
  <c r="C31" i="15"/>
  <c r="D31" i="15" s="1"/>
  <c r="C30" i="15"/>
  <c r="D30" i="15" s="1"/>
  <c r="C28" i="15"/>
  <c r="D28" i="15" s="1"/>
  <c r="C27" i="15"/>
  <c r="D27" i="15" s="1"/>
  <c r="C25" i="15"/>
  <c r="D25" i="15" s="1"/>
  <c r="C23" i="15"/>
  <c r="D23" i="15" s="1"/>
  <c r="C21" i="15"/>
  <c r="D21" i="15" s="1"/>
  <c r="C19" i="15"/>
  <c r="D19" i="15" s="1"/>
  <c r="C17" i="15"/>
  <c r="D17" i="15" s="1"/>
  <c r="C15" i="15"/>
  <c r="D15" i="15" s="1"/>
  <c r="C13" i="15"/>
  <c r="D13" i="15" s="1"/>
  <c r="C11" i="15"/>
  <c r="D11" i="15" s="1"/>
  <c r="E71" i="15" l="1"/>
  <c r="G71" i="15" s="1"/>
  <c r="D5" i="15"/>
  <c r="J27" i="14"/>
  <c r="F38" i="15" l="1"/>
  <c r="G38" i="15" s="1"/>
  <c r="I38" i="15" s="1"/>
  <c r="F50" i="15"/>
  <c r="G50" i="15" s="1"/>
  <c r="I50" i="15" s="1"/>
  <c r="F30" i="15"/>
  <c r="G30" i="15" s="1"/>
  <c r="I30" i="15" s="1"/>
  <c r="F11" i="15"/>
  <c r="G11" i="15" s="1"/>
  <c r="I11" i="15" s="1"/>
  <c r="I10" i="15" s="1"/>
  <c r="K10" i="15" s="1"/>
  <c r="F19" i="15"/>
  <c r="G19" i="15" s="1"/>
  <c r="I19" i="15" s="1"/>
  <c r="I18" i="15" s="1"/>
  <c r="F59" i="15"/>
  <c r="G59" i="15" s="1"/>
  <c r="I59" i="15" s="1"/>
  <c r="F27" i="15"/>
  <c r="G27" i="15" s="1"/>
  <c r="I27" i="15" s="1"/>
  <c r="F67" i="15"/>
  <c r="G67" i="15" s="1"/>
  <c r="I67" i="15" s="1"/>
  <c r="F33" i="15"/>
  <c r="G33" i="15" s="1"/>
  <c r="I33" i="15" s="1"/>
  <c r="F40" i="15"/>
  <c r="G40" i="15" s="1"/>
  <c r="I40" i="15" s="1"/>
  <c r="F47" i="15"/>
  <c r="G47" i="15" s="1"/>
  <c r="I47" i="15" s="1"/>
  <c r="F36" i="15"/>
  <c r="G36" i="15" s="1"/>
  <c r="I36" i="15" s="1"/>
  <c r="I35" i="15" s="1"/>
  <c r="F68" i="15"/>
  <c r="G68" i="15" s="1"/>
  <c r="I68" i="15" s="1"/>
  <c r="F37" i="15"/>
  <c r="G37" i="15" s="1"/>
  <c r="I37" i="15" s="1"/>
  <c r="F34" i="15"/>
  <c r="G34" i="15" s="1"/>
  <c r="I34" i="15" s="1"/>
  <c r="I32" i="15" s="1"/>
  <c r="K32" i="15" s="1"/>
  <c r="F55" i="15"/>
  <c r="G55" i="15" s="1"/>
  <c r="I55" i="15" s="1"/>
  <c r="F7" i="15"/>
  <c r="G7" i="15" s="1"/>
  <c r="I7" i="15" s="1"/>
  <c r="I6" i="15" s="1"/>
  <c r="K6" i="15" s="1"/>
  <c r="F23" i="15"/>
  <c r="F51" i="15"/>
  <c r="G51" i="15" s="1"/>
  <c r="I51" i="15" s="1"/>
  <c r="I49" i="15" s="1"/>
  <c r="K49" i="15" s="1"/>
  <c r="F9" i="15"/>
  <c r="G9" i="15" s="1"/>
  <c r="I9" i="15" s="1"/>
  <c r="I8" i="15" s="1"/>
  <c r="K8" i="15" s="1"/>
  <c r="F41" i="15"/>
  <c r="G41" i="15" s="1"/>
  <c r="I41" i="15" s="1"/>
  <c r="F65" i="15"/>
  <c r="G65" i="15" s="1"/>
  <c r="I65" i="15" s="1"/>
  <c r="F44" i="15"/>
  <c r="G44" i="15" s="1"/>
  <c r="I44" i="15" s="1"/>
  <c r="F45" i="15"/>
  <c r="G45" i="15" s="1"/>
  <c r="I45" i="15" s="1"/>
  <c r="F60" i="15"/>
  <c r="G60" i="15" s="1"/>
  <c r="I60" i="15" s="1"/>
  <c r="F17" i="15"/>
  <c r="G17" i="15" s="1"/>
  <c r="I17" i="15" s="1"/>
  <c r="I16" i="15" s="1"/>
  <c r="F58" i="15"/>
  <c r="G58" i="15" s="1"/>
  <c r="I58" i="15" s="1"/>
  <c r="F5" i="15"/>
  <c r="G5" i="15" s="1"/>
  <c r="I5" i="15" s="1"/>
  <c r="I4" i="15" s="1"/>
  <c r="K4" i="15" s="1"/>
  <c r="B69" i="6" s="1"/>
  <c r="F53" i="15"/>
  <c r="G53" i="15" s="1"/>
  <c r="I53" i="15" s="1"/>
  <c r="F62" i="15"/>
  <c r="G62" i="15" s="1"/>
  <c r="I62" i="15" s="1"/>
  <c r="F42" i="15"/>
  <c r="G42" i="15" s="1"/>
  <c r="I42" i="15" s="1"/>
  <c r="F63" i="15"/>
  <c r="G63" i="15" s="1"/>
  <c r="I63" i="15" s="1"/>
  <c r="F15" i="15"/>
  <c r="G15" i="15" s="1"/>
  <c r="I15" i="15" s="1"/>
  <c r="I14" i="15" s="1"/>
  <c r="K14" i="15" s="1"/>
  <c r="F31" i="15"/>
  <c r="G31" i="15" s="1"/>
  <c r="I31" i="15" s="1"/>
  <c r="F64" i="15"/>
  <c r="G64" i="15" s="1"/>
  <c r="I64" i="15" s="1"/>
  <c r="F25" i="15"/>
  <c r="G25" i="15" s="1"/>
  <c r="I25" i="15" s="1"/>
  <c r="I24" i="15" s="1"/>
  <c r="K24" i="15" s="1"/>
  <c r="F66" i="15"/>
  <c r="G66" i="15" s="1"/>
  <c r="I66" i="15" s="1"/>
  <c r="F28" i="15"/>
  <c r="G28" i="15" s="1"/>
  <c r="I28" i="15" s="1"/>
  <c r="F21" i="15"/>
  <c r="G21" i="15" s="1"/>
  <c r="I21" i="15" s="1"/>
  <c r="I20" i="15" s="1"/>
  <c r="K20" i="15" s="1"/>
  <c r="F70" i="15"/>
  <c r="F48" i="15"/>
  <c r="G48" i="15" s="1"/>
  <c r="I48" i="15" s="1"/>
  <c r="F13" i="15"/>
  <c r="G13" i="15" s="1"/>
  <c r="I13" i="15" s="1"/>
  <c r="I12" i="15" s="1"/>
  <c r="K12" i="15" s="1"/>
  <c r="F54" i="15"/>
  <c r="G54" i="15" s="1"/>
  <c r="I54" i="15" s="1"/>
  <c r="F57" i="15"/>
  <c r="G57" i="15" s="1"/>
  <c r="I57" i="15" s="1"/>
  <c r="G23" i="15"/>
  <c r="I23" i="15" s="1"/>
  <c r="I22" i="15" s="1"/>
  <c r="K22" i="15" s="1"/>
  <c r="K18" i="15"/>
  <c r="K16" i="15"/>
  <c r="B1" i="14"/>
  <c r="I43" i="15" l="1"/>
  <c r="K43" i="15" s="1"/>
  <c r="I46" i="15"/>
  <c r="K46" i="15" s="1"/>
  <c r="I39" i="15"/>
  <c r="I52" i="15"/>
  <c r="K52" i="15" s="1"/>
  <c r="B86" i="6" s="1"/>
  <c r="I26" i="15"/>
  <c r="K26" i="15" s="1"/>
  <c r="B53" i="6" s="1"/>
  <c r="I29" i="15"/>
  <c r="K29" i="15" s="1"/>
  <c r="I56" i="15"/>
  <c r="K56" i="15" s="1"/>
  <c r="B126" i="6" s="1"/>
  <c r="I61" i="15"/>
  <c r="K61" i="15" s="1"/>
  <c r="K35" i="15"/>
  <c r="K39" i="15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44" i="14" l="1"/>
  <c r="F5" i="14"/>
  <c r="F7" i="14"/>
  <c r="F48" i="14"/>
  <c r="F46" i="14"/>
  <c r="F34" i="14"/>
  <c r="F28" i="14"/>
  <c r="F11" i="14"/>
  <c r="F23" i="14"/>
  <c r="F32" i="14"/>
  <c r="F22" i="14"/>
  <c r="F49" i="14"/>
  <c r="F16" i="14"/>
  <c r="F36" i="14"/>
  <c r="F12" i="14"/>
  <c r="F26" i="14"/>
  <c r="F50" i="14"/>
  <c r="G50" i="14" s="1"/>
  <c r="F53" i="14"/>
  <c r="F39" i="14"/>
  <c r="F20" i="14"/>
  <c r="F40" i="14"/>
  <c r="F54" i="14"/>
  <c r="F30" i="14"/>
  <c r="F52" i="14"/>
  <c r="F29" i="14"/>
  <c r="F37" i="14"/>
  <c r="F19" i="14"/>
  <c r="F9" i="14"/>
  <c r="F25" i="14"/>
  <c r="F42" i="14"/>
  <c r="F14" i="14"/>
  <c r="F43" i="14"/>
  <c r="F17" i="14"/>
  <c r="F55" i="14"/>
  <c r="F33" i="14"/>
  <c r="F41" i="14"/>
  <c r="G17" i="14" l="1"/>
  <c r="I17" i="14" s="1"/>
  <c r="G11" i="14"/>
  <c r="I11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G28" i="14"/>
  <c r="I28" i="14" s="1"/>
  <c r="G52" i="14"/>
  <c r="I52" i="14" s="1"/>
  <c r="G7" i="14"/>
  <c r="I7" i="14" s="1"/>
  <c r="I6" i="14" s="1"/>
  <c r="G42" i="14"/>
  <c r="I42" i="14" s="1"/>
  <c r="G16" i="14"/>
  <c r="I16" i="14" s="1"/>
  <c r="G46" i="14"/>
  <c r="I46" i="14" s="1"/>
  <c r="I45" i="14" s="1"/>
  <c r="K45" i="14" s="1"/>
  <c r="B154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G34" i="14"/>
  <c r="I34" i="14" s="1"/>
  <c r="G37" i="14"/>
  <c r="I37" i="14" s="1"/>
  <c r="G22" i="14"/>
  <c r="I22" i="14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G19" i="14"/>
  <c r="I19" i="14" s="1"/>
  <c r="I18" i="14" s="1"/>
  <c r="K18" i="14" s="1"/>
  <c r="B101" i="6" s="1"/>
  <c r="I50" i="14"/>
  <c r="J14" i="13"/>
  <c r="I21" i="14" l="1"/>
  <c r="K21" i="14" s="1"/>
  <c r="B82" i="6" s="1"/>
  <c r="I15" i="14"/>
  <c r="K15" i="14" s="1"/>
  <c r="K6" i="14"/>
  <c r="I10" i="14"/>
  <c r="K10" i="14" s="1"/>
  <c r="I24" i="14"/>
  <c r="K24" i="14" s="1"/>
  <c r="B14" i="6" s="1"/>
  <c r="I27" i="14"/>
  <c r="I35" i="14"/>
  <c r="K35" i="14" s="1"/>
  <c r="I47" i="14"/>
  <c r="K47" i="14" s="1"/>
  <c r="B68" i="6" s="1"/>
  <c r="I38" i="14"/>
  <c r="K38" i="14" s="1"/>
  <c r="I31" i="14"/>
  <c r="K31" i="14" s="1"/>
  <c r="I51" i="14"/>
  <c r="K51" i="14" s="1"/>
  <c r="J30" i="13"/>
  <c r="J27" i="13"/>
  <c r="K27" i="14" l="1"/>
  <c r="B16" i="6" s="1"/>
  <c r="L28" i="13"/>
  <c r="L29" i="13"/>
  <c r="L26" i="13"/>
  <c r="B1" i="13" l="1"/>
  <c r="J19" i="13" l="1"/>
  <c r="E47" i="13" l="1"/>
  <c r="E44" i="13"/>
  <c r="C44" i="13"/>
  <c r="D44" i="13" s="1"/>
  <c r="C34" i="13"/>
  <c r="D34" i="13" s="1"/>
  <c r="C29" i="13"/>
  <c r="C28" i="13"/>
  <c r="C26" i="13"/>
  <c r="D26" i="13" s="1"/>
  <c r="C22" i="13"/>
  <c r="D22" i="13" s="1"/>
  <c r="C21" i="13"/>
  <c r="D21" i="13" s="1"/>
  <c r="C20" i="13"/>
  <c r="D20" i="13" s="1"/>
  <c r="D47" i="13"/>
  <c r="D46" i="13"/>
  <c r="D45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2" i="13"/>
  <c r="D31" i="13"/>
  <c r="D29" i="13"/>
  <c r="D28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31" i="6" s="1"/>
  <c r="F40" i="13"/>
  <c r="G40" i="13" s="1"/>
  <c r="I40" i="13" s="1"/>
  <c r="I39" i="13" s="1"/>
  <c r="K39" i="13" s="1"/>
  <c r="B50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B63" i="6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83" i="6" s="1"/>
  <c r="F29" i="13"/>
  <c r="G29" i="13" s="1"/>
  <c r="I29" i="13" s="1"/>
  <c r="F7" i="13"/>
  <c r="G7" i="13" s="1"/>
  <c r="I7" i="13" s="1"/>
  <c r="I19" i="13" l="1"/>
  <c r="K19" i="13" s="1"/>
  <c r="I23" i="13"/>
  <c r="K23" i="13" s="1"/>
  <c r="B28" i="6" s="1"/>
  <c r="I8" i="13"/>
  <c r="K8" i="13" s="1"/>
  <c r="I4" i="13"/>
  <c r="K4" i="13" s="1"/>
  <c r="I43" i="13"/>
  <c r="K43" i="13" s="1"/>
  <c r="I14" i="13"/>
  <c r="K14" i="13" s="1"/>
  <c r="B74" i="6" s="1"/>
  <c r="I30" i="13"/>
  <c r="K30" i="13" s="1"/>
  <c r="B136" i="6" s="1"/>
  <c r="I27" i="13"/>
  <c r="K27" i="13" s="1"/>
  <c r="B100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D26" i="11"/>
  <c r="D24" i="11"/>
  <c r="D7" i="11"/>
  <c r="F24" i="12" l="1"/>
  <c r="G24" i="12" s="1"/>
  <c r="I24" i="12" s="1"/>
  <c r="F7" i="12"/>
  <c r="G7" i="12" s="1"/>
  <c r="I7" i="12" s="1"/>
  <c r="F26" i="12"/>
  <c r="G26" i="12" s="1"/>
  <c r="I26" i="12" s="1"/>
  <c r="I25" i="12" s="1"/>
  <c r="K25" i="12" s="1"/>
  <c r="F20" i="12"/>
  <c r="G20" i="12" s="1"/>
  <c r="I20" i="12" s="1"/>
  <c r="I19" i="12" s="1"/>
  <c r="K19" i="12" s="1"/>
  <c r="F14" i="12"/>
  <c r="G14" i="12" s="1"/>
  <c r="I14" i="12" s="1"/>
  <c r="F8" i="12"/>
  <c r="G8" i="12" s="1"/>
  <c r="I8" i="12" s="1"/>
  <c r="F9" i="12"/>
  <c r="G9" i="12" s="1"/>
  <c r="I9" i="12" s="1"/>
  <c r="F23" i="12"/>
  <c r="G23" i="12" s="1"/>
  <c r="I23" i="12" s="1"/>
  <c r="I22" i="12" s="1"/>
  <c r="K22" i="12" s="1"/>
  <c r="F11" i="12"/>
  <c r="G11" i="12" s="1"/>
  <c r="I11" i="12" s="1"/>
  <c r="F6" i="12"/>
  <c r="G6" i="12" s="1"/>
  <c r="I6" i="12" s="1"/>
  <c r="F21" i="12"/>
  <c r="G21" i="12" s="1"/>
  <c r="I21" i="12" s="1"/>
  <c r="F32" i="12"/>
  <c r="G32" i="12" s="1"/>
  <c r="F12" i="12"/>
  <c r="G12" i="12" s="1"/>
  <c r="I12" i="12" s="1"/>
  <c r="I10" i="12" s="1"/>
  <c r="K10" i="12" s="1"/>
  <c r="F30" i="12"/>
  <c r="G30" i="12" s="1"/>
  <c r="I30" i="12" s="1"/>
  <c r="I29" i="12" s="1"/>
  <c r="K29" i="12" s="1"/>
  <c r="E38" i="11"/>
  <c r="F5" i="11" s="1"/>
  <c r="F28" i="12"/>
  <c r="G28" i="12" s="1"/>
  <c r="I28" i="12" s="1"/>
  <c r="I27" i="12" s="1"/>
  <c r="K27" i="12" s="1"/>
  <c r="G33" i="12"/>
  <c r="G34" i="12" s="1"/>
  <c r="F5" i="12"/>
  <c r="G5" i="12" s="1"/>
  <c r="I5" i="12" s="1"/>
  <c r="F15" i="12"/>
  <c r="G15" i="12" s="1"/>
  <c r="I15" i="12" s="1"/>
  <c r="I13" i="12" s="1"/>
  <c r="K13" i="12" s="1"/>
  <c r="F18" i="12"/>
  <c r="G18" i="12" s="1"/>
  <c r="I18" i="12" s="1"/>
  <c r="I16" i="12" s="1"/>
  <c r="K16" i="12" s="1"/>
  <c r="F37" i="11" l="1"/>
  <c r="I4" i="12"/>
  <c r="K4" i="12" s="1"/>
  <c r="B117" i="6" s="1"/>
  <c r="F12" i="11"/>
  <c r="B1" i="1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37" i="11" l="1"/>
  <c r="G12" i="11"/>
  <c r="F26" i="11"/>
  <c r="G26" i="11" s="1"/>
  <c r="I26" i="11" s="1"/>
  <c r="I25" i="11" s="1"/>
  <c r="K25" i="11" s="1"/>
  <c r="B54" i="6" s="1"/>
  <c r="F24" i="11"/>
  <c r="G24" i="11" s="1"/>
  <c r="I24" i="11" s="1"/>
  <c r="I23" i="11" s="1"/>
  <c r="K23" i="11" s="1"/>
  <c r="B38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33" i="6" s="1"/>
  <c r="F35" i="11"/>
  <c r="G35" i="11" s="1"/>
  <c r="I35" i="11" s="1"/>
  <c r="G20" i="11"/>
  <c r="I20" i="11" s="1"/>
  <c r="I19" i="11" s="1"/>
  <c r="K19" i="11" s="1"/>
  <c r="B102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2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D41" i="10" s="1"/>
  <c r="C39" i="10"/>
  <c r="D39" i="10" s="1"/>
  <c r="C33" i="10"/>
  <c r="D33" i="10" s="1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2" i="10"/>
  <c r="D31" i="10"/>
  <c r="D43" i="10"/>
  <c r="D42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23" i="10" l="1"/>
  <c r="G23" i="10" s="1"/>
  <c r="I23" i="10" s="1"/>
  <c r="F54" i="10"/>
  <c r="G54" i="10" s="1"/>
  <c r="I54" i="10" s="1"/>
  <c r="F31" i="10"/>
  <c r="G31" i="10" s="1"/>
  <c r="I31" i="10" s="1"/>
  <c r="F10" i="10"/>
  <c r="G10" i="10" s="1"/>
  <c r="I10" i="10" s="1"/>
  <c r="F21" i="10"/>
  <c r="G21" i="10" s="1"/>
  <c r="I21" i="10" s="1"/>
  <c r="F59" i="10"/>
  <c r="G59" i="10" s="1"/>
  <c r="F28" i="10"/>
  <c r="G28" i="10" s="1"/>
  <c r="I28" i="10" s="1"/>
  <c r="F27" i="10"/>
  <c r="G27" i="10" s="1"/>
  <c r="I27" i="10" s="1"/>
  <c r="F47" i="10"/>
  <c r="G47" i="10" s="1"/>
  <c r="I47" i="10" s="1"/>
  <c r="F15" i="10"/>
  <c r="G15" i="10" s="1"/>
  <c r="I15" i="10" s="1"/>
  <c r="F11" i="10"/>
  <c r="G11" i="10" s="1"/>
  <c r="I11" i="10" s="1"/>
  <c r="I9" i="10" s="1"/>
  <c r="K9" i="10" s="1"/>
  <c r="F39" i="10"/>
  <c r="G39" i="10" s="1"/>
  <c r="I39" i="10" s="1"/>
  <c r="I38" i="10" s="1"/>
  <c r="K38" i="10" s="1"/>
  <c r="F22" i="10"/>
  <c r="G22" i="10" s="1"/>
  <c r="I22" i="10" s="1"/>
  <c r="I20" i="10" s="1"/>
  <c r="K20" i="10" s="1"/>
  <c r="B90" i="6" s="1"/>
  <c r="F50" i="10"/>
  <c r="G50" i="10" s="1"/>
  <c r="I50" i="10" s="1"/>
  <c r="I49" i="10" s="1"/>
  <c r="K49" i="10" s="1"/>
  <c r="F35" i="10"/>
  <c r="G35" i="10" s="1"/>
  <c r="I35" i="10" s="1"/>
  <c r="F6" i="10"/>
  <c r="G6" i="10" s="1"/>
  <c r="I6" i="10" s="1"/>
  <c r="F29" i="10"/>
  <c r="G29" i="10" s="1"/>
  <c r="I29" i="10" s="1"/>
  <c r="F13" i="10"/>
  <c r="G13" i="10" s="1"/>
  <c r="I13" i="10" s="1"/>
  <c r="I12" i="10" s="1"/>
  <c r="K12" i="10" s="1"/>
  <c r="B158" i="6" s="1"/>
  <c r="F32" i="10"/>
  <c r="G32" i="10" s="1"/>
  <c r="I32" i="10" s="1"/>
  <c r="F5" i="10"/>
  <c r="G5" i="10" s="1"/>
  <c r="I5" i="10" s="1"/>
  <c r="I4" i="10" s="1"/>
  <c r="K4" i="10" s="1"/>
  <c r="F45" i="10"/>
  <c r="G45" i="10" s="1"/>
  <c r="I45" i="10" s="1"/>
  <c r="I44" i="10" s="1"/>
  <c r="K44" i="10" s="1"/>
  <c r="B76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124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I51" i="10" s="1"/>
  <c r="K51" i="10" s="1"/>
  <c r="F48" i="10"/>
  <c r="G48" i="10" s="1"/>
  <c r="I48" i="10" s="1"/>
  <c r="I46" i="10" s="1"/>
  <c r="K46" i="10" s="1"/>
  <c r="B145" i="6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14" i="10"/>
  <c r="K14" i="10" s="1"/>
  <c r="B134" i="6" s="1"/>
  <c r="I40" i="10" l="1"/>
  <c r="K40" i="10" s="1"/>
  <c r="B35" i="6" s="1"/>
  <c r="I17" i="10"/>
  <c r="K17" i="10" s="1"/>
  <c r="B2" i="6" s="1"/>
  <c r="I30" i="10"/>
  <c r="K30" i="10" s="1"/>
  <c r="I24" i="10"/>
  <c r="K24" i="10" s="1"/>
  <c r="B73" i="6" s="1"/>
  <c r="I34" i="10"/>
  <c r="K34" i="10" s="1"/>
  <c r="B105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D8" i="9" s="1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J28" i="4"/>
  <c r="F14" i="8" l="1"/>
  <c r="G14" i="8" s="1"/>
  <c r="I14" i="8" s="1"/>
  <c r="F15" i="8"/>
  <c r="G15" i="8" s="1"/>
  <c r="I15" i="8" s="1"/>
  <c r="F9" i="8"/>
  <c r="G9" i="8" s="1"/>
  <c r="I9" i="8" s="1"/>
  <c r="F32" i="8"/>
  <c r="G32" i="8" s="1"/>
  <c r="I32" i="8" s="1"/>
  <c r="I31" i="8" s="1"/>
  <c r="K31" i="8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I22" i="8" s="1"/>
  <c r="K22" i="8" s="1"/>
  <c r="F6" i="8"/>
  <c r="G6" i="8" s="1"/>
  <c r="I6" i="8" s="1"/>
  <c r="F11" i="8"/>
  <c r="G11" i="8" s="1"/>
  <c r="I11" i="8" s="1"/>
  <c r="F13" i="8"/>
  <c r="G13" i="8" s="1"/>
  <c r="I13" i="8" s="1"/>
  <c r="F18" i="8"/>
  <c r="G18" i="8" s="1"/>
  <c r="I18" i="8" s="1"/>
  <c r="F17" i="8"/>
  <c r="G17" i="8" s="1"/>
  <c r="I17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42" i="6" s="1"/>
  <c r="J27" i="5"/>
  <c r="I8" i="8" l="1"/>
  <c r="K8" i="8" s="1"/>
  <c r="I12" i="8"/>
  <c r="K12" i="8" s="1"/>
  <c r="B143" i="6" s="1"/>
  <c r="I16" i="8"/>
  <c r="K16" i="8" s="1"/>
  <c r="I28" i="8"/>
  <c r="K28" i="8" s="1"/>
  <c r="B9" i="6" s="1"/>
  <c r="I4" i="8"/>
  <c r="K4" i="8" s="1"/>
  <c r="B120" i="6" s="1"/>
  <c r="I19" i="8"/>
  <c r="K19" i="8" s="1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D14" i="7" s="1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E35" i="7" l="1"/>
  <c r="F10" i="7" s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84" i="6" s="1"/>
  <c r="I13" i="7"/>
  <c r="K13" i="7" s="1"/>
  <c r="B15" i="6" s="1"/>
  <c r="I19" i="7"/>
  <c r="K19" i="7" s="1"/>
  <c r="I30" i="7"/>
  <c r="K30" i="7" s="1"/>
  <c r="B155" i="6" s="1"/>
  <c r="I9" i="7"/>
  <c r="K9" i="7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119" i="6" s="1"/>
  <c r="F11" i="5"/>
  <c r="G11" i="5" s="1"/>
  <c r="I11" i="5" s="1"/>
  <c r="I36" i="5" l="1"/>
  <c r="K36" i="5" s="1"/>
  <c r="I4" i="5"/>
  <c r="K4" i="5" s="1"/>
  <c r="B141" i="6" s="1"/>
  <c r="I24" i="5"/>
  <c r="K24" i="5" s="1"/>
  <c r="I9" i="5"/>
  <c r="K9" i="5" s="1"/>
  <c r="I21" i="5"/>
  <c r="K21" i="5" s="1"/>
  <c r="B78" i="6" s="1"/>
  <c r="I27" i="5"/>
  <c r="K27" i="5" s="1"/>
  <c r="B81" i="6" s="1"/>
  <c r="I33" i="5"/>
  <c r="K33" i="5" s="1"/>
  <c r="B24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K74" i="4" s="1"/>
  <c r="G61" i="4"/>
  <c r="I61" i="4" s="1"/>
  <c r="I55" i="4" s="1"/>
  <c r="K55" i="4" s="1"/>
  <c r="B22" i="6" s="1"/>
  <c r="I20" i="4"/>
  <c r="I19" i="4" s="1"/>
  <c r="K19" i="4" s="1"/>
  <c r="I70" i="4"/>
  <c r="K70" i="4" s="1"/>
  <c r="B72" i="6" s="1"/>
  <c r="I66" i="4"/>
  <c r="K66" i="4" s="1"/>
  <c r="B106" i="6" s="1"/>
  <c r="I50" i="4"/>
  <c r="K50" i="4" s="1"/>
  <c r="I37" i="4"/>
  <c r="K37" i="4" s="1"/>
  <c r="I53" i="4"/>
  <c r="K53" i="4" s="1"/>
  <c r="I39" i="4"/>
  <c r="K39" i="4" s="1"/>
  <c r="I45" i="4"/>
  <c r="I14" i="4"/>
  <c r="K14" i="4" s="1"/>
  <c r="I7" i="4"/>
  <c r="K7" i="4" s="1"/>
  <c r="B62" i="6" s="1"/>
  <c r="I21" i="4"/>
  <c r="K21" i="4" s="1"/>
  <c r="I28" i="4"/>
  <c r="K28" i="4" s="1"/>
  <c r="B30" i="6" s="1"/>
  <c r="I24" i="4"/>
  <c r="K24" i="4" s="1"/>
  <c r="B25" i="6" s="1"/>
  <c r="I33" i="4"/>
  <c r="K33" i="4" s="1"/>
  <c r="K45" i="4" l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8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157" i="6" s="1"/>
  <c r="I37" i="3"/>
  <c r="K37" i="3" s="1"/>
  <c r="B8" i="6" s="1"/>
  <c r="I21" i="3"/>
  <c r="I26" i="3"/>
  <c r="K26" i="3" s="1"/>
  <c r="B116" i="6" s="1"/>
  <c r="I15" i="3"/>
  <c r="K15" i="3" s="1"/>
  <c r="I42" i="3"/>
  <c r="K42" i="3" s="1"/>
  <c r="B4" i="6" s="1"/>
  <c r="I32" i="3"/>
  <c r="K32" i="3" s="1"/>
  <c r="K6" i="3"/>
  <c r="B60" i="6" s="1"/>
  <c r="F46" i="2"/>
  <c r="G46" i="2" s="1"/>
  <c r="F27" i="2"/>
  <c r="G27" i="2" s="1"/>
  <c r="I27" i="2" s="1"/>
  <c r="I26" i="2" s="1"/>
  <c r="K26" i="2" s="1"/>
  <c r="B44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36" i="6" s="1"/>
  <c r="I22" i="2"/>
  <c r="K22" i="2" s="1"/>
  <c r="I5" i="2"/>
  <c r="K5" i="2" s="1"/>
  <c r="B12" i="6" s="1"/>
  <c r="I41" i="2"/>
  <c r="K41" i="2" s="1"/>
  <c r="B23" i="6" s="1"/>
  <c r="I35" i="2"/>
  <c r="K35" i="2" s="1"/>
  <c r="I28" i="2"/>
  <c r="K28" i="2" s="1"/>
  <c r="B47" i="6" s="1"/>
  <c r="I19" i="2"/>
  <c r="K19" i="2" s="1"/>
  <c r="B139" i="6" s="1"/>
  <c r="I15" i="2"/>
  <c r="K15" i="2" s="1"/>
  <c r="B142" i="6" s="1"/>
  <c r="I38" i="2"/>
  <c r="K38" i="2" s="1"/>
  <c r="B79" i="6" s="1"/>
  <c r="I10" i="2"/>
  <c r="K10" i="2" s="1"/>
  <c r="B51" i="6" s="1"/>
  <c r="I32" i="2"/>
  <c r="K32" i="2" s="1"/>
  <c r="B64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<sst xmlns="http://schemas.openxmlformats.org/spreadsheetml/2006/main" count="1714" uniqueCount="822">
  <si>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</si>
  <si>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</si>
  <si>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</si>
  <si>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</si>
  <si>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</si>
  <si>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</si>
  <si>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</si>
  <si>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</si>
  <si>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</si>
  <si>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</si>
  <si>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</si>
  <si>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</si>
  <si>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</si>
  <si>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</si>
  <si>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</si>
  <si>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</si>
  <si>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</si>
  <si>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</si>
  <si>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</si>
  <si>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</si>
  <si>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</si>
  <si>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</si>
  <si>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</si>
  <si>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</si>
  <si>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</si>
  <si>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</si>
  <si>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</si>
  <si>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</si>
  <si>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</si>
  <si>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</si>
  <si>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</si>
  <si>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</si>
  <si>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</si>
  <si>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</si>
  <si>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</si>
  <si>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</si>
  <si>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</si>
  <si>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</si>
  <si>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</si>
  <si>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</si>
  <si>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</si>
  <si>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</si>
  <si>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</si>
  <si>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</si>
  <si>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</si>
  <si>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</si>
  <si>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</si>
  <si>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</si>
  <si>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</si>
  <si>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</si>
  <si>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</si>
  <si>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</si>
  <si>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</si>
  <si>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</si>
  <si>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</si>
  <si>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</si>
  <si>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</si>
  <si>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</si>
  <si>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</si>
  <si>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</si>
  <si>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</si>
  <si>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</si>
  <si>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</si>
  <si>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</si>
  <si>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</si>
  <si>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</si>
  <si>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</si>
  <si>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</si>
  <si>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</si>
  <si>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</si>
  <si>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</si>
  <si>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</si>
  <si>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</si>
  <si>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</si>
  <si>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</si>
  <si>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</si>
  <si>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</si>
  <si>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</si>
  <si>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</si>
  <si>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</si>
  <si>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</si>
  <si>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</si>
  <si>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</si>
  <si>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</si>
  <si>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</si>
  <si>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</si>
  <si>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</si>
  <si>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</si>
  <si>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</si>
  <si>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</si>
  <si>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</si>
  <si>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</si>
  <si>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</si>
  <si>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</si>
  <si>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</si>
  <si>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</si>
  <si>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</si>
  <si>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</si>
  <si>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</si>
  <si>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</si>
  <si>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</si>
  <si>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</si>
  <si>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</si>
  <si>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</si>
  <si>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</si>
  <si>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</si>
  <si>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</si>
  <si>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</si>
  <si>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</si>
  <si>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</si>
  <si>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</si>
  <si>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</si>
  <si>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</si>
  <si>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</si>
  <si>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</si>
  <si>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</si>
  <si>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</si>
  <si>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</si>
  <si>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</si>
  <si>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</si>
  <si>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</si>
  <si>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</si>
  <si>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</si>
  <si>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</si>
  <si>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</si>
  <si>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</si>
  <si>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</si>
  <si>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</si>
  <si>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</si>
  <si>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</si>
  <si>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</si>
  <si>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</si>
  <si>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</si>
  <si>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</si>
  <si>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</si>
  <si>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</si>
  <si>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</si>
  <si>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</si>
  <si>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</si>
  <si>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</si>
  <si>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</si>
  <si>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</si>
  <si>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</si>
  <si>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</si>
  <si>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</si>
  <si>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</si>
  <si>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</si>
  <si>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</si>
  <si>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</si>
  <si>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</si>
  <si>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</si>
  <si>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</si>
  <si>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</si>
  <si>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</si>
  <si>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</si>
  <si>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</si>
  <si>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</si>
  <si>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</si>
  <si>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</si>
  <si>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</si>
  <si>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</si>
  <si>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</si>
  <si>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</si>
  <si>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</si>
  <si>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</si>
  <si>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</si>
  <si>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</si>
  <si>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</si>
  <si>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</si>
  <si>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</si>
  <si>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</si>
  <si>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</si>
  <si>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</si>
  <si>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</si>
  <si>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</si>
  <si>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</si>
  <si>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</si>
  <si>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</si>
  <si>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</si>
  <si>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</si>
  <si>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</si>
  <si>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</si>
  <si>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</si>
  <si>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</si>
  <si>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</si>
  <si>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</si>
  <si>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</si>
  <si>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</si>
  <si>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</si>
  <si>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</si>
  <si>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</si>
  <si>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</si>
  <si>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</si>
  <si>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</si>
  <si>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</si>
  <si>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</si>
  <si>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</si>
  <si>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</si>
  <si>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</si>
  <si>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</si>
  <si>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</si>
  <si>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</si>
  <si>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</si>
  <si>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</si>
  <si>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</si>
  <si>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</si>
  <si>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</si>
  <si>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</si>
  <si>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</si>
  <si>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</si>
  <si>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</si>
  <si>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</si>
  <si>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</si>
  <si>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</si>
  <si>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</si>
  <si>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</si>
  <si>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</si>
  <si>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</si>
  <si>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</si>
  <si>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</si>
  <si>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</si>
  <si>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</si>
  <si>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</si>
  <si>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</si>
  <si>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</si>
  <si>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</si>
  <si>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</si>
  <si>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</si>
  <si>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</si>
  <si>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</si>
  <si>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</si>
  <si>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</si>
  <si>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</si>
  <si>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</si>
  <si>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</si>
  <si>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</si>
  <si>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</si>
  <si>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</si>
  <si>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</si>
  <si>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</si>
  <si>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</si>
  <si>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</si>
  <si>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</si>
  <si>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</si>
  <si>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</si>
  <si>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</si>
  <si>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</si>
  <si>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</si>
  <si>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</si>
  <si>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</si>
  <si>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</si>
  <si>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</si>
  <si>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</si>
  <si>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</si>
  <si>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</si>
  <si>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</si>
  <si>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</si>
  <si>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</si>
  <si>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</si>
  <si>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</si>
  <si>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</si>
  <si>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</si>
  <si>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</si>
  <si>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</si>
  <si>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</si>
  <si>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</si>
  <si>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</si>
  <si>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</si>
  <si>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</si>
  <si>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</si>
  <si>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</si>
  <si>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</si>
  <si>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</si>
  <si>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</si>
  <si>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</si>
  <si>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</si>
  <si>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</si>
  <si>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</si>
  <si>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</si>
  <si>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</si>
  <si>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</si>
  <si>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</si>
  <si>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</si>
  <si>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</si>
  <si>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</si>
  <si>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</si>
  <si>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</si>
  <si>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</si>
  <si>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</si>
  <si>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</si>
  <si>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</si>
  <si>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</si>
  <si>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</si>
  <si>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</si>
  <si>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</si>
  <si>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</si>
  <si>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</si>
  <si>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</si>
  <si>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</si>
  <si>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</si>
  <si>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</si>
  <si>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</si>
  <si>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</si>
  <si>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</si>
  <si>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</si>
  <si>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</si>
  <si>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</si>
  <si>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</si>
  <si>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</si>
  <si>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</si>
  <si>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</si>
  <si>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</si>
  <si>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</si>
  <si>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</si>
  <si>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</si>
  <si>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</si>
  <si>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</si>
  <si>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</si>
  <si>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</si>
  <si>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</si>
  <si>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</si>
  <si>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</si>
  <si>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</si>
  <si>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</si>
  <si>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</si>
  <si>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</si>
  <si>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</si>
  <si>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</si>
  <si>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</si>
  <si>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</si>
  <si>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</si>
  <si>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</si>
  <si>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</si>
  <si>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</si>
  <si>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</si>
  <si>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</si>
  <si>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</si>
  <si>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</si>
  <si>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</si>
  <si>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</si>
  <si>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</si>
  <si>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</si>
  <si>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</si>
  <si>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</si>
  <si>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</si>
  <si>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</si>
  <si>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</si>
  <si>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</si>
  <si>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</si>
  <si>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</si>
  <si>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</si>
  <si>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</si>
  <si>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</si>
  <si>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</si>
  <si>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</si>
  <si>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</si>
  <si>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</si>
  <si>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</si>
  <si>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</si>
  <si>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</si>
  <si>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</si>
  <si>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</si>
  <si>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</si>
  <si>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</si>
  <si>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</si>
  <si>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</si>
  <si>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</si>
  <si>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</si>
  <si>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</si>
  <si>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</si>
  <si>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</si>
  <si>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</si>
  <si>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</si>
  <si>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</si>
  <si>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</si>
  <si>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</si>
  <si>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</si>
  <si>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</si>
  <si>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</si>
  <si>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</si>
  <si>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</si>
  <si>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</si>
  <si>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</si>
  <si>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</si>
  <si>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</si>
  <si>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</si>
  <si>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</si>
  <si>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</si>
  <si>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</si>
  <si>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</si>
  <si>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</si>
  <si>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</si>
  <si>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</si>
  <si>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</si>
  <si>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</si>
  <si>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</si>
  <si>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</si>
  <si>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</si>
  <si>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</si>
  <si>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</si>
  <si>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</si>
  <si>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</si>
  <si>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</si>
  <si>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</si>
  <si>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</si>
  <si>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</si>
  <si>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</si>
  <si>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</si>
  <si>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</si>
  <si>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</si>
  <si>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</si>
  <si>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</si>
  <si>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</si>
  <si>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</si>
  <si>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</si>
  <si>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</si>
  <si>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</si>
  <si>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</si>
  <si>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</si>
  <si>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</si>
  <si>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</si>
  <si>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</si>
  <si>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</si>
  <si>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</si>
  <si>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</si>
  <si>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</si>
  <si>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</si>
  <si>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</si>
  <si>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</si>
  <si>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</si>
  <si>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</si>
  <si>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</si>
  <si>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</si>
  <si>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</si>
  <si>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</si>
  <si>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</si>
  <si>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</si>
  <si>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</si>
  <si>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</si>
  <si>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</si>
  <si>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</si>
  <si>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</si>
  <si>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</si>
  <si>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</si>
  <si>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</si>
  <si>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</si>
  <si>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</si>
  <si>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</si>
  <si>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</si>
  <si>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</si>
  <si>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</si>
  <si>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</si>
  <si>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</si>
  <si>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</si>
  <si>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</si>
  <si>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</si>
  <si>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</si>
  <si>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</si>
  <si>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</si>
  <si>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</si>
  <si>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</si>
  <si>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</si>
  <si>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</si>
  <si>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</si>
  <si>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</si>
  <si>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</si>
  <si>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</si>
  <si>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5, 8, 9,11, 12, 13</t>
  </si>
  <si>
    <t>учтено</t>
  </si>
  <si>
    <t>оригтара</t>
  </si>
  <si>
    <t>Ohra</t>
  </si>
  <si>
    <t>IAU cream Silky Repair  200мл</t>
  </si>
  <si>
    <t>splashing water</t>
  </si>
  <si>
    <t xml:space="preserve">Эссенция для кончиков волос IAU Mother Essence </t>
  </si>
  <si>
    <t xml:space="preserve">Ванри </t>
  </si>
  <si>
    <t xml:space="preserve">LEBEL PROEDIT HAIR TREATMENT BOUNCE FIT plus + 200 мл </t>
  </si>
  <si>
    <t xml:space="preserve">luddy </t>
  </si>
  <si>
    <t>IAU cream Melt Repair 200мл</t>
  </si>
  <si>
    <t xml:space="preserve">ANOR </t>
  </si>
  <si>
    <t>LebeL IAU Serum Cream 100мл</t>
  </si>
  <si>
    <t xml:space="preserve">vfkbyf </t>
  </si>
  <si>
    <t xml:space="preserve">VTA </t>
  </si>
  <si>
    <t>LebeL IAU Serum Cream 300мл</t>
  </si>
  <si>
    <t>LEBEL PROEDIT SHAMPOO BOUNCE FIT Шампунь 400мл</t>
  </si>
  <si>
    <t xml:space="preserve">Lolly </t>
  </si>
  <si>
    <t xml:space="preserve">LEBEL PROEDIT HAIR TREATMENT BOUNCE FIT plus + 100 мл </t>
  </si>
  <si>
    <t xml:space="preserve">Магнолия </t>
  </si>
  <si>
    <t>IAU cream Melt Repair 100мл</t>
  </si>
  <si>
    <t>mari.nssk</t>
  </si>
  <si>
    <t xml:space="preserve">Разглаживающий крем Trie TUNER CREAM O </t>
  </si>
  <si>
    <t>LebeL IAU Serum Cream 200мл</t>
  </si>
  <si>
    <t>LEBEL PROEDIT HAIR TREATMENT THROUGH FIT  300мл</t>
  </si>
  <si>
    <t>LEBEL PROEDIT HAIR TREATMENT THROUGH FIT  100мл</t>
  </si>
  <si>
    <t>Tiffany:)))</t>
  </si>
  <si>
    <t xml:space="preserve">АлисаЛиса </t>
  </si>
  <si>
    <t xml:space="preserve">Котя84 </t>
  </si>
  <si>
    <t>LEBEL PROEDIT SHAMPOO BOUNCE FIT Шампунь 200мл</t>
  </si>
  <si>
    <t xml:space="preserve">submax </t>
  </si>
  <si>
    <t>LEBEL PROEDIT HAIR TREATMENT THROUGH FIT  200мл</t>
  </si>
  <si>
    <t>катя</t>
  </si>
  <si>
    <t>распылитель 1</t>
  </si>
  <si>
    <t>насадка 2</t>
  </si>
  <si>
    <t>Крем-концентрат для увлажнения волос IAU Cell Care 5M 40мл</t>
  </si>
  <si>
    <t>Эссенция для волос IAU Essence Moist 100мл </t>
  </si>
  <si>
    <t>Эссенция для волос IAU Essence Sleek 100мл </t>
  </si>
  <si>
    <t>12, 13, 14</t>
  </si>
  <si>
    <t>2, 13, 14</t>
  </si>
  <si>
    <t>LEBEL PROEDIT SHAMPOO BOUNCE FIT Шампунь 500мл</t>
  </si>
  <si>
    <t xml:space="preserve">LEBEL PROEDIT HAIR TREATMENT BOUNCE FIT plus + 500 мл </t>
  </si>
  <si>
    <t>ориг</t>
  </si>
  <si>
    <t>545р вернула 26.10</t>
  </si>
  <si>
    <r>
      <t xml:space="preserve">Кондиционер Очиститель </t>
    </r>
    <r>
      <rPr>
        <b/>
        <sz val="9"/>
        <color rgb="FFFF0000"/>
        <rFont val="Verdana"/>
        <family val="2"/>
        <charset val="204"/>
      </rPr>
      <t>Cool Orange М</t>
    </r>
    <r>
      <rPr>
        <sz val="9"/>
        <color rgb="FF000000"/>
        <rFont val="Verdana"/>
        <family val="2"/>
        <charset val="204"/>
      </rPr>
      <t xml:space="preserve"> 130мл</t>
    </r>
  </si>
  <si>
    <t>LEBEL PROEDIT HAIR TREATMENT BOUNCE FIT Маска для волос - 300 мл. </t>
  </si>
  <si>
    <t>Эссенция для волос IAU Essence Forti</t>
  </si>
  <si>
    <t>Маска для волос линии PROEDIT HAIR TREATMENT SOFT FIT PLUS 250 мл (фабричная упаковка)</t>
  </si>
  <si>
    <t>EVE_8</t>
  </si>
  <si>
    <t>ламинирование Lebel LUQUIAS (150g) цвет CRL (прозрачный) </t>
  </si>
  <si>
    <t>Маска для волос линии PROEDIT HAIR TREATMENT SOFT FIT PLUS  250 мл</t>
  </si>
  <si>
    <t xml:space="preserve">CiЛена </t>
  </si>
  <si>
    <t>LEBEL PROEDIT HAIR TREATMENT BOUNCE FIT 200мл</t>
  </si>
  <si>
    <t>Lebel IAU serum cream 100 мл</t>
  </si>
  <si>
    <t>Lebel IAU serum cream 200 мл</t>
  </si>
  <si>
    <t xml:space="preserve">Ullia </t>
  </si>
  <si>
    <t>*Милая*</t>
  </si>
  <si>
    <t xml:space="preserve">ЕСветлана </t>
  </si>
  <si>
    <t xml:space="preserve">Настяка </t>
  </si>
  <si>
    <t>LEBEL PROEDIT HAIR TREATMENT THROUGH FIT 200мл</t>
  </si>
  <si>
    <t>Illi Tader</t>
  </si>
  <si>
    <t>Маска LEBEL PROEDIT SOFТ FIT 250 МЛ </t>
  </si>
  <si>
    <t>Шампунь lebel proedit soft fit 300 мл </t>
  </si>
  <si>
    <t>Алескис</t>
  </si>
  <si>
    <t>краска ОВе-9G</t>
  </si>
  <si>
    <t>оксидант 6%</t>
  </si>
  <si>
    <t>увлажняющий термальный лосьон Oasis Watering марки Lebel серии Proedit </t>
  </si>
  <si>
    <t>CARETECT набор</t>
  </si>
  <si>
    <t xml:space="preserve">Нюсиик </t>
  </si>
  <si>
    <t>Мел@мори</t>
  </si>
  <si>
    <t>LEBEL PROEDIT HAIR TREATMENT BOUNCE FIT 300мл</t>
  </si>
  <si>
    <t xml:space="preserve">0lga16 </t>
  </si>
  <si>
    <t>LEBEL PROEDIT HAIR TREATMENT THROUGH FIT 400мл</t>
  </si>
  <si>
    <t xml:space="preserve">анюта520 </t>
  </si>
  <si>
    <t>LEBEL PROEDIT HAIR TREATMENT BOUNCE FIT 100мл</t>
  </si>
  <si>
    <t>LEBEL PROEDIT HAIR TREATMENT THROUGH FIT 100мл</t>
  </si>
  <si>
    <t>IAU cream Melt Repair  100мл</t>
  </si>
  <si>
    <t>LEBEL PROEDIT HAIR TREATMENT BOUNCE FIT 400мл</t>
  </si>
  <si>
    <t>LEBEL PROEDIT HAIR TREATMENT THROUGH FIT 300мл</t>
  </si>
  <si>
    <t xml:space="preserve">  - цвет 8G - 1шт </t>
  </si>
  <si>
    <t>- цвет 9G - 3шт</t>
  </si>
  <si>
    <t>оксидант 3%</t>
  </si>
  <si>
    <t>атевС</t>
  </si>
  <si>
    <t>Lebel IAU essence shampoo</t>
  </si>
  <si>
    <t>LebeL Trie tuner CREAM 0</t>
  </si>
  <si>
    <t xml:space="preserve">аромакрем 600 мл </t>
  </si>
  <si>
    <t>Lebel IAU serum oil</t>
  </si>
  <si>
    <t>Lebel IAU serum cream 600мл</t>
  </si>
  <si>
    <t>Пробуждающий термальный лосьон Wake Watering 120гр</t>
  </si>
  <si>
    <t>Кондиционер очиститель COOL ORANGE 130гр</t>
  </si>
  <si>
    <t>12, 15</t>
  </si>
  <si>
    <t>14, 15</t>
  </si>
  <si>
    <t>9,11, 15</t>
  </si>
  <si>
    <t>ориг.тара</t>
  </si>
  <si>
    <t>возврат</t>
  </si>
  <si>
    <t>LebeL proedit  3 Curl fit (20mlX12)</t>
  </si>
  <si>
    <t>Macovsky</t>
  </si>
  <si>
    <r>
      <t xml:space="preserve">Lebel LUQUIAS цветной фитоламинат </t>
    </r>
    <r>
      <rPr>
        <b/>
        <sz val="11"/>
        <color rgb="FFFF0000"/>
        <rFont val="Calibri"/>
        <family val="2"/>
        <charset val="204"/>
        <scheme val="minor"/>
      </rPr>
      <t>A/L</t>
    </r>
  </si>
  <si>
    <t>цвет 8G</t>
  </si>
  <si>
    <t>цвет 9G</t>
  </si>
  <si>
    <t>juli160884</t>
  </si>
  <si>
    <t xml:space="preserve">MATERIA GREY - MT 8 2 шт., , </t>
  </si>
  <si>
    <t>Lebel MATERIA GREY - V8 1 шт.</t>
  </si>
  <si>
    <t>LebeL PROEDIT HAIR TREATMENT SOFT FIT PLUS 400мл</t>
  </si>
  <si>
    <t>Масло для восстановления волос viege Oil 90мл</t>
  </si>
  <si>
    <t>краска фирмы lebel, краска ОВе-9G, </t>
  </si>
  <si>
    <t>vaska</t>
  </si>
  <si>
    <t>Lebel IAU CELLCARE 2 150ml </t>
  </si>
  <si>
    <t>Котка</t>
  </si>
  <si>
    <t>LebeL PROEDIT HAIR TREATMENT SOFT FIT PLUS 300мл</t>
  </si>
  <si>
    <t>LebeL PROEDIT HAIR TREATMENT SOFT FIT PLUS 100мл</t>
  </si>
  <si>
    <t>CiЛена</t>
  </si>
  <si>
    <t>LebeL PROEDIT HAIR TREATMENT SOFT FIT PLUS 200мл</t>
  </si>
  <si>
    <t>GLAN</t>
  </si>
  <si>
    <t>LEBEL Cool Orang UC шампунь 200мл</t>
  </si>
  <si>
    <t>LEBEL PROSCENIA SHAMPOO 100мл</t>
  </si>
  <si>
    <t>tany100</t>
  </si>
  <si>
    <t>Svetik_nv</t>
  </si>
  <si>
    <t>LenaF</t>
  </si>
  <si>
    <t>Котя84</t>
  </si>
  <si>
    <t>IAU cream Melt Repair  200мл</t>
  </si>
  <si>
    <t>LEBEL Cool Orang UC шампунь 400мл</t>
  </si>
  <si>
    <t>Елена........</t>
  </si>
  <si>
    <t>LEBEL PROEDIT HAIR TREATMENT BOUNCE FIT plus 700мл</t>
  </si>
  <si>
    <t>Есветлана</t>
  </si>
  <si>
    <t>LEBEL PROEDIT HAIR TREATMENT BOUNCE FIT plus 100мл</t>
  </si>
  <si>
    <t>EGG PROTEIN 140 мл </t>
  </si>
  <si>
    <t>IAU cream melt repair 200 мл. фабричная</t>
  </si>
  <si>
    <t>Насьяна</t>
  </si>
  <si>
    <t>LEBEL PROEDIT HAIR TREATMENT BOUNCE FIT plus  200мл</t>
  </si>
  <si>
    <t>Jane26</t>
  </si>
  <si>
    <t>LEBEL PROSCENIA SHAMPOO 200мл</t>
  </si>
  <si>
    <t>LEBEL PROSCENIA SHAMPOO 300мл</t>
  </si>
  <si>
    <t>bounce fit+ mask</t>
  </si>
  <si>
    <t>LEBEL PROSCENIA SHAMPOO 400мл</t>
  </si>
  <si>
    <t>LebeL viege hair treatment S</t>
  </si>
  <si>
    <t>upetren</t>
  </si>
  <si>
    <t>АлисаЛиса</t>
  </si>
  <si>
    <t>LEBEL Cool Orang UC шампунь 100мл</t>
  </si>
  <si>
    <t>Nata Morozova</t>
  </si>
  <si>
    <t>Margari</t>
  </si>
  <si>
    <t>Велька</t>
  </si>
  <si>
    <t>ssea</t>
  </si>
  <si>
    <t>blacktv</t>
  </si>
  <si>
    <t>Маска Treatment SOFT 240мл</t>
  </si>
  <si>
    <t>13, 14, 16</t>
  </si>
  <si>
    <t>13, 15, 16</t>
  </si>
  <si>
    <t>12, 13, 14, 16</t>
  </si>
  <si>
    <t>Asu</t>
  </si>
  <si>
    <t>Кондиционер Очиститель Cool Orange</t>
  </si>
  <si>
    <t>CARETECT HB color treatment V type tension waist napla</t>
  </si>
  <si>
    <t>Lebel 4.7 HAIR SOAP NOURISHING жемчужный 400мл</t>
  </si>
  <si>
    <t>LEBEL Шампунь для волос CYPRESS 300мл</t>
  </si>
  <si>
    <t>LEBEL Шампунь для волос CYPRESS 200мл</t>
  </si>
  <si>
    <t>анюта520</t>
  </si>
  <si>
    <t>LEBEL Шампунь для волос CYPRESS 100мл</t>
  </si>
  <si>
    <t>таня04</t>
  </si>
  <si>
    <t>LEBEL PROEDIT PROSCENIA TREATMENT M Маска 100мл</t>
  </si>
  <si>
    <t>Yulchikk</t>
  </si>
  <si>
    <t>parus</t>
  </si>
  <si>
    <t>Krakazjabra</t>
  </si>
  <si>
    <t>Lebel IAU serum cream 200мл</t>
  </si>
  <si>
    <t>LEBEL PROEDIT HAIR TREATMENT THROUGH FIT 500мл</t>
  </si>
  <si>
    <t>Сини4ка</t>
  </si>
  <si>
    <t>М@рковк@</t>
  </si>
  <si>
    <t>LEBEL PROEDIT PROSCENIA TREATMENT M Маска 180мл</t>
  </si>
  <si>
    <t>ася..</t>
  </si>
  <si>
    <t>LEBEL PROEDIT PROSCENIA TREATMENT M Маска 200мл</t>
  </si>
  <si>
    <t>LEBEL Cool Orang UC шампунь 500мл</t>
  </si>
  <si>
    <t>Lebel IAU serum cream 300мл</t>
  </si>
  <si>
    <t>IAU Serum OIL</t>
  </si>
  <si>
    <t>IAU CELLCARE 5S 40ml</t>
  </si>
  <si>
    <t>Oili</t>
  </si>
  <si>
    <t>Viege Root Care Mist, 180м</t>
  </si>
  <si>
    <t>Amanda_Skill</t>
  </si>
  <si>
    <t>Эссенции IAU Essence Moist, 1 шт., </t>
  </si>
  <si>
    <t>CB-7G - 1 шт. и CB-8G - 1 шт.</t>
  </si>
  <si>
    <t>Юлия_Жданова</t>
  </si>
  <si>
    <t>LEBEL PROEDIT HAIR TREATMENT BOUNCE FIT plus + 1000мл</t>
  </si>
  <si>
    <t>13, 17</t>
  </si>
  <si>
    <t>16, 17</t>
  </si>
  <si>
    <t>15, 16, 17</t>
  </si>
  <si>
    <t>12, 14, 15, 17</t>
  </si>
  <si>
    <t>6,11, 16, 17</t>
  </si>
  <si>
    <t>12, 16, 17</t>
  </si>
  <si>
    <t>3, 4, 6, 7,9, 15, 17</t>
  </si>
  <si>
    <t>MT-8G  -2шт</t>
  </si>
  <si>
    <t>ориг.упак</t>
  </si>
  <si>
    <t>маску рисовый протеин тоже небольшой объём</t>
  </si>
  <si>
    <t>netta4ka</t>
  </si>
  <si>
    <r>
      <t xml:space="preserve">Лебел вот такую: Materia G тон </t>
    </r>
    <r>
      <rPr>
        <b/>
        <sz val="11"/>
        <color rgb="FFFF0000"/>
        <rFont val="Calibri"/>
        <family val="2"/>
        <charset val="204"/>
        <scheme val="minor"/>
      </rPr>
      <t>ABe-9G</t>
    </r>
  </si>
  <si>
    <t xml:space="preserve">Elenn  </t>
  </si>
  <si>
    <t>Маска Bouns Fit литр</t>
  </si>
  <si>
    <t>Яшеничка</t>
  </si>
  <si>
    <t>Freylin</t>
  </si>
  <si>
    <t>AU cream Melt Repair 200мл</t>
  </si>
  <si>
    <t xml:space="preserve">*Милая* </t>
  </si>
  <si>
    <t>PROEDIT SHAMPOO BOUNCE FIT Шампунь 100мл</t>
  </si>
  <si>
    <t>PROEDIT SHAMPOO BOUNCE FIT Шампунь 300мл</t>
  </si>
  <si>
    <t>Julianna V</t>
  </si>
  <si>
    <t>PROEDIT HAIR TREATMENT BOUNCE FIT plus 300мл</t>
  </si>
  <si>
    <t>Госпожа УДАЧА</t>
  </si>
  <si>
    <t>Йожи</t>
  </si>
  <si>
    <t>Магнолия</t>
  </si>
  <si>
    <t>PROEDIT PROSCENIA TREATMENT L - 100мл</t>
  </si>
  <si>
    <t>PROEDIT PROSCENIA TREATMENT L - 300мл</t>
  </si>
  <si>
    <t>vfkbyf</t>
  </si>
  <si>
    <t>PROEDIT PROSCENIA TREATMENT L - 180мл</t>
  </si>
  <si>
    <t>0lga16</t>
  </si>
  <si>
    <t>PROEDIT HAIR TREATMENT THROUGH FIT 700мл</t>
  </si>
  <si>
    <t>Lebel COOL ORANGE M (mild type) (130 g)</t>
  </si>
  <si>
    <t>Lebel COOL ORANGE Scalp</t>
  </si>
  <si>
    <t>Ванри</t>
  </si>
  <si>
    <t>IAU Serum Cream 200мл</t>
  </si>
  <si>
    <t>Трона</t>
  </si>
  <si>
    <t>PROEDIT HAIR TREATMENT THROUGH FIT 300мл</t>
  </si>
  <si>
    <t>oxi10</t>
  </si>
  <si>
    <t>AU cream Melt Repair 300мл</t>
  </si>
  <si>
    <t>LebeL PROEDIT HAIR TREATMENT SOFT FIT PLUS 500мл</t>
  </si>
  <si>
    <t>Savanna</t>
  </si>
  <si>
    <t>IAU Serum Cream 400мл</t>
  </si>
  <si>
    <t>PROEDIT HAIR TREATMENT BOUNCE FIT plus 400мл</t>
  </si>
  <si>
    <t xml:space="preserve">Tiffany:))) </t>
  </si>
  <si>
    <t>PROEDIT SHAMPOO BOUNCE FIT Шампунь 200мл</t>
  </si>
  <si>
    <t>IAU Serum Cream 100мл</t>
  </si>
  <si>
    <t>PROEDIT HAIR TREATMENT BOUNCE FIT plus 200мл</t>
  </si>
  <si>
    <t>&amp;11</t>
  </si>
  <si>
    <t>AU cream Melt Repair 100мл</t>
  </si>
  <si>
    <t>PROEDIT HAIR TREATMENT BOUNCE FIT plus 100мл</t>
  </si>
  <si>
    <t>Мьюз</t>
  </si>
  <si>
    <t>LEBEL PROSCENIA SHAMPOO 500мл</t>
  </si>
  <si>
    <r>
      <t>2. Lebel MATERIA GREY перманентный краситель для седых волос WB-6 тёмный блондин тёплый 120гр - 1 шт</t>
    </r>
    <r>
      <rPr>
        <sz val="6"/>
        <color rgb="FF000000"/>
        <rFont val="Verdana"/>
        <family val="2"/>
        <charset val="204"/>
      </rPr>
      <t> </t>
    </r>
  </si>
  <si>
    <r>
      <t>3. Lebel MATERIA GREY перманентный краситель для седых волос WB-5 светлый шатен тёплый 120гр- 1 шт</t>
    </r>
    <r>
      <rPr>
        <sz val="6"/>
        <color rgb="FF000000"/>
        <rFont val="Verdana"/>
        <family val="2"/>
        <charset val="204"/>
      </rPr>
      <t> </t>
    </r>
  </si>
  <si>
    <t>4. Lebel MATERIA GREY перманентный краситель для седых волос MT-6 тёмный блондин металлик 120гр - 1 шт </t>
  </si>
  <si>
    <t>5. Lebel MATERIA GREY перманентный краситель для седых волос P-6 тёмный блондин розовый 120 гр - 1 шт </t>
  </si>
  <si>
    <t>Lebel IAU CELLCARE 5M 40ml</t>
  </si>
  <si>
    <t>LebeL Io pure booster (50 g)</t>
  </si>
  <si>
    <t>LebeL cleansing serum</t>
  </si>
  <si>
    <t>LebeL Io Serum oil</t>
  </si>
  <si>
    <t>LebeL PROEDIT HAIR TREATMENT SOFT FIT PLUS Интенсивно увлажняющая маска для волос 250мл</t>
  </si>
  <si>
    <t>LebeL IAU Serum Cream Аромакрем для увлажнения и разглаживания волос -200мл</t>
  </si>
  <si>
    <t>Я</t>
  </si>
  <si>
    <t>15, 18</t>
  </si>
  <si>
    <t>16, 18</t>
  </si>
  <si>
    <t>4, 13, 14, 15, 16, 17, 18</t>
  </si>
  <si>
    <t>9, 17, 18</t>
  </si>
  <si>
    <t>2, 14, 18</t>
  </si>
  <si>
    <t>14, 15, 18</t>
  </si>
  <si>
    <t>14, 15, 17,18</t>
  </si>
  <si>
    <t>2, 3, 4, 8, 16, 18</t>
  </si>
  <si>
    <t>16, 17, 18</t>
  </si>
  <si>
    <t>14, 16, 17, 18</t>
  </si>
  <si>
    <t>15, 17, 18</t>
  </si>
  <si>
    <t>14, 18</t>
  </si>
  <si>
    <t>13, 14, 16, 17</t>
  </si>
  <si>
    <t>17, 18</t>
  </si>
  <si>
    <t>13, 18</t>
  </si>
  <si>
    <t>454р вернула 20.08.18</t>
  </si>
  <si>
    <t>вернула 30.08.18</t>
  </si>
  <si>
    <t>PROEDIT SHAMPOO SOFT FIT 300мл</t>
  </si>
  <si>
    <t>ivanovan</t>
  </si>
  <si>
    <t>PROEDIT HAIR TREATMENT SOFT FIT PLUS 500мл</t>
  </si>
  <si>
    <t>PROEDIT HAIR TREATMENT SOFT FIT PLUS 100мл</t>
  </si>
  <si>
    <t xml:space="preserve">oxi10 </t>
  </si>
  <si>
    <t>PROSCENIA SHAMPOO 300мл</t>
  </si>
  <si>
    <t>PROEDIT HAIR TREATMENT SOFT FIT PLUS 200мл</t>
  </si>
  <si>
    <t>PROSCENIA TREATMENT M 200мл</t>
  </si>
  <si>
    <t>PROSCENIA TREATMENT M 580мл</t>
  </si>
  <si>
    <t>PROEDIT SHAMPOO SOFT FIT 700 мл</t>
  </si>
  <si>
    <t>PROEDIT HAIR TREATMENT THROUGH FIT 200мл</t>
  </si>
  <si>
    <t>Nico</t>
  </si>
  <si>
    <t xml:space="preserve">Elenn </t>
  </si>
  <si>
    <t>PROEDIT SHAMPOO BOUNCE FIT 400мл</t>
  </si>
  <si>
    <t>PROEDIT HAIR TREATMENT BOUNCE FIT plus + 200мл</t>
  </si>
  <si>
    <t>Tahira09</t>
  </si>
  <si>
    <t>PROEDIT HAIR TREATMENT BOUNCE FIT plus + 300мл</t>
  </si>
  <si>
    <t>PROSCENIA SHAMPOO 200мл</t>
  </si>
  <si>
    <t>ValyaKaktus</t>
  </si>
  <si>
    <t>Ann_T</t>
  </si>
  <si>
    <t>PROEDIT SHAMPOO BOUNCE FIT 200мл</t>
  </si>
  <si>
    <t>PROEDIT HAIR TREATMENT THROUGH FIT 100мл</t>
  </si>
  <si>
    <t>irinnochka</t>
  </si>
  <si>
    <t>PROEDIT HAIR TREATMENT THROUGH FIT 1000мл</t>
  </si>
  <si>
    <t>MamaLizo4ki</t>
  </si>
  <si>
    <t>PROSCENIA SHAMPOO 100мл</t>
  </si>
  <si>
    <t>PROSCENIA TREATMENT M 400мл</t>
  </si>
  <si>
    <t>PROSCENIA TREATMENT M 180мл</t>
  </si>
  <si>
    <t>Туффелька</t>
  </si>
  <si>
    <t>Анна Коваленко</t>
  </si>
  <si>
    <t>шампунь ультра кулл</t>
  </si>
  <si>
    <t xml:space="preserve"> Iau Cream Melt Repair </t>
  </si>
  <si>
    <t>PROSCENIA TREATMENT M 380мл</t>
  </si>
  <si>
    <t>Рина-Марина</t>
  </si>
  <si>
    <t>Lebel Trie Tuner Jell 1</t>
  </si>
  <si>
    <t>15, 18, 19</t>
  </si>
  <si>
    <t>17, 19</t>
  </si>
  <si>
    <t>14, 18,19</t>
  </si>
  <si>
    <t>3, 4, 7, 9, 10,11, 16,19</t>
  </si>
  <si>
    <t>14, 15, 16,19</t>
  </si>
  <si>
    <t>13, 14, 15, 19</t>
  </si>
  <si>
    <t xml:space="preserve"> (2 по 100 в одну)</t>
  </si>
  <si>
    <t>Евгения2582</t>
  </si>
  <si>
    <r>
      <t>PROEDIT SHAMPOO SOFT FIT</t>
    </r>
    <r>
      <rPr>
        <sz val="9"/>
        <color rgb="FF000000"/>
        <rFont val="Verdana"/>
        <family val="2"/>
        <charset val="204"/>
      </rPr>
      <t> </t>
    </r>
  </si>
  <si>
    <t>kristina88</t>
  </si>
  <si>
    <t xml:space="preserve">PROEDIT HAIR TREATMENT SOFT FIT PLUS </t>
  </si>
  <si>
    <t>Olga photo</t>
  </si>
  <si>
    <t>Русьимпорт</t>
  </si>
  <si>
    <t>РУФ</t>
  </si>
  <si>
    <t>киsуля </t>
  </si>
  <si>
    <r>
      <t>IAU cream Melt Repair</t>
    </r>
    <r>
      <rPr>
        <sz val="9"/>
        <color rgb="FF000000"/>
        <rFont val="Verdana"/>
        <family val="2"/>
        <charset val="204"/>
      </rPr>
      <t> </t>
    </r>
  </si>
  <si>
    <t xml:space="preserve">Ann_T </t>
  </si>
  <si>
    <t xml:space="preserve">Елена........ </t>
  </si>
  <si>
    <t xml:space="preserve">PROEDIT SHAMPOO BOUNCE FIT </t>
  </si>
  <si>
    <t>ох уж эта Оксана</t>
  </si>
  <si>
    <t xml:space="preserve">PROEDIT HAIR TREATMENT BOUNCE FIT </t>
  </si>
  <si>
    <t xml:space="preserve">PROEDIT HAIR TREATMENT BOUNCE FIT plus </t>
  </si>
  <si>
    <t>руф</t>
  </si>
  <si>
    <t>SugarLife</t>
  </si>
  <si>
    <t xml:space="preserve">PROSCENIA SHAMPOO </t>
  </si>
  <si>
    <t>PROSCENIA TREATMENT M</t>
  </si>
  <si>
    <t>Шампунь Cool Orange</t>
  </si>
  <si>
    <t>TRIE tuner JELL 1</t>
  </si>
  <si>
    <t>LebeL MATERIA G Brown Shade warm brown NET 120 g (hair coloring agent) (weight:160g) номер краски 9G</t>
  </si>
  <si>
    <t>LebeL MATERIA G Brown Shade warm brown NET 120 g (hair coloring agent) (weight:160g) номер краски 8G</t>
  </si>
  <si>
    <t>LebeL MATERIA OXY 3% NET 1,000 ml (oxidation type hair dye) (weight:1100g)</t>
  </si>
  <si>
    <t>LebeL proedit hairskin SPLASH RELAXING</t>
  </si>
  <si>
    <t>LebeL IAU CELLCARE 5M (NET 40ml)</t>
  </si>
  <si>
    <t>LebeL viege OIL (NET 90 ml)</t>
  </si>
  <si>
    <t>amica90</t>
  </si>
  <si>
    <t>COOL ORANGE SCALP CONDITIONER M (</t>
  </si>
  <si>
    <t>treatment BOUNCE FIT PLUS</t>
  </si>
  <si>
    <t>краска фирмы lebel краска ОВе-9G </t>
  </si>
  <si>
    <t>оксидант 6% -  1 шт.!!!</t>
  </si>
  <si>
    <t>Masha Kim</t>
  </si>
  <si>
    <t>PROEDIT SHAMPOO SOFT FIT</t>
  </si>
  <si>
    <t>МАСЛО ДЛЯ ВОССТАНОВЛЕНИЯ ВОЛОС VIEGE OIL 90МЛ </t>
  </si>
  <si>
    <t>Наименование</t>
  </si>
  <si>
    <t>УЗ</t>
  </si>
  <si>
    <t>сумма заказа</t>
  </si>
  <si>
    <t>18, 20</t>
  </si>
  <si>
    <t>6, 10, 11, 15, 16, 20</t>
  </si>
  <si>
    <t>2, 3, 4, 6, 8, 12, 15, 18,20</t>
  </si>
  <si>
    <t>15, 16,20</t>
  </si>
  <si>
    <t>4, 5, 6, 7, 8, 11, 12, 18,19, 20</t>
  </si>
  <si>
    <t>15, 20</t>
  </si>
  <si>
    <t>19, 20</t>
  </si>
  <si>
    <t>16, 20</t>
  </si>
  <si>
    <t>16, 17, 19, 20</t>
  </si>
  <si>
    <t>18,19, 20</t>
  </si>
  <si>
    <t>12, 13, 15, 16, 18,19, 20</t>
  </si>
  <si>
    <t>4, 7, 10,11, 19</t>
  </si>
  <si>
    <t>15, 16. 20</t>
  </si>
  <si>
    <t>7, 19</t>
  </si>
  <si>
    <t>17, 18,19,20</t>
  </si>
  <si>
    <t>17, 18, 20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</si>
</sst>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Verdana"/>
      <family val="2"/>
      <charset val="204"/>
    </font>
    <font>
      <sz val="6"/>
      <color rgb="FF000000"/>
      <name val="Verdana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5" fillId="0" borderId="7" xfId="0" applyFont="1" applyFill="1" applyBorder="1"/>
    <xf numFmtId="0" fontId="1" fillId="2" borderId="1" xfId="0" applyFont="1" applyFill="1" applyBorder="1" applyAlignment="1">
      <alignment horizontal="right" wrapText="1"/>
    </xf>
    <xf numFmtId="0" fontId="0" fillId="0" borderId="1" xfId="0" applyFill="1" applyBorder="1"/>
    <xf numFmtId="0" fontId="6" fillId="0" borderId="1" xfId="0" applyFont="1" applyBorder="1"/>
    <xf numFmtId="0" fontId="0" fillId="0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14" fontId="28" fillId="0" borderId="0" xfId="0" applyNumberFormat="1" applyFont="1"/>
    <xf numFmtId="3" fontId="29" fillId="0" borderId="0" xfId="0" applyNumberFormat="1" applyFont="1"/>
    <xf numFmtId="0" fontId="28" fillId="0" borderId="3" xfId="0" applyFont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11" borderId="0" xfId="0" applyFill="1"/>
    <xf numFmtId="0" fontId="3" fillId="11" borderId="0" xfId="0" applyFont="1" applyFill="1"/>
    <xf numFmtId="0" fontId="1" fillId="12" borderId="1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11" borderId="1" xfId="0" applyFill="1" applyBorder="1"/>
    <xf numFmtId="0" fontId="28" fillId="11" borderId="1" xfId="0" applyFont="1" applyFill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2" fontId="28" fillId="11" borderId="1" xfId="0" applyNumberFormat="1" applyFont="1" applyFill="1" applyBorder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/>
    <xf numFmtId="0" fontId="0" fillId="13" borderId="1" xfId="0" applyFill="1" applyBorder="1" applyProtection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/>
    <xf numFmtId="2" fontId="0" fillId="13" borderId="1" xfId="0" applyNumberFormat="1" applyFill="1" applyBorder="1" applyAlignment="1">
      <alignment horizontal="center"/>
    </xf>
    <xf numFmtId="0" fontId="1" fillId="13" borderId="1" xfId="0" applyFont="1" applyFill="1" applyBorder="1" applyAlignment="1">
      <alignment wrapText="1"/>
    </xf>
    <xf numFmtId="0" fontId="15" fillId="13" borderId="1" xfId="0" applyFont="1" applyFill="1" applyBorder="1"/>
    <xf numFmtId="1" fontId="3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32" fillId="13" borderId="1" xfId="0" applyNumberFormat="1" applyFont="1" applyFill="1" applyBorder="1" applyAlignment="1">
      <alignment horizontal="center"/>
    </xf>
    <xf numFmtId="1" fontId="32" fillId="0" borderId="1" xfId="0" applyNumberFormat="1" applyFont="1" applyBorder="1" applyAlignment="1">
      <alignment horizontal="center"/>
    </xf>
    <xf numFmtId="1" fontId="32" fillId="11" borderId="1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1" fontId="30" fillId="13" borderId="1" xfId="0" applyNumberFormat="1" applyFont="1" applyFill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" fontId="30" fillId="11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99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78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125</xdr:row>
      <xdr:rowOff>182245</xdr:rowOff>
    </xdr:to>
    <xdr:sp macro="" textlink="">
      <xdr:nvSpPr>
        <xdr:cNvPr id="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0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125</xdr:row>
      <xdr:rowOff>182245</xdr:rowOff>
    </xdr:to>
    <xdr:sp macro="" textlink="">
      <xdr:nvSpPr>
        <xdr:cNvPr id="3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3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4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125</xdr:row>
      <xdr:rowOff>182245</xdr:rowOff>
    </xdr:to>
    <xdr:sp macro="" textlink="">
      <xdr:nvSpPr>
        <xdr:cNvPr id="5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5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6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125</xdr:row>
      <xdr:rowOff>182245</xdr:rowOff>
    </xdr:to>
    <xdr:sp macro="" textlink="">
      <xdr:nvSpPr>
        <xdr:cNvPr id="6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317</xdr:rowOff>
    </xdr:to>
    <xdr:sp macro="" textlink="">
      <xdr:nvSpPr>
        <xdr:cNvPr id="7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245"/>
    <xdr:sp macro="" textlink="">
      <xdr:nvSpPr>
        <xdr:cNvPr id="7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7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501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501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8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245"/>
    <xdr:sp macro="" textlink="">
      <xdr:nvSpPr>
        <xdr:cNvPr id="8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82880"/>
    <xdr:sp macro="" textlink="">
      <xdr:nvSpPr>
        <xdr:cNvPr id="9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670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182245</xdr:rowOff>
    </xdr:to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9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0</xdr:rowOff>
    </xdr:to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1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182245</xdr:rowOff>
    </xdr:to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171</xdr:rowOff>
    </xdr:to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3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182245</xdr:rowOff>
    </xdr:to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0</xdr:rowOff>
    </xdr:to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182245</xdr:rowOff>
    </xdr:to>
    <xdr:sp macro="" textlink="">
      <xdr:nvSpPr>
        <xdr:cNvPr id="15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317</xdr:rowOff>
    </xdr:to>
    <xdr:sp macro="" textlink="">
      <xdr:nvSpPr>
        <xdr:cNvPr id="15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170</xdr:rowOff>
    </xdr:to>
    <xdr:sp macro="" textlink="">
      <xdr:nvSpPr>
        <xdr:cNvPr id="1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</xdr:rowOff>
    </xdr:to>
    <xdr:sp macro="" textlink="">
      <xdr:nvSpPr>
        <xdr:cNvPr id="1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1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16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16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1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17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1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17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17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1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18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18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82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1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0"/>
    <xdr:sp macro="" textlink="">
      <xdr:nvSpPr>
        <xdr:cNvPr id="1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1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20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22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2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0"/>
    <xdr:sp macro="" textlink="">
      <xdr:nvSpPr>
        <xdr:cNvPr id="2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3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24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4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24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4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2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245"/>
    <xdr:sp macro="" textlink="">
      <xdr:nvSpPr>
        <xdr:cNvPr id="26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82880"/>
    <xdr:sp macro="" textlink="">
      <xdr:nvSpPr>
        <xdr:cNvPr id="26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190501"/>
    <xdr:sp macro="" textlink="">
      <xdr:nvSpPr>
        <xdr:cNvPr id="2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6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6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8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9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9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2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29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2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1"/>
    <xdr:sp macro="" textlink="">
      <xdr:nvSpPr>
        <xdr:cNvPr id="3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0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1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817"/>
    <xdr:sp macro="" textlink="">
      <xdr:nvSpPr>
        <xdr:cNvPr id="32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501"/>
    <xdr:sp macro="" textlink="">
      <xdr:nvSpPr>
        <xdr:cNvPr id="3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190670"/>
    <xdr:sp macro="" textlink="">
      <xdr:nvSpPr>
        <xdr:cNvPr id="3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90</xdr:row>
      <xdr:rowOff>0</xdr:rowOff>
    </xdr:from>
    <xdr:ext cx="304800" cy="190501"/>
    <xdr:sp macro="" textlink="">
      <xdr:nvSpPr>
        <xdr:cNvPr id="3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5163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90</xdr:row>
      <xdr:rowOff>0</xdr:rowOff>
    </xdr:from>
    <xdr:ext cx="304800" cy="190501"/>
    <xdr:sp macro="" textlink="">
      <xdr:nvSpPr>
        <xdr:cNvPr id="3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3258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264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0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1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42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9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0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1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topLeftCell="A139" zoomScale="80" zoomScaleNormal="80" workbookViewId="0">
      <selection activeCell="C85" sqref="C85"/>
    </sheetView>
  </sheetViews>
  <sheetFormatPr defaultRowHeight="15" x14ac:dyDescent="0.25"/>
  <cols>
    <col min="1" max="1" width="29.42578125" style="128" customWidth="1"/>
    <col min="2" max="2" width="17.28515625" style="179" customWidth="1"/>
    <col min="3" max="3" width="27.5703125" style="179" customWidth="1"/>
  </cols>
  <sheetData>
    <row r="1" spans="1:13" ht="40.5" customHeight="1" x14ac:dyDescent="0.25">
      <c r="A1" s="126" t="s">
        <v>169</v>
      </c>
      <c r="B1" s="69" t="s">
        <v>170</v>
      </c>
      <c r="C1" s="69" t="s">
        <v>172</v>
      </c>
      <c r="D1" s="70" t="s">
        <v>171</v>
      </c>
    </row>
    <row r="2" spans="1:13" x14ac:dyDescent="0.25">
      <c r="A2" s="127">
        <v>51150</v>
      </c>
      <c r="B2" s="182">
        <f>'9'!K17</f>
        <v>2.2024084363238217E-2</v>
      </c>
      <c r="C2" s="179">
        <v>9</v>
      </c>
    </row>
    <row r="3" spans="1:13" x14ac:dyDescent="0.25">
      <c r="A3" s="218" t="s">
        <v>693</v>
      </c>
      <c r="B3" s="182">
        <f>'18'!K76+'20'!K4</f>
        <v>-6964.7696371366092</v>
      </c>
      <c r="C3" s="179" t="s">
        <v>806</v>
      </c>
    </row>
    <row r="4" spans="1:13" x14ac:dyDescent="0.25">
      <c r="A4" s="128" t="s">
        <v>99</v>
      </c>
      <c r="B4" s="182">
        <f>'3'!K42+'4'!K33+'9'!K38</f>
        <v>-7.9377163718951351</v>
      </c>
      <c r="C4" s="179" t="s">
        <v>331</v>
      </c>
    </row>
    <row r="5" spans="1:13" x14ac:dyDescent="0.25">
      <c r="A5" s="124" t="s">
        <v>523</v>
      </c>
      <c r="B5" s="182">
        <f>'15'!K28+'18'!K14</f>
        <v>0.44978595670704635</v>
      </c>
      <c r="C5" s="179" t="s">
        <v>709</v>
      </c>
    </row>
    <row r="6" spans="1:13" x14ac:dyDescent="0.25">
      <c r="A6" s="218" t="s">
        <v>216</v>
      </c>
      <c r="B6" s="182">
        <f>'6'!K9+'10'!K11+'11'!K13+'15'!K81+'16'!K8+'20'!K11</f>
        <v>-4298.099110457757</v>
      </c>
      <c r="C6" s="179" t="s">
        <v>807</v>
      </c>
    </row>
    <row r="7" spans="1:13" x14ac:dyDescent="0.25">
      <c r="A7" s="198" t="s">
        <v>675</v>
      </c>
      <c r="B7" s="182">
        <f>'15'!K51+'18'!K40+'19'!K18</f>
        <v>-107.73287629086599</v>
      </c>
      <c r="C7" s="179" t="s">
        <v>761</v>
      </c>
    </row>
    <row r="8" spans="1:13" x14ac:dyDescent="0.25">
      <c r="A8" s="128" t="s">
        <v>94</v>
      </c>
      <c r="B8" s="182">
        <f>'3'!K37+'8'!K14</f>
        <v>-3.8651789382897732</v>
      </c>
      <c r="C8" s="179" t="s">
        <v>285</v>
      </c>
    </row>
    <row r="9" spans="1:13" x14ac:dyDescent="0.25">
      <c r="A9" s="128" t="s">
        <v>260</v>
      </c>
      <c r="B9" s="182">
        <f>'7n'!K28</f>
        <v>0.19436787907420694</v>
      </c>
      <c r="C9" s="179">
        <v>7</v>
      </c>
    </row>
    <row r="10" spans="1:13" x14ac:dyDescent="0.25">
      <c r="A10" s="124" t="s">
        <v>641</v>
      </c>
      <c r="B10" s="182">
        <f>'17'!K66</f>
        <v>-0.33783499999981359</v>
      </c>
      <c r="C10" s="179">
        <v>17</v>
      </c>
      <c r="M10" s="176"/>
    </row>
    <row r="11" spans="1:13" x14ac:dyDescent="0.25">
      <c r="A11" s="218" t="s">
        <v>795</v>
      </c>
      <c r="B11" s="182">
        <f>'20'!K14</f>
        <v>-2829.0692164611773</v>
      </c>
      <c r="C11" s="179">
        <v>20</v>
      </c>
    </row>
    <row r="12" spans="1:13" x14ac:dyDescent="0.25">
      <c r="A12" s="128" t="s">
        <v>18</v>
      </c>
      <c r="B12" s="182">
        <f>'2'!K5</f>
        <v>-18.360362166064988</v>
      </c>
      <c r="C12" s="179">
        <v>2</v>
      </c>
    </row>
    <row r="13" spans="1:13" x14ac:dyDescent="0.25">
      <c r="A13" s="218" t="s">
        <v>777</v>
      </c>
      <c r="B13" s="182">
        <f>'19'!K35+'20'!K17</f>
        <v>-333.36234658789266</v>
      </c>
      <c r="C13" s="179">
        <v>19.2</v>
      </c>
    </row>
    <row r="14" spans="1:13" x14ac:dyDescent="0.25">
      <c r="A14" s="128" t="s">
        <v>442</v>
      </c>
      <c r="B14" s="182">
        <f>'13'!K24+'14'!K16+'16'!K33</f>
        <v>-0.26689851483075699</v>
      </c>
      <c r="C14" s="179" t="s">
        <v>612</v>
      </c>
    </row>
    <row r="15" spans="1:13" x14ac:dyDescent="0.25">
      <c r="A15" s="128" t="s">
        <v>220</v>
      </c>
      <c r="B15" s="182">
        <f>'6'!K13</f>
        <v>56.724288616462218</v>
      </c>
      <c r="C15" s="179">
        <v>6</v>
      </c>
    </row>
    <row r="16" spans="1:13" x14ac:dyDescent="0.25">
      <c r="A16" s="124" t="s">
        <v>445</v>
      </c>
      <c r="B16" s="182">
        <f>'13'!K27</f>
        <v>-6.72987149164328E-3</v>
      </c>
      <c r="C16" s="179">
        <v>13</v>
      </c>
      <c r="M16" s="176"/>
    </row>
    <row r="17" spans="1:13" x14ac:dyDescent="0.25">
      <c r="A17" s="124" t="s">
        <v>615</v>
      </c>
      <c r="B17" s="182">
        <f>'17'!K6</f>
        <v>-1.0678952702702418</v>
      </c>
      <c r="C17" s="179">
        <v>17</v>
      </c>
      <c r="M17" s="176"/>
    </row>
    <row r="18" spans="1:13" x14ac:dyDescent="0.25">
      <c r="A18" s="128" t="s">
        <v>77</v>
      </c>
      <c r="B18" s="182">
        <f>'3'!K13</f>
        <v>20.366267281105991</v>
      </c>
      <c r="C18" s="179">
        <v>3</v>
      </c>
    </row>
    <row r="19" spans="1:13" x14ac:dyDescent="0.25">
      <c r="A19" s="124" t="s">
        <v>610</v>
      </c>
      <c r="B19" s="182">
        <f>'16'!K92+'18'!K24</f>
        <v>-0.41219020399836381</v>
      </c>
      <c r="C19" s="179" t="s">
        <v>710</v>
      </c>
    </row>
    <row r="20" spans="1:13" x14ac:dyDescent="0.25">
      <c r="A20" s="180" t="s">
        <v>283</v>
      </c>
      <c r="B20" s="182">
        <f>'2'!K22+'3'!K32+'4'!K37+'6'!K7+'8'!K24+'12'!K19+'15'!K65+'18'!K42+'20'!K17</f>
        <v>-432.34626108799068</v>
      </c>
      <c r="C20" s="179" t="s">
        <v>808</v>
      </c>
    </row>
    <row r="21" spans="1:13" x14ac:dyDescent="0.25">
      <c r="A21" s="180" t="s">
        <v>578</v>
      </c>
      <c r="B21" s="182">
        <f>'15'!K18+'16'!K27+'20'!K21</f>
        <v>-966.77811321677302</v>
      </c>
      <c r="C21" s="179" t="s">
        <v>809</v>
      </c>
    </row>
    <row r="22" spans="1:13" x14ac:dyDescent="0.25">
      <c r="A22" s="128" t="s">
        <v>146</v>
      </c>
      <c r="B22" s="182">
        <f>'4'!K55+'5'!K24</f>
        <v>1.4832353088727359</v>
      </c>
      <c r="C22" s="179" t="s">
        <v>209</v>
      </c>
    </row>
    <row r="23" spans="1:13" x14ac:dyDescent="0.25">
      <c r="A23" s="128" t="s">
        <v>54</v>
      </c>
      <c r="B23" s="182">
        <f>'2'!K41+'8'!K4</f>
        <v>0.23645473267038142</v>
      </c>
      <c r="C23" s="179" t="s">
        <v>284</v>
      </c>
    </row>
    <row r="24" spans="1:13" x14ac:dyDescent="0.25">
      <c r="A24" s="128" t="s">
        <v>201</v>
      </c>
      <c r="B24" s="182">
        <f>'5'!K33</f>
        <v>0.14392093673404815</v>
      </c>
      <c r="C24" s="179">
        <v>5</v>
      </c>
      <c r="M24" s="176"/>
    </row>
    <row r="25" spans="1:13" x14ac:dyDescent="0.25">
      <c r="A25" s="124" t="s">
        <v>122</v>
      </c>
      <c r="B25" s="182">
        <f>'4'!K24</f>
        <v>-0.19496901104821518</v>
      </c>
      <c r="C25" s="179">
        <v>4</v>
      </c>
    </row>
    <row r="26" spans="1:13" x14ac:dyDescent="0.25">
      <c r="A26" s="218" t="s">
        <v>143</v>
      </c>
      <c r="B26" s="182">
        <f>'4'!K50+'5'!K36+'6'!K19+'7n'!K33+'8'!K18+'11'!K16+'12'!K33+'18'!K8+'19'!K23+'20'!K22</f>
        <v>-1908.7154143989242</v>
      </c>
      <c r="C26" s="179" t="s">
        <v>810</v>
      </c>
    </row>
    <row r="27" spans="1:13" x14ac:dyDescent="0.25">
      <c r="A27" s="218" t="s">
        <v>515</v>
      </c>
      <c r="B27" s="182">
        <f>'15'!K14+'20'!K24</f>
        <v>-930.85876274028635</v>
      </c>
      <c r="C27" s="179" t="s">
        <v>811</v>
      </c>
    </row>
    <row r="28" spans="1:13" x14ac:dyDescent="0.25">
      <c r="A28" s="124" t="s">
        <v>434</v>
      </c>
      <c r="B28" s="182">
        <f>'12'!K23+'13'!K15+'14'!K61</f>
        <v>24.25875409505943</v>
      </c>
      <c r="C28" s="179" t="s">
        <v>505</v>
      </c>
    </row>
    <row r="29" spans="1:13" x14ac:dyDescent="0.25">
      <c r="A29" s="124" t="s">
        <v>336</v>
      </c>
      <c r="B29" s="182">
        <f>'10'!K4+'11'!K10</f>
        <v>38.703111418328263</v>
      </c>
      <c r="C29" s="179" t="s">
        <v>384</v>
      </c>
    </row>
    <row r="30" spans="1:13" x14ac:dyDescent="0.25">
      <c r="A30" s="124" t="s">
        <v>126</v>
      </c>
      <c r="B30" s="182">
        <f>'4'!K28+'9'!K9</f>
        <v>0.29688413578378459</v>
      </c>
      <c r="C30" s="179">
        <v>4.9000000000000004</v>
      </c>
    </row>
    <row r="31" spans="1:13" x14ac:dyDescent="0.25">
      <c r="A31" s="124" t="s">
        <v>419</v>
      </c>
      <c r="B31" s="182">
        <f>'12'!K41+'15'!K16</f>
        <v>0.10667034423772748</v>
      </c>
      <c r="C31" s="179" t="s">
        <v>557</v>
      </c>
    </row>
    <row r="32" spans="1:13" x14ac:dyDescent="0.25">
      <c r="A32" s="218" t="s">
        <v>661</v>
      </c>
      <c r="B32" s="182">
        <f>'18'!K12+'20'!K25</f>
        <v>-666.15388459975395</v>
      </c>
      <c r="C32" s="179" t="s">
        <v>806</v>
      </c>
    </row>
    <row r="33" spans="1:13" x14ac:dyDescent="0.25">
      <c r="A33" s="124" t="s">
        <v>347</v>
      </c>
      <c r="B33" s="182">
        <f>'10'!K21</f>
        <v>1.5995609988053729</v>
      </c>
      <c r="C33" s="179">
        <v>10</v>
      </c>
    </row>
    <row r="34" spans="1:13" x14ac:dyDescent="0.25">
      <c r="A34" s="124" t="s">
        <v>580</v>
      </c>
      <c r="B34" s="182">
        <f>'16'!K29</f>
        <v>0.1401196892338703</v>
      </c>
      <c r="C34" s="179">
        <v>16</v>
      </c>
    </row>
    <row r="35" spans="1:13" x14ac:dyDescent="0.25">
      <c r="A35" s="124" t="s">
        <v>319</v>
      </c>
      <c r="B35" s="182">
        <f>'9'!K40</f>
        <v>0.46922662433371443</v>
      </c>
      <c r="C35" s="179">
        <v>9</v>
      </c>
    </row>
    <row r="36" spans="1:13" x14ac:dyDescent="0.25">
      <c r="A36" s="124" t="s">
        <v>13</v>
      </c>
      <c r="B36" s="182">
        <f>'3'!K21+'4'!K62+'6'!K27+'7n'!K19+'9'!K4+'15'!K42+'17'!K8</f>
        <v>1.8951314426071235</v>
      </c>
      <c r="C36" s="179" t="s">
        <v>652</v>
      </c>
    </row>
    <row r="37" spans="1:13" x14ac:dyDescent="0.25">
      <c r="A37" s="124" t="s">
        <v>527</v>
      </c>
      <c r="B37" s="182">
        <f>'15'!K36</f>
        <v>0.21980348767056057</v>
      </c>
      <c r="C37" s="179">
        <v>15</v>
      </c>
    </row>
    <row r="38" spans="1:13" x14ac:dyDescent="0.25">
      <c r="A38" s="124" t="s">
        <v>349</v>
      </c>
      <c r="B38" s="182">
        <f>'10'!K23</f>
        <v>3.2743230371329446</v>
      </c>
      <c r="C38" s="179">
        <v>10</v>
      </c>
    </row>
    <row r="39" spans="1:13" x14ac:dyDescent="0.25">
      <c r="A39" s="124" t="s">
        <v>748</v>
      </c>
      <c r="B39" s="182">
        <f>'19'!K38</f>
        <v>9.4061495189180278E-2</v>
      </c>
      <c r="C39" s="179">
        <v>19</v>
      </c>
      <c r="M39" s="176"/>
    </row>
    <row r="40" spans="1:13" x14ac:dyDescent="0.25">
      <c r="A40" s="218" t="s">
        <v>727</v>
      </c>
      <c r="B40" s="182">
        <f>'19'!K7+'20'!K26</f>
        <v>-1172.0446348917217</v>
      </c>
      <c r="C40" s="179" t="s">
        <v>812</v>
      </c>
    </row>
    <row r="41" spans="1:13" x14ac:dyDescent="0.25">
      <c r="A41" s="124" t="s">
        <v>597</v>
      </c>
      <c r="B41" s="182">
        <f>'4'!K45+'13'!K8+'14'!K18+'15'!K30+'16'!K63+'17'!K51+'18'!K32</f>
        <v>-0.28496305172495795</v>
      </c>
      <c r="C41" s="179" t="s">
        <v>711</v>
      </c>
    </row>
    <row r="42" spans="1:13" x14ac:dyDescent="0.25">
      <c r="A42" s="124" t="s">
        <v>257</v>
      </c>
      <c r="B42" s="182">
        <f>'7n'!K25</f>
        <v>0.3532323638573871</v>
      </c>
      <c r="C42" s="179">
        <v>7</v>
      </c>
    </row>
    <row r="43" spans="1:13" x14ac:dyDescent="0.25">
      <c r="A43" s="124" t="s">
        <v>326</v>
      </c>
      <c r="B43" s="182">
        <f>'9'!K51+'17'!K38+'18'!K4</f>
        <v>0.26960498269409072</v>
      </c>
      <c r="C43" s="179" t="s">
        <v>712</v>
      </c>
    </row>
    <row r="44" spans="1:13" x14ac:dyDescent="0.25">
      <c r="A44" s="124" t="s">
        <v>41</v>
      </c>
      <c r="B44" s="182">
        <f>'2'!K26+'4'!K12+'10'!K30</f>
        <v>4.7255136871676768</v>
      </c>
      <c r="C44" s="179" t="s">
        <v>362</v>
      </c>
    </row>
    <row r="45" spans="1:13" x14ac:dyDescent="0.25">
      <c r="A45" s="124" t="s">
        <v>567</v>
      </c>
      <c r="B45" s="182">
        <f>'16'!K12+'17'!K69</f>
        <v>-24.937182364818909</v>
      </c>
      <c r="C45" s="179" t="s">
        <v>647</v>
      </c>
    </row>
    <row r="46" spans="1:13" x14ac:dyDescent="0.25">
      <c r="A46" s="124" t="s">
        <v>666</v>
      </c>
      <c r="B46" s="182">
        <f>'18'!K22</f>
        <v>0.22574187107966281</v>
      </c>
      <c r="C46" s="179">
        <v>18</v>
      </c>
    </row>
    <row r="47" spans="1:13" x14ac:dyDescent="0.25">
      <c r="A47" s="124" t="s">
        <v>42</v>
      </c>
      <c r="B47" s="182">
        <f>'2'!K28+'13'!K4+'14'!K24</f>
        <v>10.150760020069583</v>
      </c>
      <c r="C47" s="179" t="s">
        <v>506</v>
      </c>
    </row>
    <row r="48" spans="1:13" x14ac:dyDescent="0.25">
      <c r="A48" s="124" t="s">
        <v>627</v>
      </c>
      <c r="B48" s="182">
        <f>'17'!K33</f>
        <v>1.5364777027027685</v>
      </c>
      <c r="C48" s="179">
        <v>17</v>
      </c>
    </row>
    <row r="49" spans="1:13" x14ac:dyDescent="0.25">
      <c r="A49" s="218" t="s">
        <v>770</v>
      </c>
      <c r="B49" s="182">
        <f>'20'!K27</f>
        <v>-1948.5515905414213</v>
      </c>
      <c r="C49" s="179">
        <v>20</v>
      </c>
    </row>
    <row r="50" spans="1:13" x14ac:dyDescent="0.25">
      <c r="A50" s="124" t="s">
        <v>417</v>
      </c>
      <c r="B50" s="182">
        <f>'12'!K39</f>
        <v>117.27201612050521</v>
      </c>
      <c r="C50" s="179">
        <v>12</v>
      </c>
    </row>
    <row r="51" spans="1:13" x14ac:dyDescent="0.25">
      <c r="A51" s="124" t="s">
        <v>23</v>
      </c>
      <c r="B51" s="182">
        <f>'2'!K10+'4'!K53</f>
        <v>-0.16346633469470362</v>
      </c>
      <c r="C51" s="179" t="s">
        <v>173</v>
      </c>
      <c r="L51" s="176"/>
    </row>
    <row r="52" spans="1:13" x14ac:dyDescent="0.25">
      <c r="A52" s="218" t="s">
        <v>585</v>
      </c>
      <c r="B52" s="182">
        <f>'16'!K68+'20'!K29</f>
        <v>-1209.5762530451707</v>
      </c>
      <c r="C52" s="179" t="s">
        <v>813</v>
      </c>
      <c r="L52" s="176"/>
    </row>
    <row r="53" spans="1:13" x14ac:dyDescent="0.25">
      <c r="A53" s="124" t="s">
        <v>484</v>
      </c>
      <c r="B53" s="182">
        <f>'14'!K26</f>
        <v>5.4163701639623696</v>
      </c>
      <c r="C53" s="179">
        <v>14</v>
      </c>
    </row>
    <row r="54" spans="1:13" x14ac:dyDescent="0.25">
      <c r="A54" s="124" t="s">
        <v>351</v>
      </c>
      <c r="B54" s="182">
        <f>'10'!K25+'16'!K88</f>
        <v>-0.27131711793390423</v>
      </c>
      <c r="C54" s="179">
        <v>10.16</v>
      </c>
    </row>
    <row r="55" spans="1:13" x14ac:dyDescent="0.25">
      <c r="A55" s="124" t="s">
        <v>21</v>
      </c>
      <c r="B55" s="182">
        <f>'2'!K8+'14'!K12+'18'!K56</f>
        <v>4.989156130888432</v>
      </c>
      <c r="C55" s="179" t="s">
        <v>713</v>
      </c>
    </row>
    <row r="56" spans="1:13" x14ac:dyDescent="0.25">
      <c r="A56" s="124" t="s">
        <v>563</v>
      </c>
      <c r="B56" s="182">
        <f>'16'!K6+'17'!K12</f>
        <v>0.26469681349249186</v>
      </c>
      <c r="C56" s="179" t="s">
        <v>647</v>
      </c>
      <c r="D56" s="176"/>
      <c r="E56" s="176"/>
    </row>
    <row r="57" spans="1:13" x14ac:dyDescent="0.25">
      <c r="A57" s="218" t="s">
        <v>750</v>
      </c>
      <c r="B57" s="182">
        <f>'19'!K44+'20'!K31</f>
        <v>-2176.2524753826374</v>
      </c>
      <c r="C57" s="179" t="s">
        <v>812</v>
      </c>
    </row>
    <row r="58" spans="1:13" x14ac:dyDescent="0.25">
      <c r="A58" s="124" t="s">
        <v>607</v>
      </c>
      <c r="B58" s="182">
        <f>'16'!K82</f>
        <v>-0.26176048307479505</v>
      </c>
      <c r="C58" s="179">
        <v>16</v>
      </c>
      <c r="M58" s="176"/>
    </row>
    <row r="59" spans="1:13" x14ac:dyDescent="0.25">
      <c r="A59" s="124" t="s">
        <v>488</v>
      </c>
      <c r="B59" s="182">
        <f>'14'!K32+'15'!K6+'18'!K20</f>
        <v>-0.2810514009771623</v>
      </c>
      <c r="C59" s="179" t="s">
        <v>714</v>
      </c>
    </row>
    <row r="60" spans="1:13" x14ac:dyDescent="0.25">
      <c r="A60" s="124" t="s">
        <v>70</v>
      </c>
      <c r="B60" s="182">
        <f>'3'!K6+'4'!K39+'5'!K9</f>
        <v>1.4198148523973941E-3</v>
      </c>
      <c r="C60" s="179" t="s">
        <v>208</v>
      </c>
      <c r="D60" s="176"/>
      <c r="E60" s="176"/>
    </row>
    <row r="61" spans="1:13" x14ac:dyDescent="0.25">
      <c r="A61" s="218" t="s">
        <v>800</v>
      </c>
      <c r="B61" s="182">
        <f>'20'!K34</f>
        <v>-3163.2610842357017</v>
      </c>
      <c r="C61" s="179">
        <v>20</v>
      </c>
    </row>
    <row r="62" spans="1:13" x14ac:dyDescent="0.25">
      <c r="A62" s="124" t="s">
        <v>114</v>
      </c>
      <c r="B62" s="182">
        <f>'4'!K7+'5'!K31+'6'!K17</f>
        <v>9.4405335253607063</v>
      </c>
      <c r="C62" s="179" t="s">
        <v>234</v>
      </c>
      <c r="D62" s="176"/>
      <c r="E62" s="176"/>
    </row>
    <row r="63" spans="1:13" x14ac:dyDescent="0.25">
      <c r="A63" s="124" t="s">
        <v>414</v>
      </c>
      <c r="B63" s="182">
        <f>'12'!K35+'13'!K38+'14'!K8+'16'!K14</f>
        <v>12.80067330768793</v>
      </c>
      <c r="C63" s="179" t="s">
        <v>614</v>
      </c>
    </row>
    <row r="64" spans="1:13" x14ac:dyDescent="0.25">
      <c r="A64" s="124" t="s">
        <v>46</v>
      </c>
      <c r="B64" s="182">
        <f>'2'!K32</f>
        <v>2.9856063537904447</v>
      </c>
      <c r="C64" s="179">
        <v>2</v>
      </c>
    </row>
    <row r="65" spans="1:5" x14ac:dyDescent="0.25">
      <c r="A65" s="218" t="s">
        <v>606</v>
      </c>
      <c r="B65" s="182">
        <f>'16'!K80+'17'!K24+'19'!K41+'20'!K35</f>
        <v>-317.92880629984961</v>
      </c>
      <c r="C65" s="179" t="s">
        <v>814</v>
      </c>
    </row>
    <row r="66" spans="1:5" x14ac:dyDescent="0.25">
      <c r="A66" s="128" t="s">
        <v>656</v>
      </c>
      <c r="B66" s="182">
        <f>'18'!K6</f>
        <v>-9.134485829440564E-2</v>
      </c>
      <c r="C66" s="179">
        <v>18</v>
      </c>
      <c r="D66" s="176"/>
      <c r="E66" s="176"/>
    </row>
    <row r="67" spans="1:5" x14ac:dyDescent="0.25">
      <c r="A67" s="128" t="s">
        <v>737</v>
      </c>
      <c r="B67" s="182">
        <f>'19'!K21</f>
        <v>-1.4017321095482203</v>
      </c>
      <c r="C67" s="179">
        <v>19</v>
      </c>
    </row>
    <row r="68" spans="1:5" x14ac:dyDescent="0.25">
      <c r="A68" s="124" t="s">
        <v>460</v>
      </c>
      <c r="B68" s="182">
        <f>'13'!K47</f>
        <v>24.597895717930896</v>
      </c>
      <c r="C68" s="179">
        <v>13</v>
      </c>
    </row>
    <row r="69" spans="1:5" x14ac:dyDescent="0.25">
      <c r="A69" s="124" t="s">
        <v>470</v>
      </c>
      <c r="B69" s="182">
        <f>'14'!K4</f>
        <v>6.9642760114356861</v>
      </c>
      <c r="C69" s="179">
        <v>14</v>
      </c>
    </row>
    <row r="70" spans="1:5" x14ac:dyDescent="0.25">
      <c r="A70" s="124" t="s">
        <v>639</v>
      </c>
      <c r="B70" s="182">
        <f>'17'!K60</f>
        <v>-0.48550155405246187</v>
      </c>
      <c r="C70" s="179">
        <v>17</v>
      </c>
    </row>
    <row r="71" spans="1:5" x14ac:dyDescent="0.25">
      <c r="A71" s="218" t="s">
        <v>772</v>
      </c>
      <c r="B71" s="182">
        <f>'20'!K36</f>
        <v>-720.04347684714037</v>
      </c>
      <c r="C71" s="179">
        <v>20</v>
      </c>
      <c r="D71" s="176"/>
      <c r="E71" s="176"/>
    </row>
    <row r="72" spans="1:5" x14ac:dyDescent="0.25">
      <c r="A72" s="128" t="s">
        <v>157</v>
      </c>
      <c r="B72" s="182">
        <f>'4'!K70</f>
        <v>-44.924969011048233</v>
      </c>
      <c r="C72" s="179">
        <v>4</v>
      </c>
    </row>
    <row r="73" spans="1:5" x14ac:dyDescent="0.25">
      <c r="A73" s="128" t="s">
        <v>307</v>
      </c>
      <c r="B73" s="182">
        <f>'9'!K24</f>
        <v>-0.4461356162823904</v>
      </c>
      <c r="C73" s="179">
        <v>9</v>
      </c>
      <c r="D73" s="176"/>
      <c r="E73" s="176"/>
    </row>
    <row r="74" spans="1:5" x14ac:dyDescent="0.25">
      <c r="A74" s="124" t="s">
        <v>398</v>
      </c>
      <c r="B74" s="182">
        <f>'12'!K14+'16'!K72+'17'!K42</f>
        <v>231.87413351827911</v>
      </c>
      <c r="C74" s="179" t="s">
        <v>651</v>
      </c>
    </row>
    <row r="75" spans="1:5" x14ac:dyDescent="0.25">
      <c r="A75" s="218" t="s">
        <v>683</v>
      </c>
      <c r="B75" s="182">
        <f>'18'!K59+'19'!K13+'20'!K37</f>
        <v>-2054.4320022353618</v>
      </c>
      <c r="C75" s="179" t="s">
        <v>815</v>
      </c>
    </row>
    <row r="76" spans="1:5" x14ac:dyDescent="0.25">
      <c r="A76" s="124" t="s">
        <v>323</v>
      </c>
      <c r="B76" s="182">
        <f>'9'!K44</f>
        <v>-0.31687810409346184</v>
      </c>
      <c r="C76" s="179">
        <v>9</v>
      </c>
      <c r="D76" s="176"/>
      <c r="E76" s="176"/>
    </row>
    <row r="77" spans="1:5" x14ac:dyDescent="0.25">
      <c r="A77" s="124" t="s">
        <v>626</v>
      </c>
      <c r="B77" s="182">
        <f>'17'!K31+'19'!K4</f>
        <v>0.1707948612643122</v>
      </c>
      <c r="C77" s="179" t="s">
        <v>762</v>
      </c>
    </row>
    <row r="78" spans="1:5" x14ac:dyDescent="0.25">
      <c r="A78" s="128" t="s">
        <v>192</v>
      </c>
      <c r="B78" s="182">
        <f>'5'!K21+'10'!K15</f>
        <v>200.86276228898441</v>
      </c>
      <c r="C78" s="179" t="s">
        <v>361</v>
      </c>
    </row>
    <row r="79" spans="1:5" x14ac:dyDescent="0.25">
      <c r="A79" s="128" t="s">
        <v>51</v>
      </c>
      <c r="B79" s="182">
        <f>'4'!K19+'2'!K38</f>
        <v>-25.262903624603268</v>
      </c>
      <c r="C79" s="179" t="s">
        <v>173</v>
      </c>
    </row>
    <row r="80" spans="1:5" x14ac:dyDescent="0.25">
      <c r="A80" s="124" t="s">
        <v>686</v>
      </c>
      <c r="B80" s="182">
        <f>'18'!K63</f>
        <v>-0.3168662656817105</v>
      </c>
      <c r="C80" s="179">
        <v>18</v>
      </c>
    </row>
    <row r="81" spans="1:5" x14ac:dyDescent="0.25">
      <c r="A81" s="124" t="s">
        <v>196</v>
      </c>
      <c r="B81" s="182">
        <f>'5'!K27+'8'!K9+'9'!K30+'11'!K19+'12'!K4+'13'!K31</f>
        <v>38.61418126058652</v>
      </c>
      <c r="C81" s="179" t="s">
        <v>467</v>
      </c>
    </row>
    <row r="82" spans="1:5" x14ac:dyDescent="0.25">
      <c r="A82" s="128" t="s">
        <v>439</v>
      </c>
      <c r="B82" s="182">
        <f>'13'!K21+'15'!K69+'16'!K90</f>
        <v>-2.6185335044146996E-2</v>
      </c>
      <c r="C82" s="179" t="s">
        <v>613</v>
      </c>
      <c r="D82" s="176"/>
      <c r="E82" s="176"/>
    </row>
    <row r="83" spans="1:5" x14ac:dyDescent="0.25">
      <c r="A83" s="124" t="s">
        <v>416</v>
      </c>
      <c r="B83" s="182">
        <f>'12'!K37</f>
        <v>19.183126273724156</v>
      </c>
      <c r="C83" s="179">
        <v>12</v>
      </c>
    </row>
    <row r="84" spans="1:5" x14ac:dyDescent="0.25">
      <c r="A84" s="124" t="s">
        <v>378</v>
      </c>
      <c r="B84" s="182">
        <f>'6'!K4+'11'!K22+'16'!K57+'17'!K29</f>
        <v>0.39567374373200437</v>
      </c>
      <c r="C84" s="179" t="s">
        <v>650</v>
      </c>
      <c r="D84" s="176"/>
      <c r="E84" s="176"/>
    </row>
    <row r="85" spans="1:5" x14ac:dyDescent="0.25">
      <c r="A85" s="128" t="s">
        <v>609</v>
      </c>
      <c r="B85" s="182">
        <f>'16'!K86</f>
        <v>0.15882634461695488</v>
      </c>
      <c r="C85" s="179">
        <v>16</v>
      </c>
      <c r="D85" s="176"/>
      <c r="E85" s="176"/>
    </row>
    <row r="86" spans="1:5" x14ac:dyDescent="0.25">
      <c r="A86" s="128" t="s">
        <v>497</v>
      </c>
      <c r="B86" s="182">
        <f>'14'!K52+'15'!K20</f>
        <v>-25.024184161565131</v>
      </c>
      <c r="C86" s="179" t="s">
        <v>558</v>
      </c>
    </row>
    <row r="87" spans="1:5" x14ac:dyDescent="0.25">
      <c r="A87" s="218" t="s">
        <v>784</v>
      </c>
      <c r="B87" s="182">
        <f>'20'!K39</f>
        <v>-595.65069121850649</v>
      </c>
      <c r="C87" s="179">
        <v>20</v>
      </c>
      <c r="D87" s="176"/>
      <c r="E87" s="176"/>
    </row>
    <row r="88" spans="1:5" x14ac:dyDescent="0.25">
      <c r="A88" s="128" t="s">
        <v>584</v>
      </c>
      <c r="B88" s="182">
        <f>'16'!K40</f>
        <v>6.3109172308429606E-2</v>
      </c>
      <c r="C88" s="179">
        <v>16</v>
      </c>
    </row>
    <row r="89" spans="1:5" x14ac:dyDescent="0.25">
      <c r="A89" s="128" t="s">
        <v>741</v>
      </c>
      <c r="B89" s="182">
        <f>'13'!K13+'14'!K14+'15'!K24+'19'!K28</f>
        <v>-4.2540453182937199E-2</v>
      </c>
      <c r="C89" s="179" t="s">
        <v>766</v>
      </c>
    </row>
    <row r="90" spans="1:5" x14ac:dyDescent="0.25">
      <c r="A90" s="128" t="s">
        <v>303</v>
      </c>
      <c r="B90" s="182">
        <f>'9'!K20</f>
        <v>-3.4623199909219693E-2</v>
      </c>
      <c r="C90" s="179">
        <v>9</v>
      </c>
    </row>
    <row r="91" spans="1:5" x14ac:dyDescent="0.25">
      <c r="A91" s="128" t="s">
        <v>583</v>
      </c>
      <c r="B91" s="182">
        <f>'16'!K36</f>
        <v>-3.2736483074586431E-2</v>
      </c>
      <c r="C91" s="179">
        <v>16</v>
      </c>
    </row>
    <row r="92" spans="1:5" x14ac:dyDescent="0.25">
      <c r="A92" s="180" t="s">
        <v>689</v>
      </c>
      <c r="B92" s="182">
        <f>'14'!K43+'15'!K8+'17'!K16+'18'!K67</f>
        <v>-156.82871136139283</v>
      </c>
      <c r="C92" s="179" t="s">
        <v>715</v>
      </c>
    </row>
    <row r="93" spans="1:5" x14ac:dyDescent="0.25">
      <c r="A93" s="180" t="s">
        <v>12</v>
      </c>
      <c r="B93" s="182">
        <f>'3'!K15+'4'!K14+'2'!K35+'8'!K21+'16'!K4+'18'!K44</f>
        <v>9.0333674420467105</v>
      </c>
      <c r="C93" s="179" t="s">
        <v>716</v>
      </c>
      <c r="D93" s="178"/>
      <c r="E93" s="178"/>
    </row>
    <row r="94" spans="1:5" x14ac:dyDescent="0.25">
      <c r="A94" s="124" t="s">
        <v>522</v>
      </c>
      <c r="B94" s="182">
        <f>'15'!K26</f>
        <v>29.221493709320612</v>
      </c>
      <c r="C94" s="179">
        <v>15</v>
      </c>
    </row>
    <row r="95" spans="1:5" x14ac:dyDescent="0.25">
      <c r="A95" s="124" t="s">
        <v>603</v>
      </c>
      <c r="B95" s="182">
        <f>'16'!K75+'17'!K54+'18'!K36</f>
        <v>-0.19522382779291547</v>
      </c>
      <c r="C95" s="179" t="s">
        <v>717</v>
      </c>
    </row>
    <row r="96" spans="1:5" x14ac:dyDescent="0.25">
      <c r="A96" s="218" t="s">
        <v>744</v>
      </c>
      <c r="B96" s="182">
        <f>'19'!K32+'20'!K40</f>
        <v>-1386.3633479133773</v>
      </c>
      <c r="C96" s="179" t="s">
        <v>812</v>
      </c>
    </row>
    <row r="97" spans="1:5" x14ac:dyDescent="0.25">
      <c r="A97" s="128" t="s">
        <v>573</v>
      </c>
      <c r="B97" s="182">
        <f>'16'!K21</f>
        <v>4.7879819878271519</v>
      </c>
      <c r="C97" s="179">
        <v>16</v>
      </c>
    </row>
    <row r="98" spans="1:5" x14ac:dyDescent="0.25">
      <c r="A98" s="218" t="s">
        <v>673</v>
      </c>
      <c r="B98" s="182">
        <f>'14'!K20+'15'!K57+'18'!K38</f>
        <v>0.10425708839244407</v>
      </c>
      <c r="C98" s="179" t="s">
        <v>714</v>
      </c>
    </row>
    <row r="99" spans="1:5" x14ac:dyDescent="0.25">
      <c r="A99" s="218" t="s">
        <v>673</v>
      </c>
      <c r="B99" s="182">
        <f>'20'!K42</f>
        <v>-1200.8121352513299</v>
      </c>
      <c r="C99" s="179">
        <v>20</v>
      </c>
    </row>
    <row r="100" spans="1:5" x14ac:dyDescent="0.25">
      <c r="A100" s="128" t="s">
        <v>410</v>
      </c>
      <c r="B100" s="182">
        <f>'12'!K27+'14'!K39+'15'!K10+'17'!K10</f>
        <v>2.3284446064091071</v>
      </c>
      <c r="C100" s="179" t="s">
        <v>649</v>
      </c>
      <c r="D100" s="178"/>
      <c r="E100" s="178"/>
    </row>
    <row r="101" spans="1:5" x14ac:dyDescent="0.25">
      <c r="A101" s="128" t="s">
        <v>436</v>
      </c>
      <c r="B101" s="182">
        <f>'13'!K18+'14'!K22+'16'!K54</f>
        <v>0.14453166946145757</v>
      </c>
      <c r="C101" s="179" t="s">
        <v>612</v>
      </c>
    </row>
    <row r="102" spans="1:5" x14ac:dyDescent="0.25">
      <c r="A102" s="128" t="s">
        <v>345</v>
      </c>
      <c r="B102" s="182">
        <f>'10'!K19</f>
        <v>2.1991219976107459</v>
      </c>
      <c r="C102" s="179">
        <v>10</v>
      </c>
      <c r="D102" s="178"/>
      <c r="E102" s="178"/>
    </row>
    <row r="103" spans="1:5" x14ac:dyDescent="0.25">
      <c r="A103" s="218" t="s">
        <v>392</v>
      </c>
      <c r="B103" s="182">
        <f>+'12'!K8+'13'!K51+'15'!K12+'16'!K65+'18'!K53+'19'!K63+'20'!K44</f>
        <v>-5771.722213177045</v>
      </c>
      <c r="C103" s="179" t="s">
        <v>816</v>
      </c>
      <c r="D103" s="178"/>
      <c r="E103" s="178"/>
    </row>
    <row r="104" spans="1:5" x14ac:dyDescent="0.25">
      <c r="A104" s="128" t="s">
        <v>625</v>
      </c>
      <c r="B104" s="182">
        <f>'17'!K27+'19'!K9</f>
        <v>-0.57534348720650996</v>
      </c>
      <c r="C104" s="179">
        <v>17.190000000000001</v>
      </c>
    </row>
    <row r="105" spans="1:5" x14ac:dyDescent="0.25">
      <c r="A105" s="128" t="s">
        <v>315</v>
      </c>
      <c r="B105" s="182">
        <f>'9'!K34</f>
        <v>-0.33867921533055778</v>
      </c>
      <c r="C105" s="179">
        <v>9</v>
      </c>
      <c r="D105" s="178"/>
      <c r="E105" s="178"/>
    </row>
    <row r="106" spans="1:5" x14ac:dyDescent="0.25">
      <c r="A106" s="128" t="s">
        <v>153</v>
      </c>
      <c r="B106" s="182">
        <f>'4'!K66</f>
        <v>-0.31894233360253565</v>
      </c>
      <c r="C106" s="179">
        <v>4</v>
      </c>
    </row>
    <row r="107" spans="1:5" x14ac:dyDescent="0.25">
      <c r="A107" s="124" t="s">
        <v>530</v>
      </c>
      <c r="B107" s="182">
        <f>'15'!K39+'16'!K19+'17'!K75</f>
        <v>0.35124482489027287</v>
      </c>
      <c r="C107" s="179" t="s">
        <v>648</v>
      </c>
    </row>
    <row r="108" spans="1:5" x14ac:dyDescent="0.25">
      <c r="A108" s="218" t="s">
        <v>530</v>
      </c>
      <c r="B108" s="182">
        <f>'20'!K50</f>
        <v>-4816.4517964290135</v>
      </c>
      <c r="C108" s="179">
        <v>20</v>
      </c>
    </row>
    <row r="109" spans="1:5" x14ac:dyDescent="0.25">
      <c r="A109" s="180" t="s">
        <v>604</v>
      </c>
      <c r="B109" s="182">
        <f>'14'!K46+'16'!K77+'17'!K22+'18'!K34</f>
        <v>229.50142616017854</v>
      </c>
      <c r="C109" s="179" t="s">
        <v>718</v>
      </c>
    </row>
    <row r="110" spans="1:5" x14ac:dyDescent="0.25">
      <c r="A110" s="124" t="s">
        <v>755</v>
      </c>
      <c r="B110" s="182">
        <f>'4'!K74+'7n'!K22+'10'!K33+'11'!K27+'19'!K59</f>
        <v>0.18624353632844759</v>
      </c>
      <c r="C110" s="179" t="s">
        <v>817</v>
      </c>
    </row>
    <row r="111" spans="1:5" x14ac:dyDescent="0.25">
      <c r="A111" s="180" t="s">
        <v>621</v>
      </c>
      <c r="B111" s="182">
        <f>'15'!K54+'17'!K18+'18'!K16</f>
        <v>-24.476422721040194</v>
      </c>
      <c r="C111" s="179" t="s">
        <v>719</v>
      </c>
    </row>
    <row r="112" spans="1:5" x14ac:dyDescent="0.25">
      <c r="A112" s="124" t="s">
        <v>633</v>
      </c>
      <c r="B112" s="182">
        <f>'17'!K48</f>
        <v>-0.46652169401522769</v>
      </c>
      <c r="C112" s="179">
        <v>17</v>
      </c>
    </row>
    <row r="113" spans="1:3" x14ac:dyDescent="0.25">
      <c r="A113" s="124" t="s">
        <v>549</v>
      </c>
      <c r="B113" s="182">
        <f>'15'!K61</f>
        <v>-0.38351719216370839</v>
      </c>
      <c r="C113" s="179">
        <v>15</v>
      </c>
    </row>
    <row r="114" spans="1:3" x14ac:dyDescent="0.25">
      <c r="A114" s="124" t="s">
        <v>679</v>
      </c>
      <c r="B114" s="182">
        <f>'14'!K10+'18'!K47+'19'!K48</f>
        <v>-2.0246524922636127</v>
      </c>
      <c r="C114" s="179" t="s">
        <v>763</v>
      </c>
    </row>
    <row r="115" spans="1:3" x14ac:dyDescent="0.25">
      <c r="A115" s="124" t="s">
        <v>430</v>
      </c>
      <c r="B115" s="182">
        <f>'13'!K10+'14'!K35+'16'!K84+'17'!K20</f>
        <v>11.232144939766613</v>
      </c>
      <c r="C115" s="179" t="s">
        <v>721</v>
      </c>
    </row>
    <row r="116" spans="1:3" x14ac:dyDescent="0.25">
      <c r="A116" s="128" t="s">
        <v>85</v>
      </c>
      <c r="B116" s="182">
        <f>'3'!K26+'4'!K64+'6'!K25+'7n'!K16</f>
        <v>-0.39478098394704375</v>
      </c>
      <c r="C116" s="179" t="s">
        <v>266</v>
      </c>
    </row>
    <row r="117" spans="1:3" x14ac:dyDescent="0.25">
      <c r="A117" s="128" t="s">
        <v>364</v>
      </c>
      <c r="B117" s="182">
        <f>'11'!K4</f>
        <v>0.20821044310650905</v>
      </c>
      <c r="C117" s="179">
        <v>11</v>
      </c>
    </row>
    <row r="118" spans="1:3" x14ac:dyDescent="0.25">
      <c r="A118" s="198" t="s">
        <v>668</v>
      </c>
      <c r="B118" s="182">
        <f>'18'!K26+'19'!K30</f>
        <v>-14.205321900489821</v>
      </c>
      <c r="C118" s="179">
        <v>18.190000000000001</v>
      </c>
    </row>
    <row r="119" spans="1:3" x14ac:dyDescent="0.25">
      <c r="A119" s="128" t="s">
        <v>180</v>
      </c>
      <c r="B119" s="182">
        <f>'5'!K7</f>
        <v>-0.47683953163289061</v>
      </c>
      <c r="C119" s="179">
        <v>5</v>
      </c>
    </row>
    <row r="120" spans="1:3" x14ac:dyDescent="0.25">
      <c r="A120" s="128" t="s">
        <v>239</v>
      </c>
      <c r="B120" s="182">
        <f>'7n'!K4+'8'!K26</f>
        <v>0.23651123391709916</v>
      </c>
      <c r="C120" s="179" t="s">
        <v>286</v>
      </c>
    </row>
    <row r="121" spans="1:3" x14ac:dyDescent="0.25">
      <c r="A121" s="218" t="s">
        <v>768</v>
      </c>
      <c r="B121" s="182">
        <f>'20'!K52</f>
        <v>-2029.8101305414211</v>
      </c>
      <c r="C121" s="179">
        <v>20</v>
      </c>
    </row>
    <row r="122" spans="1:3" x14ac:dyDescent="0.25">
      <c r="A122" s="218" t="s">
        <v>778</v>
      </c>
      <c r="B122" s="182">
        <f>'16'!K47+'20'!K55</f>
        <v>-4384.8945189556371</v>
      </c>
      <c r="C122" s="179" t="s">
        <v>813</v>
      </c>
    </row>
    <row r="123" spans="1:3" x14ac:dyDescent="0.25">
      <c r="A123" s="218" t="s">
        <v>591</v>
      </c>
      <c r="B123" s="182">
        <f>'15'!K32+'16'!K50+'20'!K57</f>
        <v>-1080.5447568721561</v>
      </c>
      <c r="C123" s="179" t="s">
        <v>818</v>
      </c>
    </row>
    <row r="124" spans="1:3" x14ac:dyDescent="0.25">
      <c r="A124" s="128" t="s">
        <v>292</v>
      </c>
      <c r="B124" s="182">
        <f>'9'!K7</f>
        <v>-0.17658169860533235</v>
      </c>
      <c r="C124" s="179">
        <v>9</v>
      </c>
    </row>
    <row r="125" spans="1:3" x14ac:dyDescent="0.25">
      <c r="A125" s="180" t="s">
        <v>669</v>
      </c>
      <c r="B125" s="182">
        <f>'18'!K28</f>
        <v>-105.64395550522727</v>
      </c>
      <c r="C125" s="179">
        <v>18</v>
      </c>
    </row>
    <row r="126" spans="1:3" x14ac:dyDescent="0.25">
      <c r="A126" s="128" t="s">
        <v>499</v>
      </c>
      <c r="B126" s="182">
        <f>'14'!K56</f>
        <v>549.64392800185487</v>
      </c>
      <c r="C126" s="179">
        <v>14</v>
      </c>
    </row>
    <row r="127" spans="1:3" x14ac:dyDescent="0.25">
      <c r="A127" s="218" t="s">
        <v>775</v>
      </c>
      <c r="B127" s="182">
        <f>'20'!K58</f>
        <v>-1800.108692117851</v>
      </c>
      <c r="C127" s="179">
        <v>20</v>
      </c>
    </row>
    <row r="128" spans="1:3" x14ac:dyDescent="0.25">
      <c r="A128" s="128" t="s">
        <v>68</v>
      </c>
      <c r="B128" s="182">
        <f>'3'!K4+'4'!K21+'7n'!K8+'9'!K55+'10'!K27+'11'!K25+'16'!K52+'19'!K15</f>
        <v>0.4101038063741953</v>
      </c>
      <c r="C128" s="179" t="s">
        <v>764</v>
      </c>
    </row>
    <row r="129" spans="1:3" x14ac:dyDescent="0.25">
      <c r="A129" s="128" t="s">
        <v>575</v>
      </c>
      <c r="B129" s="182">
        <f>'16'!K23</f>
        <v>0.26682586154220189</v>
      </c>
      <c r="C129" s="179">
        <v>16</v>
      </c>
    </row>
    <row r="130" spans="1:3" x14ac:dyDescent="0.25">
      <c r="A130" s="128" t="s">
        <v>575</v>
      </c>
      <c r="B130" s="182">
        <f>'19'!K11</f>
        <v>-0.1041802738707247</v>
      </c>
      <c r="C130" s="179">
        <v>19</v>
      </c>
    </row>
    <row r="131" spans="1:3" x14ac:dyDescent="0.25">
      <c r="A131" s="128" t="s">
        <v>495</v>
      </c>
      <c r="B131" s="182">
        <f>'14'!K49+'15'!K22+'16'!K42+'19'!K51</f>
        <v>-7.8791852506583382E-3</v>
      </c>
      <c r="C131" s="179" t="s">
        <v>765</v>
      </c>
    </row>
    <row r="132" spans="1:3" x14ac:dyDescent="0.25">
      <c r="A132" s="128" t="s">
        <v>631</v>
      </c>
      <c r="B132" s="182">
        <f>'17'!K45</f>
        <v>0.32377218146734776</v>
      </c>
      <c r="C132" s="179">
        <v>17</v>
      </c>
    </row>
    <row r="133" spans="1:3" x14ac:dyDescent="0.25">
      <c r="A133" s="128" t="s">
        <v>670</v>
      </c>
      <c r="B133" s="182">
        <f>'14'!K29+'18'!K30</f>
        <v>7.3426023155548137E-2</v>
      </c>
      <c r="C133" s="179" t="s">
        <v>720</v>
      </c>
    </row>
    <row r="134" spans="1:3" x14ac:dyDescent="0.25">
      <c r="A134" s="128" t="s">
        <v>298</v>
      </c>
      <c r="B134" s="182">
        <f>'9'!K14</f>
        <v>0.44137680009089308</v>
      </c>
      <c r="C134" s="179">
        <v>9</v>
      </c>
    </row>
    <row r="135" spans="1:3" x14ac:dyDescent="0.25">
      <c r="A135" s="128" t="s">
        <v>536</v>
      </c>
      <c r="B135" s="182">
        <f>'15'!K48</f>
        <v>0.40316741864126016</v>
      </c>
      <c r="C135" s="179">
        <v>15</v>
      </c>
    </row>
    <row r="136" spans="1:3" x14ac:dyDescent="0.25">
      <c r="A136" s="128" t="s">
        <v>411</v>
      </c>
      <c r="B136" s="182">
        <f>'12'!K30+'13'!K35+'14'!K6</f>
        <v>1.8997636812342762</v>
      </c>
      <c r="C136" s="179" t="s">
        <v>505</v>
      </c>
    </row>
    <row r="137" spans="1:3" x14ac:dyDescent="0.25">
      <c r="A137" s="128" t="s">
        <v>696</v>
      </c>
      <c r="B137" s="182">
        <f>'18'!K82</f>
        <v>-0.24880381471120927</v>
      </c>
      <c r="C137" s="179">
        <v>18</v>
      </c>
    </row>
    <row r="138" spans="1:3" x14ac:dyDescent="0.25">
      <c r="A138" s="128" t="s">
        <v>525</v>
      </c>
      <c r="B138" s="182">
        <f>'15'!K34</f>
        <v>0.34825370932060196</v>
      </c>
      <c r="C138" s="179">
        <v>15</v>
      </c>
    </row>
    <row r="139" spans="1:3" x14ac:dyDescent="0.25">
      <c r="A139" s="128" t="s">
        <v>35</v>
      </c>
      <c r="B139" s="182">
        <f>'2'!K19</f>
        <v>9.6842599277806585E-2</v>
      </c>
      <c r="C139" s="179">
        <v>2</v>
      </c>
    </row>
    <row r="140" spans="1:3" x14ac:dyDescent="0.25">
      <c r="A140" s="218" t="s">
        <v>595</v>
      </c>
      <c r="B140" s="182">
        <f>'16'!K61+'20'!K59</f>
        <v>-468.45483550252345</v>
      </c>
      <c r="C140" s="179" t="s">
        <v>813</v>
      </c>
    </row>
    <row r="141" spans="1:3" x14ac:dyDescent="0.25">
      <c r="A141" s="128" t="s">
        <v>177</v>
      </c>
      <c r="B141" s="182">
        <f>'5'!K4</f>
        <v>8.6885068531046272E-2</v>
      </c>
      <c r="C141" s="179">
        <v>5</v>
      </c>
    </row>
    <row r="142" spans="1:3" x14ac:dyDescent="0.25">
      <c r="A142" s="128" t="s">
        <v>31</v>
      </c>
      <c r="B142" s="182">
        <f>'2'!K15</f>
        <v>-0.41264548736489814</v>
      </c>
      <c r="C142" s="179">
        <v>2</v>
      </c>
    </row>
    <row r="143" spans="1:3" x14ac:dyDescent="0.25">
      <c r="A143" s="128" t="s">
        <v>247</v>
      </c>
      <c r="B143" s="182">
        <f>'7n'!K12</f>
        <v>0.43503569741551473</v>
      </c>
      <c r="C143" s="179">
        <v>7</v>
      </c>
    </row>
    <row r="144" spans="1:3" x14ac:dyDescent="0.25">
      <c r="A144" s="128" t="s">
        <v>535</v>
      </c>
      <c r="B144" s="182">
        <f>'15'!K45</f>
        <v>0.47236056398082837</v>
      </c>
      <c r="C144" s="179">
        <v>15</v>
      </c>
    </row>
    <row r="145" spans="1:3" x14ac:dyDescent="0.25">
      <c r="A145" s="128" t="s">
        <v>324</v>
      </c>
      <c r="B145" s="182">
        <f>'9'!K46+'11'!K29+'15'!K4</f>
        <v>0.4791881582195856</v>
      </c>
      <c r="C145" s="179" t="s">
        <v>559</v>
      </c>
    </row>
    <row r="146" spans="1:3" x14ac:dyDescent="0.25">
      <c r="A146" s="218" t="s">
        <v>780</v>
      </c>
      <c r="B146" s="182">
        <f>'20'!K60</f>
        <v>-624.91662684714038</v>
      </c>
      <c r="C146" s="179">
        <v>20</v>
      </c>
    </row>
    <row r="147" spans="1:3" x14ac:dyDescent="0.25">
      <c r="A147" s="128" t="s">
        <v>262</v>
      </c>
      <c r="B147" s="182">
        <f>'7n'!K31+'19'!K73</f>
        <v>0.27912673692628687</v>
      </c>
      <c r="C147" s="179" t="s">
        <v>819</v>
      </c>
    </row>
    <row r="148" spans="1:3" x14ac:dyDescent="0.25">
      <c r="A148" s="218" t="s">
        <v>773</v>
      </c>
      <c r="B148" s="182">
        <f>'20'!K62</f>
        <v>-1973.5412520984703</v>
      </c>
      <c r="C148" s="179">
        <v>20</v>
      </c>
    </row>
    <row r="149" spans="1:3" x14ac:dyDescent="0.25">
      <c r="A149" s="218" t="s">
        <v>774</v>
      </c>
      <c r="B149" s="182">
        <f>'20'!K64</f>
        <v>-4061.7431967707626</v>
      </c>
      <c r="C149" s="179">
        <v>20</v>
      </c>
    </row>
    <row r="150" spans="1:3" x14ac:dyDescent="0.25">
      <c r="A150" s="218" t="s">
        <v>630</v>
      </c>
      <c r="B150" s="182">
        <f>'17'!K40+'18'!K71+'19'!K25+'20'!K67</f>
        <v>-1380.9488534051816</v>
      </c>
      <c r="C150" s="179" t="s">
        <v>820</v>
      </c>
    </row>
    <row r="151" spans="1:3" x14ac:dyDescent="0.25">
      <c r="A151" s="128" t="s">
        <v>623</v>
      </c>
      <c r="B151" s="182">
        <f>'17'!K35+'18'!K18</f>
        <v>5.2076643963573588E-2</v>
      </c>
      <c r="C151" s="179" t="s">
        <v>722</v>
      </c>
    </row>
    <row r="152" spans="1:3" x14ac:dyDescent="0.25">
      <c r="A152" s="218" t="s">
        <v>681</v>
      </c>
      <c r="B152" s="182">
        <f>'18'!K50+'20'!K68</f>
        <v>-952.89222766618116</v>
      </c>
      <c r="C152" s="179" t="s">
        <v>806</v>
      </c>
    </row>
    <row r="153" spans="1:3" x14ac:dyDescent="0.25">
      <c r="A153" s="218" t="s">
        <v>754</v>
      </c>
      <c r="B153" s="182">
        <f>'19'!K54+'20'!K69</f>
        <v>-634.93911957104751</v>
      </c>
      <c r="C153" s="179" t="s">
        <v>812</v>
      </c>
    </row>
    <row r="154" spans="1:3" x14ac:dyDescent="0.25">
      <c r="A154" s="128" t="s">
        <v>458</v>
      </c>
      <c r="B154" s="182">
        <f>'13'!K45+'17'!K14</f>
        <v>0.13712442030771399</v>
      </c>
      <c r="C154" s="179" t="s">
        <v>646</v>
      </c>
    </row>
    <row r="155" spans="1:3" x14ac:dyDescent="0.25">
      <c r="A155" s="128" t="s">
        <v>230</v>
      </c>
      <c r="B155" s="182">
        <f>'6'!K30+'9'!K49</f>
        <v>-7.7019570843958718E-2</v>
      </c>
      <c r="C155" s="179">
        <v>6.9</v>
      </c>
    </row>
    <row r="156" spans="1:3" x14ac:dyDescent="0.25">
      <c r="A156" s="218" t="s">
        <v>644</v>
      </c>
      <c r="B156" s="182">
        <f>'17'!K78+'18'!K88+'20'!K70</f>
        <v>-4164.4668494156676</v>
      </c>
      <c r="C156" s="179" t="s">
        <v>821</v>
      </c>
    </row>
    <row r="157" spans="1:3" x14ac:dyDescent="0.25">
      <c r="A157" s="128" t="s">
        <v>81</v>
      </c>
      <c r="B157" s="182">
        <f>'3'!K18</f>
        <v>116.85769585253456</v>
      </c>
      <c r="C157" s="179">
        <v>3</v>
      </c>
    </row>
    <row r="158" spans="1:3" x14ac:dyDescent="0.25">
      <c r="A158" s="128" t="s">
        <v>296</v>
      </c>
      <c r="B158" s="182">
        <f>'9'!K12</f>
        <v>0.48790588502106402</v>
      </c>
      <c r="C158" s="179">
        <v>9</v>
      </c>
    </row>
    <row r="159" spans="1:3" x14ac:dyDescent="0.25">
      <c r="A159" s="180" t="s">
        <v>660</v>
      </c>
      <c r="B159" s="182">
        <f>'13'!K6+'18'!K10</f>
        <v>-6.8788248496347251</v>
      </c>
      <c r="C159" s="179" t="s">
        <v>723</v>
      </c>
    </row>
  </sheetData>
  <sortState ref="A2:M183">
    <sortCondition ref="A2:A18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289</v>
      </c>
      <c r="K1" s="97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4"/>
      <c r="E4" s="9"/>
      <c r="F4" s="10"/>
      <c r="G4" s="10"/>
      <c r="H4" s="72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290</v>
      </c>
      <c r="B5" s="3">
        <v>1</v>
      </c>
      <c r="C5" s="3">
        <v>1167</v>
      </c>
      <c r="D5" s="81">
        <f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2"/>
      <c r="I5" s="34">
        <f>H5-G5</f>
        <v>-671.53658169860523</v>
      </c>
      <c r="J5" s="39"/>
      <c r="K5" s="40"/>
    </row>
    <row r="6" spans="1:12" ht="30" x14ac:dyDescent="0.25">
      <c r="A6" s="18" t="s">
        <v>291</v>
      </c>
      <c r="B6" s="3">
        <v>1</v>
      </c>
      <c r="C6" s="3">
        <v>1167</v>
      </c>
      <c r="D6" s="80">
        <f>B6*C6*0.1</f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2"/>
      <c r="I6" s="34">
        <f>H6-G6</f>
        <v>-671.53658169860523</v>
      </c>
      <c r="J6" s="39"/>
      <c r="K6" s="40"/>
    </row>
    <row r="7" spans="1:12" x14ac:dyDescent="0.25">
      <c r="A7" s="9" t="s">
        <v>292</v>
      </c>
      <c r="B7" s="9"/>
      <c r="C7" s="9"/>
      <c r="D7" s="84"/>
      <c r="E7" s="9"/>
      <c r="F7" s="10"/>
      <c r="G7" s="10"/>
      <c r="H7" s="72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1" t="s">
        <v>293</v>
      </c>
      <c r="B8" s="3">
        <v>1</v>
      </c>
      <c r="C8" s="3">
        <v>1147</v>
      </c>
      <c r="D8" s="81">
        <f>B8*C8*0.1</f>
        <v>114.7</v>
      </c>
      <c r="E8" s="3">
        <f>0.2*1.3</f>
        <v>0.26</v>
      </c>
      <c r="F8" s="30">
        <f>E8/$E$60*$F$60</f>
        <v>483.50153078580331</v>
      </c>
      <c r="G8" s="30">
        <f>(B8*C8)*$B$1+D8*$B$1+F8*$B$1</f>
        <v>663.17658169860533</v>
      </c>
      <c r="H8" s="72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4"/>
      <c r="E9" s="9"/>
      <c r="F9" s="10"/>
      <c r="G9" s="10"/>
      <c r="H9" s="72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294</v>
      </c>
      <c r="B10" s="3">
        <v>1</v>
      </c>
      <c r="C10" s="3">
        <v>685</v>
      </c>
      <c r="D10" s="81">
        <f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2"/>
      <c r="I10" s="34">
        <f>H10-G10</f>
        <v>-470.06058169860529</v>
      </c>
      <c r="J10" s="39"/>
      <c r="K10" s="40"/>
    </row>
    <row r="11" spans="1:12" ht="35.25" x14ac:dyDescent="0.25">
      <c r="A11" s="91" t="s">
        <v>295</v>
      </c>
      <c r="B11" s="3">
        <v>1</v>
      </c>
      <c r="C11" s="3">
        <v>1468</v>
      </c>
      <c r="D11" s="80">
        <f>B11*C11*0.1</f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2"/>
      <c r="I11" s="34">
        <f>H11-G11</f>
        <v>-852.47375620818684</v>
      </c>
      <c r="J11" s="39"/>
      <c r="K11" s="40"/>
    </row>
    <row r="12" spans="1:12" x14ac:dyDescent="0.25">
      <c r="A12" s="9" t="s">
        <v>296</v>
      </c>
      <c r="B12" s="9"/>
      <c r="C12" s="9"/>
      <c r="D12" s="84"/>
      <c r="E12" s="9"/>
      <c r="F12" s="10"/>
      <c r="G12" s="10"/>
      <c r="H12" s="72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297</v>
      </c>
      <c r="B13" s="3">
        <v>1</v>
      </c>
      <c r="C13" s="3">
        <v>1749</v>
      </c>
      <c r="D13" s="81">
        <f>B13*C13*0.1</f>
        <v>174.9</v>
      </c>
      <c r="E13" s="3">
        <f>0.72*1.3</f>
        <v>0.93599999999999994</v>
      </c>
      <c r="F13" s="30">
        <f>E13/$E$60*$F$60</f>
        <v>1740.6055108288917</v>
      </c>
      <c r="G13" s="30">
        <f>(B13*C13)*$B$1+D13*$B$1+F13*$B$1</f>
        <v>1392.5120941149789</v>
      </c>
      <c r="H13" s="72"/>
      <c r="I13" s="34">
        <f>H13-G13</f>
        <v>-1392.5120941149789</v>
      </c>
      <c r="J13" s="39"/>
      <c r="K13" s="40"/>
    </row>
    <row r="14" spans="1:12" x14ac:dyDescent="0.25">
      <c r="A14" s="9" t="s">
        <v>298</v>
      </c>
      <c r="B14" s="9"/>
      <c r="C14" s="9"/>
      <c r="D14" s="84"/>
      <c r="E14" s="9"/>
      <c r="F14" s="10"/>
      <c r="G14" s="10"/>
      <c r="H14" s="72"/>
      <c r="I14" s="42">
        <f>SUM(I15:I16)</f>
        <v>-1723.5586231999091</v>
      </c>
      <c r="J14" s="38">
        <f>1696+28</f>
        <v>1724</v>
      </c>
      <c r="K14" s="38">
        <f>J14+I14</f>
        <v>0.44137680009089308</v>
      </c>
      <c r="L14" s="79"/>
    </row>
    <row r="15" spans="1:12" ht="24" x14ac:dyDescent="0.25">
      <c r="A15" s="91" t="s">
        <v>299</v>
      </c>
      <c r="B15" s="3">
        <v>1</v>
      </c>
      <c r="C15" s="3">
        <v>1725</v>
      </c>
      <c r="D15" s="81">
        <f>B15*C15*0.1</f>
        <v>172.5</v>
      </c>
      <c r="E15" s="3">
        <f>0.6*1.3</f>
        <v>0.78</v>
      </c>
      <c r="F15" s="30">
        <f>E15/$E$60*$F$60</f>
        <v>1450.50459235741</v>
      </c>
      <c r="G15" s="30">
        <f>(B15*C15)*$B$1+D15*$B$1+F15*$B$1</f>
        <v>1272.2417450958158</v>
      </c>
      <c r="H15" s="72"/>
      <c r="I15" s="34">
        <f>H15-G15</f>
        <v>-1272.2417450958158</v>
      </c>
      <c r="J15" s="39"/>
      <c r="K15" s="40"/>
    </row>
    <row r="16" spans="1:12" ht="30" x14ac:dyDescent="0.25">
      <c r="A16" s="18" t="s">
        <v>300</v>
      </c>
      <c r="B16" s="3">
        <v>1</v>
      </c>
      <c r="C16" s="3">
        <v>794</v>
      </c>
      <c r="D16" s="80">
        <f>B16*C16*0.1</f>
        <v>79.400000000000006</v>
      </c>
      <c r="E16" s="3">
        <f>0.13*1.3</f>
        <v>0.16900000000000001</v>
      </c>
      <c r="F16" s="30">
        <f>E16/$E$60*$F$60</f>
        <v>314.27599501077219</v>
      </c>
      <c r="G16" s="30">
        <f>(B16*C16)*$B$1+D16*$B$1+F16*$B$1</f>
        <v>451.31687810409346</v>
      </c>
      <c r="H16" s="72"/>
      <c r="I16" s="34">
        <f>H16-G16</f>
        <v>-451.31687810409346</v>
      </c>
      <c r="J16" s="39"/>
      <c r="K16" s="40"/>
    </row>
    <row r="17" spans="1:12" x14ac:dyDescent="0.25">
      <c r="A17" s="89">
        <v>51150</v>
      </c>
      <c r="B17" s="9"/>
      <c r="C17" s="9"/>
      <c r="D17" s="84"/>
      <c r="E17" s="9"/>
      <c r="F17" s="10"/>
      <c r="G17" s="10"/>
      <c r="H17" s="72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334</v>
      </c>
    </row>
    <row r="18" spans="1:12" ht="24" x14ac:dyDescent="0.25">
      <c r="A18" s="91" t="s">
        <v>301</v>
      </c>
      <c r="B18" s="3">
        <v>1</v>
      </c>
      <c r="C18" s="3">
        <v>1146</v>
      </c>
      <c r="D18" s="81">
        <f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2"/>
      <c r="I18" s="34">
        <f>H18-G18</f>
        <v>-708.69122712325657</v>
      </c>
      <c r="J18" s="39"/>
      <c r="K18" s="40"/>
    </row>
    <row r="19" spans="1:12" ht="30" x14ac:dyDescent="0.25">
      <c r="A19" s="76" t="s">
        <v>302</v>
      </c>
      <c r="B19" s="3">
        <v>1</v>
      </c>
      <c r="C19" s="3">
        <f>2476/1000*300</f>
        <v>742.8</v>
      </c>
      <c r="D19" s="80">
        <f>B19*C19*0.1</f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2"/>
      <c r="I19" s="34">
        <f>H19-G19</f>
        <v>-554.28674879238008</v>
      </c>
      <c r="J19" s="39"/>
      <c r="K19" s="40"/>
    </row>
    <row r="20" spans="1:12" x14ac:dyDescent="0.25">
      <c r="A20" s="9" t="s">
        <v>303</v>
      </c>
      <c r="B20" s="9"/>
      <c r="C20" s="9"/>
      <c r="D20" s="84"/>
      <c r="E20" s="9"/>
      <c r="F20" s="10"/>
      <c r="G20" s="10"/>
      <c r="H20" s="72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304</v>
      </c>
      <c r="B21" s="3">
        <v>1</v>
      </c>
      <c r="C21" s="3">
        <v>806</v>
      </c>
      <c r="D21" s="81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2"/>
      <c r="I21" s="34">
        <f>H21-G21</f>
        <v>-456.33287810409342</v>
      </c>
      <c r="J21" s="39"/>
      <c r="K21" s="40"/>
    </row>
    <row r="22" spans="1:12" x14ac:dyDescent="0.25">
      <c r="A22" s="18" t="s">
        <v>305</v>
      </c>
      <c r="B22" s="3">
        <v>1</v>
      </c>
      <c r="C22" s="3">
        <v>1728</v>
      </c>
      <c r="D22" s="81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>(B22*C22)*$B$1+D22*$B$1+F22*$B$1</f>
        <v>1053.0190470574894</v>
      </c>
      <c r="H22" s="72"/>
      <c r="I22" s="34">
        <f>H22-G22</f>
        <v>-1053.0190470574894</v>
      </c>
      <c r="J22" s="39"/>
      <c r="K22" s="40"/>
    </row>
    <row r="23" spans="1:12" x14ac:dyDescent="0.25">
      <c r="A23" s="18" t="s">
        <v>306</v>
      </c>
      <c r="B23" s="3">
        <v>1</v>
      </c>
      <c r="C23" s="3">
        <v>967</v>
      </c>
      <c r="D23" s="81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2"/>
      <c r="I23" s="34">
        <f>H23-G23</f>
        <v>-624.68269803832629</v>
      </c>
      <c r="J23" s="39"/>
      <c r="K23" s="40"/>
    </row>
    <row r="24" spans="1:12" x14ac:dyDescent="0.25">
      <c r="A24" s="9" t="s">
        <v>307</v>
      </c>
      <c r="B24" s="9"/>
      <c r="C24" s="9"/>
      <c r="D24" s="84"/>
      <c r="E24" s="9"/>
      <c r="F24" s="10"/>
      <c r="G24" s="10"/>
      <c r="H24" s="72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304</v>
      </c>
      <c r="B25" s="3">
        <v>1</v>
      </c>
      <c r="C25" s="3">
        <v>806</v>
      </c>
      <c r="D25" s="81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2"/>
      <c r="I25" s="34">
        <f>H25-G25</f>
        <v>-456.33287810409342</v>
      </c>
      <c r="J25" s="39"/>
      <c r="K25" s="40"/>
    </row>
    <row r="26" spans="1:12" x14ac:dyDescent="0.25">
      <c r="A26" s="18" t="s">
        <v>308</v>
      </c>
      <c r="B26" s="3">
        <v>1</v>
      </c>
      <c r="C26" s="3">
        <v>672</v>
      </c>
      <c r="D26" s="81">
        <f>B26*C26*0.1</f>
        <v>67.2</v>
      </c>
      <c r="E26" s="3">
        <f>0.2*1.3</f>
        <v>0.26</v>
      </c>
      <c r="F26" s="30">
        <f>E26/$E$60*$F$60</f>
        <v>483.50153078580331</v>
      </c>
      <c r="G26" s="30">
        <f>(B26*C26)*$B$1+D26*$B$1+F26*$B$1</f>
        <v>464.62658169860526</v>
      </c>
      <c r="H26" s="72"/>
      <c r="I26" s="34">
        <f>H26-G26</f>
        <v>-464.62658169860526</v>
      </c>
      <c r="J26" s="39"/>
      <c r="K26" s="40"/>
    </row>
    <row r="27" spans="1:12" x14ac:dyDescent="0.25">
      <c r="A27" s="18" t="s">
        <v>309</v>
      </c>
      <c r="B27" s="3">
        <v>1</v>
      </c>
      <c r="C27" s="3">
        <v>849</v>
      </c>
      <c r="D27" s="81">
        <f>B27*C27*0.1</f>
        <v>84.9</v>
      </c>
      <c r="E27" s="3">
        <f>0.2*1.3</f>
        <v>0.26</v>
      </c>
      <c r="F27" s="30">
        <f>E27/$E$60*$F$60</f>
        <v>483.50153078580331</v>
      </c>
      <c r="G27" s="30">
        <f>(B27*C27)*$B$1+D27*$B$1+F27*$B$1</f>
        <v>538.61258169860525</v>
      </c>
      <c r="H27" s="72"/>
      <c r="I27" s="34">
        <f>H27-G27</f>
        <v>-538.61258169860525</v>
      </c>
      <c r="J27" s="39"/>
      <c r="K27" s="40"/>
    </row>
    <row r="28" spans="1:12" x14ac:dyDescent="0.25">
      <c r="A28" s="18" t="s">
        <v>310</v>
      </c>
      <c r="B28" s="3">
        <v>1</v>
      </c>
      <c r="C28" s="3">
        <v>1730</v>
      </c>
      <c r="D28" s="81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>(B28*C28)*$B$1+D28*$B$1+F28*$B$1</f>
        <v>1053.8550470574894</v>
      </c>
      <c r="H28" s="72"/>
      <c r="I28" s="34">
        <f>H28-G28</f>
        <v>-1053.8550470574894</v>
      </c>
      <c r="J28" s="39"/>
      <c r="K28" s="40"/>
    </row>
    <row r="29" spans="1:12" ht="30" x14ac:dyDescent="0.25">
      <c r="A29" s="18" t="s">
        <v>311</v>
      </c>
      <c r="B29" s="3">
        <v>1</v>
      </c>
      <c r="C29" s="3">
        <v>1728</v>
      </c>
      <c r="D29" s="81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2"/>
      <c r="I29" s="34">
        <f>H29-G29</f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4"/>
      <c r="E30" s="9"/>
      <c r="F30" s="10"/>
      <c r="G30" s="10"/>
      <c r="H30" s="72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332</v>
      </c>
    </row>
    <row r="31" spans="1:12" x14ac:dyDescent="0.25">
      <c r="A31" s="18" t="s">
        <v>312</v>
      </c>
      <c r="B31" s="3">
        <v>1</v>
      </c>
      <c r="C31" s="3">
        <v>1344</v>
      </c>
      <c r="D31" s="81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2"/>
      <c r="I31" s="34">
        <f>H31-G31</f>
        <v>-653.65729084930263</v>
      </c>
      <c r="J31" s="39"/>
      <c r="K31" s="40"/>
    </row>
    <row r="32" spans="1:12" x14ac:dyDescent="0.25">
      <c r="A32" s="18" t="s">
        <v>313</v>
      </c>
      <c r="B32" s="3">
        <v>1</v>
      </c>
      <c r="C32" s="3">
        <v>1167</v>
      </c>
      <c r="D32" s="81">
        <f>B32*C32*0.1</f>
        <v>116.7</v>
      </c>
      <c r="E32" s="3">
        <f>0.2*1.3</f>
        <v>0.26</v>
      </c>
      <c r="F32" s="30">
        <f>E32/$E$60*$F$60</f>
        <v>483.50153078580331</v>
      </c>
      <c r="G32" s="30">
        <f>(B32*C32)*$B$1+D32*$B$1+F32*$B$1</f>
        <v>671.53658169860523</v>
      </c>
      <c r="H32" s="72"/>
      <c r="I32" s="34">
        <f>H32-G32</f>
        <v>-671.53658169860523</v>
      </c>
      <c r="J32" s="39"/>
      <c r="K32" s="40"/>
    </row>
    <row r="33" spans="1:12" x14ac:dyDescent="0.25">
      <c r="A33" s="76" t="s">
        <v>314</v>
      </c>
      <c r="B33" s="3">
        <v>1</v>
      </c>
      <c r="C33" s="3">
        <f>2476/1000*100</f>
        <v>247.6</v>
      </c>
      <c r="D33" s="81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2"/>
      <c r="I33" s="34">
        <f>H33-G33</f>
        <v>-184.76224959746</v>
      </c>
      <c r="J33" s="39"/>
      <c r="K33" s="40"/>
    </row>
    <row r="34" spans="1:12" x14ac:dyDescent="0.25">
      <c r="A34" s="9" t="s">
        <v>315</v>
      </c>
      <c r="B34" s="9"/>
      <c r="C34" s="9"/>
      <c r="D34" s="84"/>
      <c r="E34" s="9"/>
      <c r="F34" s="10"/>
      <c r="G34" s="10"/>
      <c r="H34" s="72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1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2"/>
      <c r="I35" s="34">
        <f>H35-G35</f>
        <v>-451.31687810409346</v>
      </c>
      <c r="J35" s="39"/>
      <c r="K35" s="40"/>
    </row>
    <row r="36" spans="1:12" x14ac:dyDescent="0.25">
      <c r="A36" s="18" t="s">
        <v>316</v>
      </c>
      <c r="B36" s="3">
        <v>1</v>
      </c>
      <c r="C36" s="3">
        <v>664</v>
      </c>
      <c r="D36" s="81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>(B36*C36)*$B$1+D36*$B$1+F36*$B$1</f>
        <v>440.08289919492006</v>
      </c>
      <c r="H36" s="72"/>
      <c r="I36" s="34">
        <f>H36-G36</f>
        <v>-440.08289919492006</v>
      </c>
      <c r="J36" s="39"/>
      <c r="K36" s="40"/>
    </row>
    <row r="37" spans="1:12" x14ac:dyDescent="0.25">
      <c r="A37" s="18" t="s">
        <v>317</v>
      </c>
      <c r="B37" s="3">
        <v>1</v>
      </c>
      <c r="C37" s="3">
        <v>828</v>
      </c>
      <c r="D37" s="81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2"/>
      <c r="I37" s="34">
        <f>H37-G37</f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4"/>
      <c r="E38" s="9"/>
      <c r="F38" s="10"/>
      <c r="G38" s="10"/>
      <c r="H38" s="72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318</v>
      </c>
      <c r="B39" s="3">
        <v>1</v>
      </c>
      <c r="C39" s="3">
        <f>2476/1000*250</f>
        <v>619</v>
      </c>
      <c r="D39" s="81">
        <f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>(B39*C39)*$B$1+D39*$B$1+F39*$B$1</f>
        <v>461.90562399365001</v>
      </c>
      <c r="H39" s="72"/>
      <c r="I39" s="34">
        <f>H39-G39</f>
        <v>-461.90562399365001</v>
      </c>
      <c r="J39" s="39"/>
      <c r="K39" s="40"/>
    </row>
    <row r="40" spans="1:12" x14ac:dyDescent="0.25">
      <c r="A40" s="9" t="s">
        <v>319</v>
      </c>
      <c r="B40" s="9"/>
      <c r="C40" s="9"/>
      <c r="D40" s="84"/>
      <c r="E40" s="9"/>
      <c r="F40" s="10"/>
      <c r="G40" s="10"/>
      <c r="H40" s="72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333</v>
      </c>
    </row>
    <row r="41" spans="1:12" ht="30" x14ac:dyDescent="0.25">
      <c r="A41" s="76" t="s">
        <v>320</v>
      </c>
      <c r="B41" s="3">
        <v>1</v>
      </c>
      <c r="C41" s="3">
        <f>2476/1000*200</f>
        <v>495.2</v>
      </c>
      <c r="D41" s="81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2"/>
      <c r="I41" s="34">
        <f>H41-G41</f>
        <v>-369.52449919492</v>
      </c>
      <c r="J41" s="39"/>
      <c r="K41" s="40"/>
    </row>
    <row r="42" spans="1:12" x14ac:dyDescent="0.25">
      <c r="A42" s="18" t="s">
        <v>321</v>
      </c>
      <c r="B42" s="3">
        <v>1</v>
      </c>
      <c r="C42" s="3">
        <v>1146</v>
      </c>
      <c r="D42" s="81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>(B42*C42)*$B$1+D42*$B$1+F42*$B$1</f>
        <v>708.69122712325657</v>
      </c>
      <c r="H42" s="72"/>
      <c r="I42" s="34">
        <f>H42-G42</f>
        <v>-708.69122712325657</v>
      </c>
      <c r="J42" s="39"/>
      <c r="K42" s="40"/>
    </row>
    <row r="43" spans="1:12" ht="30" x14ac:dyDescent="0.25">
      <c r="A43" s="18" t="s">
        <v>322</v>
      </c>
      <c r="B43" s="3">
        <v>1</v>
      </c>
      <c r="C43" s="3">
        <v>1700</v>
      </c>
      <c r="D43" s="81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2"/>
      <c r="I43" s="34">
        <f>H43-G43</f>
        <v>-1041.3150470574894</v>
      </c>
      <c r="J43" s="39"/>
      <c r="K43" s="40"/>
    </row>
    <row r="44" spans="1:12" x14ac:dyDescent="0.25">
      <c r="A44" s="9" t="s">
        <v>323</v>
      </c>
      <c r="B44" s="9"/>
      <c r="C44" s="9"/>
      <c r="D44" s="84"/>
      <c r="E44" s="9"/>
      <c r="F44" s="10"/>
      <c r="G44" s="10"/>
      <c r="H44" s="72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300</v>
      </c>
      <c r="B45" s="3">
        <v>1</v>
      </c>
      <c r="C45" s="3">
        <v>794</v>
      </c>
      <c r="D45" s="81">
        <f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>(B45*C45)*$B$1+D45*$B$1+F45*$B$1</f>
        <v>451.31687810409346</v>
      </c>
      <c r="H45" s="72"/>
      <c r="I45" s="34">
        <f>H45-G45</f>
        <v>-451.31687810409346</v>
      </c>
      <c r="J45" s="39"/>
      <c r="K45" s="40"/>
    </row>
    <row r="46" spans="1:12" x14ac:dyDescent="0.25">
      <c r="A46" s="9" t="s">
        <v>324</v>
      </c>
      <c r="B46" s="9"/>
      <c r="C46" s="9"/>
      <c r="D46" s="84"/>
      <c r="E46" s="9"/>
      <c r="F46" s="10"/>
      <c r="G46" s="10"/>
      <c r="H46" s="72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304</v>
      </c>
      <c r="B47" s="3">
        <v>1</v>
      </c>
      <c r="C47" s="3">
        <v>806</v>
      </c>
      <c r="D47" s="81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2"/>
      <c r="I47" s="34">
        <f>H47-G47</f>
        <v>-456.33287810409342</v>
      </c>
      <c r="J47" s="39"/>
      <c r="K47" s="40"/>
    </row>
    <row r="48" spans="1:12" x14ac:dyDescent="0.25">
      <c r="A48" s="98" t="s">
        <v>330</v>
      </c>
      <c r="B48" s="3">
        <v>1</v>
      </c>
      <c r="C48" s="3">
        <v>934</v>
      </c>
      <c r="D48" s="81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2"/>
      <c r="I48" s="34">
        <f>H48-G48</f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4"/>
      <c r="E49" s="9"/>
      <c r="F49" s="10"/>
      <c r="G49" s="10"/>
      <c r="H49" s="72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325</v>
      </c>
      <c r="B50" s="3">
        <v>1</v>
      </c>
      <c r="C50" s="3">
        <v>1344</v>
      </c>
      <c r="D50" s="81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2"/>
      <c r="I50" s="34">
        <f>H50-G50</f>
        <v>-653.65729084930263</v>
      </c>
      <c r="J50" s="39"/>
      <c r="K50" s="40"/>
    </row>
    <row r="51" spans="1:12" x14ac:dyDescent="0.25">
      <c r="A51" s="9" t="s">
        <v>326</v>
      </c>
      <c r="B51" s="9"/>
      <c r="C51" s="9"/>
      <c r="D51" s="84"/>
      <c r="E51" s="9"/>
      <c r="F51" s="10"/>
      <c r="G51" s="10"/>
      <c r="H51" s="72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305</v>
      </c>
      <c r="B52" s="3">
        <v>1</v>
      </c>
      <c r="C52" s="3">
        <v>1728</v>
      </c>
      <c r="D52" s="81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2"/>
      <c r="I52" s="34">
        <f>H52-G52</f>
        <v>-1053.0190470574894</v>
      </c>
      <c r="J52" s="39"/>
      <c r="K52" s="40"/>
    </row>
    <row r="53" spans="1:12" ht="30" x14ac:dyDescent="0.25">
      <c r="A53" s="18" t="s">
        <v>327</v>
      </c>
      <c r="B53" s="3">
        <v>1</v>
      </c>
      <c r="C53" s="3">
        <v>835</v>
      </c>
      <c r="D53" s="81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>(B53*C53)*$B$1+D53*$B$1+F53*$B$1</f>
        <v>477.64140718902377</v>
      </c>
      <c r="H53" s="72"/>
      <c r="I53" s="34">
        <f>H53-G53</f>
        <v>-477.64140718902377</v>
      </c>
      <c r="J53" s="39"/>
      <c r="K53" s="40"/>
    </row>
    <row r="54" spans="1:12" x14ac:dyDescent="0.25">
      <c r="A54" s="98" t="s">
        <v>330</v>
      </c>
      <c r="B54" s="3">
        <v>1</v>
      </c>
      <c r="C54" s="3">
        <v>934</v>
      </c>
      <c r="D54" s="81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2"/>
      <c r="I54" s="34">
        <f>H54-G54</f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4"/>
      <c r="E55" s="9"/>
      <c r="F55" s="10"/>
      <c r="G55" s="10"/>
      <c r="H55" s="72"/>
      <c r="I55" s="42">
        <f>SUM(I56:I57)</f>
        <v>-708.69122712325657</v>
      </c>
      <c r="J55" s="38">
        <f>1398</f>
        <v>1398</v>
      </c>
      <c r="K55" s="38">
        <f>J55+I55</f>
        <v>689.30877287674343</v>
      </c>
      <c r="L55" s="79" t="s">
        <v>335</v>
      </c>
    </row>
    <row r="56" spans="1:12" ht="30" x14ac:dyDescent="0.25">
      <c r="A56" s="68" t="s">
        <v>328</v>
      </c>
      <c r="B56" s="100">
        <v>1</v>
      </c>
      <c r="C56" s="100"/>
      <c r="D56" s="101">
        <f>B56*C56*0.1</f>
        <v>0</v>
      </c>
      <c r="E56" s="100"/>
      <c r="F56" s="102">
        <f>E56/$E$60*$F$60</f>
        <v>0</v>
      </c>
      <c r="G56" s="102">
        <f>(B56*C56)*$B$1+D56*$B$1+F56*$B$1</f>
        <v>0</v>
      </c>
      <c r="H56" s="100"/>
      <c r="I56" s="103">
        <f>H56-G56</f>
        <v>0</v>
      </c>
      <c r="J56" s="104"/>
      <c r="K56" s="105"/>
    </row>
    <row r="57" spans="1:12" ht="45" x14ac:dyDescent="0.25">
      <c r="A57" s="18" t="s">
        <v>329</v>
      </c>
      <c r="B57" s="3">
        <v>1</v>
      </c>
      <c r="C57" s="3">
        <v>1146</v>
      </c>
      <c r="D57" s="80">
        <f>B57*C57*0.1</f>
        <v>114.60000000000001</v>
      </c>
      <c r="E57" s="3">
        <f>0.25*1.3</f>
        <v>0.32500000000000001</v>
      </c>
      <c r="F57" s="30">
        <f>E57/$E$60*$F$60</f>
        <v>604.37691348225417</v>
      </c>
      <c r="G57" s="30">
        <f>(B57*C57)*$B$1+D57*$B$1+F57*$B$1</f>
        <v>708.69122712325657</v>
      </c>
      <c r="H57" s="72"/>
      <c r="I57" s="34">
        <f>H57-G57</f>
        <v>-708.69122712325657</v>
      </c>
      <c r="J57" s="39"/>
      <c r="K57" s="40"/>
    </row>
    <row r="58" spans="1:12" x14ac:dyDescent="0.25">
      <c r="A58" s="88" t="s">
        <v>30</v>
      </c>
      <c r="B58" s="86"/>
      <c r="C58" s="86"/>
      <c r="D58" s="84"/>
      <c r="E58" s="84"/>
      <c r="F58" s="10"/>
      <c r="G58" s="10"/>
      <c r="H58" s="72"/>
      <c r="I58" s="42"/>
      <c r="J58" s="38"/>
      <c r="K58" s="38"/>
    </row>
    <row r="59" spans="1:12" x14ac:dyDescent="0.25">
      <c r="A59" s="90"/>
      <c r="B59" s="81"/>
      <c r="C59" s="81"/>
      <c r="D59" s="81">
        <f>B59*C59*0.1</f>
        <v>0</v>
      </c>
      <c r="E59" s="81">
        <v>0.30249999999999999</v>
      </c>
      <c r="F59" s="30">
        <f>E59/$E$60*$F$60</f>
        <v>562.53543485655962</v>
      </c>
      <c r="G59" s="30">
        <f>(B59*C59)*$B$1+D59*$B$1+F59*$B$1</f>
        <v>213.76346524549265</v>
      </c>
      <c r="H59" s="72"/>
      <c r="I59" s="28"/>
      <c r="J59" s="28"/>
      <c r="K59" s="28"/>
    </row>
    <row r="60" spans="1:12" x14ac:dyDescent="0.25">
      <c r="A60" s="27"/>
      <c r="B60" s="28"/>
      <c r="C60" s="28"/>
      <c r="D60" s="28"/>
      <c r="E60" s="99">
        <f>SUM(E5:E59)</f>
        <v>11.023750000000001</v>
      </c>
      <c r="F60" s="29">
        <v>20500</v>
      </c>
      <c r="G60" s="28">
        <f>F60/E60</f>
        <v>1859.6212722530897</v>
      </c>
      <c r="H60" s="72"/>
      <c r="I60" s="28"/>
      <c r="J60" s="28"/>
      <c r="K60" s="28"/>
    </row>
    <row r="62" spans="1:12" ht="63.75" customHeight="1" x14ac:dyDescent="0.25">
      <c r="A62" s="199" t="s">
        <v>210</v>
      </c>
      <c r="B62" s="200"/>
      <c r="C62" s="200"/>
      <c r="D62" s="200"/>
      <c r="E62" s="200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289</v>
      </c>
      <c r="K1" s="97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106" t="s">
        <v>336</v>
      </c>
      <c r="B4" s="9"/>
      <c r="C4" s="9"/>
      <c r="D4" s="84"/>
      <c r="E4" s="9"/>
      <c r="F4" s="10"/>
      <c r="G4" s="10"/>
      <c r="H4" s="72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07" t="s">
        <v>337</v>
      </c>
      <c r="B5" s="3">
        <v>1</v>
      </c>
      <c r="C5" s="3">
        <v>685</v>
      </c>
      <c r="D5" s="81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2"/>
      <c r="I5" s="34">
        <f t="shared" ref="I5:I10" si="1">H5-G5</f>
        <v>-637.3443358023892</v>
      </c>
      <c r="J5" s="39"/>
      <c r="K5" s="40"/>
    </row>
    <row r="6" spans="1:11" x14ac:dyDescent="0.25">
      <c r="A6" s="107" t="s">
        <v>338</v>
      </c>
      <c r="B6" s="3">
        <v>1</v>
      </c>
      <c r="C6" s="3">
        <v>670</v>
      </c>
      <c r="D6" s="81">
        <f>B6*C6*0.1</f>
        <v>67</v>
      </c>
      <c r="E6" s="3">
        <f>0.2*1.3</f>
        <v>0.26</v>
      </c>
      <c r="F6" s="30">
        <f t="shared" si="0"/>
        <v>439.6399427946497</v>
      </c>
      <c r="G6" s="30">
        <f>(B6*C6)*$B$1+D6*$B$1+F6*$B$1</f>
        <v>628.53046480238925</v>
      </c>
      <c r="H6" s="72"/>
      <c r="I6" s="34">
        <f t="shared" si="1"/>
        <v>-628.53046480238925</v>
      </c>
      <c r="J6" s="39"/>
      <c r="K6" s="40"/>
    </row>
    <row r="7" spans="1:11" x14ac:dyDescent="0.25">
      <c r="A7" s="24" t="s">
        <v>305</v>
      </c>
      <c r="B7" s="3">
        <v>1</v>
      </c>
      <c r="C7" s="3">
        <v>1728</v>
      </c>
      <c r="D7" s="81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>(B7*C7)*$B$1+D7*$B$1+F7*$B$1</f>
        <v>1438.0775474443005</v>
      </c>
      <c r="H7" s="72"/>
      <c r="I7" s="34">
        <f>H7-G7</f>
        <v>-1438.0775474443005</v>
      </c>
      <c r="J7" s="39"/>
      <c r="K7" s="40"/>
    </row>
    <row r="8" spans="1:11" x14ac:dyDescent="0.25">
      <c r="A8" s="108" t="s">
        <v>37</v>
      </c>
      <c r="B8" s="26">
        <v>1</v>
      </c>
      <c r="C8" s="26">
        <v>935</v>
      </c>
      <c r="D8" s="81">
        <f>B8*C8*0.1</f>
        <v>93.5</v>
      </c>
      <c r="E8" s="92">
        <v>0.16900000000000001</v>
      </c>
      <c r="F8" s="30">
        <f t="shared" si="0"/>
        <v>285.76596281652229</v>
      </c>
      <c r="G8" s="30">
        <f>(B8*C8)*$B$1+D8*$B$1+F8*$B$1</f>
        <v>702.04670642155304</v>
      </c>
      <c r="H8" s="72"/>
      <c r="I8" s="34">
        <f t="shared" si="1"/>
        <v>-702.04670642155304</v>
      </c>
      <c r="J8" s="39"/>
      <c r="K8" s="40"/>
    </row>
    <row r="9" spans="1:11" x14ac:dyDescent="0.25">
      <c r="A9" s="107" t="s">
        <v>242</v>
      </c>
      <c r="B9" s="3">
        <v>1</v>
      </c>
      <c r="C9" s="3">
        <v>1404</v>
      </c>
      <c r="D9" s="81">
        <f>B9*C9*0.1</f>
        <v>140.4</v>
      </c>
      <c r="E9" s="3">
        <f>0.1*1.3</f>
        <v>0.13</v>
      </c>
      <c r="F9" s="30">
        <f t="shared" si="0"/>
        <v>219.81997139732485</v>
      </c>
      <c r="G9" s="30">
        <f>(B9*C9)*$B$1+D9*$B$1+F9*$B$1</f>
        <v>942.40043900119463</v>
      </c>
      <c r="H9" s="72"/>
      <c r="I9" s="34">
        <f t="shared" si="1"/>
        <v>-942.40043900119463</v>
      </c>
      <c r="J9" s="39"/>
      <c r="K9" s="40"/>
    </row>
    <row r="10" spans="1:11" x14ac:dyDescent="0.25">
      <c r="A10" s="107" t="s">
        <v>339</v>
      </c>
      <c r="B10" s="109">
        <v>1</v>
      </c>
      <c r="C10" s="3">
        <v>1136</v>
      </c>
      <c r="D10" s="81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2"/>
      <c r="I10" s="34">
        <f t="shared" si="1"/>
        <v>-961.05911390298661</v>
      </c>
      <c r="J10" s="39"/>
      <c r="K10" s="40"/>
    </row>
    <row r="11" spans="1:11" x14ac:dyDescent="0.25">
      <c r="A11" s="106" t="s">
        <v>216</v>
      </c>
      <c r="B11" s="9"/>
      <c r="C11" s="9"/>
      <c r="D11" s="84"/>
      <c r="E11" s="9"/>
      <c r="F11" s="10"/>
      <c r="G11" s="10"/>
      <c r="H11" s="72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07" t="s">
        <v>340</v>
      </c>
      <c r="B12" s="111">
        <v>2</v>
      </c>
      <c r="C12" s="3">
        <v>925</v>
      </c>
      <c r="D12" s="81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2"/>
      <c r="I12" s="34">
        <f>H12-G12</f>
        <v>-1362.5344329797258</v>
      </c>
      <c r="J12" s="39"/>
      <c r="K12" s="40"/>
    </row>
    <row r="13" spans="1:11" x14ac:dyDescent="0.25">
      <c r="A13" s="107" t="s">
        <v>341</v>
      </c>
      <c r="B13" s="111">
        <v>2</v>
      </c>
      <c r="C13" s="3">
        <v>925</v>
      </c>
      <c r="D13" s="81">
        <f>B13*C13*0.1</f>
        <v>185</v>
      </c>
      <c r="E13" s="3">
        <v>0.30499999999999999</v>
      </c>
      <c r="F13" s="30">
        <f>E13/$E$38*$F$38</f>
        <v>515.7314713552621</v>
      </c>
      <c r="G13" s="30">
        <f>(B13*C13)*$B$1+D13*$B$1+F13*$B$1</f>
        <v>1362.5344329797258</v>
      </c>
      <c r="H13" s="72"/>
      <c r="I13" s="34">
        <f>H13-G13</f>
        <v>-1362.5344329797258</v>
      </c>
      <c r="J13" s="39"/>
      <c r="K13" s="40"/>
    </row>
    <row r="14" spans="1:11" x14ac:dyDescent="0.25">
      <c r="A14" s="107" t="s">
        <v>342</v>
      </c>
      <c r="B14" s="107">
        <v>1</v>
      </c>
      <c r="C14" s="3">
        <v>1299</v>
      </c>
      <c r="D14" s="81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2"/>
      <c r="I14" s="34">
        <f>H14-G14</f>
        <v>-1711.6906060711872</v>
      </c>
      <c r="J14" s="39"/>
      <c r="K14" s="40"/>
    </row>
    <row r="15" spans="1:11" x14ac:dyDescent="0.25">
      <c r="A15" s="106" t="s">
        <v>192</v>
      </c>
      <c r="B15" s="106"/>
      <c r="C15" s="9"/>
      <c r="D15" s="84"/>
      <c r="E15" s="9"/>
      <c r="F15" s="10"/>
      <c r="G15" s="10"/>
      <c r="H15" s="72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07" t="s">
        <v>343</v>
      </c>
      <c r="B16" s="107">
        <v>1</v>
      </c>
      <c r="C16" s="3">
        <v>2748</v>
      </c>
      <c r="D16" s="81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2"/>
      <c r="I16" s="34">
        <f>H16-G16</f>
        <v>-3186.3509927236819</v>
      </c>
      <c r="J16" s="39"/>
      <c r="K16" s="40"/>
    </row>
    <row r="17" spans="1:12" x14ac:dyDescent="0.25">
      <c r="A17" s="107" t="s">
        <v>344</v>
      </c>
      <c r="B17" s="107">
        <v>1</v>
      </c>
      <c r="C17" s="3">
        <v>2344</v>
      </c>
      <c r="D17" s="81">
        <f>B17*C17*0.1</f>
        <v>234.4</v>
      </c>
      <c r="E17" s="3">
        <f>0.98*1.15</f>
        <v>1.127</v>
      </c>
      <c r="F17" s="30">
        <f>E17/$E$38*$F$38</f>
        <v>1905.6700597291162</v>
      </c>
      <c r="G17" s="30">
        <f>(B17*C17)*$B$1+D17*$B$1+F17*$B$1</f>
        <v>2395.2736400857411</v>
      </c>
      <c r="H17" s="72"/>
      <c r="I17" s="34">
        <f>H17-G17</f>
        <v>-2395.2736400857411</v>
      </c>
      <c r="J17" s="39"/>
      <c r="K17" s="40"/>
    </row>
    <row r="18" spans="1:12" x14ac:dyDescent="0.25">
      <c r="A18" s="107" t="s">
        <v>360</v>
      </c>
      <c r="B18" s="107">
        <v>1</v>
      </c>
      <c r="C18" s="3">
        <v>2316</v>
      </c>
      <c r="D18" s="81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2"/>
      <c r="I18" s="34">
        <f>H18-G18</f>
        <v>-1929.9073088827124</v>
      </c>
      <c r="J18" s="39"/>
      <c r="K18" s="40"/>
    </row>
    <row r="19" spans="1:12" x14ac:dyDescent="0.25">
      <c r="A19" s="106" t="s">
        <v>345</v>
      </c>
      <c r="B19" s="106"/>
      <c r="C19" s="9"/>
      <c r="D19" s="84"/>
      <c r="E19" s="9"/>
      <c r="F19" s="10"/>
      <c r="G19" s="10"/>
      <c r="H19" s="72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07" t="s">
        <v>346</v>
      </c>
      <c r="B20" s="111">
        <v>2</v>
      </c>
      <c r="C20" s="3">
        <v>1404</v>
      </c>
      <c r="D20" s="81">
        <f>B20*C20*0.1</f>
        <v>280.8</v>
      </c>
      <c r="E20" s="3">
        <f>0.1*1.3*2</f>
        <v>0.26</v>
      </c>
      <c r="F20" s="30">
        <f>E20/$E$38*$F$38</f>
        <v>439.6399427946497</v>
      </c>
      <c r="G20" s="30">
        <f>(B20*C20)*$B$1+D20*$B$1+F20*$B$1</f>
        <v>1884.8008780023893</v>
      </c>
      <c r="H20" s="72"/>
      <c r="I20" s="34">
        <f>H20-G20</f>
        <v>-1884.8008780023893</v>
      </c>
      <c r="J20" s="39"/>
      <c r="K20" s="40"/>
    </row>
    <row r="21" spans="1:12" x14ac:dyDescent="0.25">
      <c r="A21" s="106" t="s">
        <v>347</v>
      </c>
      <c r="B21" s="9"/>
      <c r="C21" s="9"/>
      <c r="D21" s="84"/>
      <c r="E21" s="9"/>
      <c r="F21" s="10"/>
      <c r="G21" s="10"/>
      <c r="H21" s="72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07" t="s">
        <v>348</v>
      </c>
      <c r="B22" s="3">
        <v>1</v>
      </c>
      <c r="C22" s="3">
        <v>1404</v>
      </c>
      <c r="D22" s="81">
        <f>B22*C22*0.1</f>
        <v>140.4</v>
      </c>
      <c r="E22" s="3">
        <f>0.1*1.3</f>
        <v>0.13</v>
      </c>
      <c r="F22" s="30">
        <f>E22/$E$38*$F$38</f>
        <v>219.81997139732485</v>
      </c>
      <c r="G22" s="30">
        <f>(B22*C22)*$B$1+D22*$B$1+F22*$B$1</f>
        <v>942.40043900119463</v>
      </c>
      <c r="H22" s="72"/>
      <c r="I22" s="34">
        <f>H22-G22</f>
        <v>-942.40043900119463</v>
      </c>
      <c r="J22" s="39"/>
      <c r="K22" s="40"/>
    </row>
    <row r="23" spans="1:12" x14ac:dyDescent="0.25">
      <c r="A23" s="106" t="s">
        <v>349</v>
      </c>
      <c r="B23" s="9"/>
      <c r="C23" s="9"/>
      <c r="D23" s="84"/>
      <c r="E23" s="9"/>
      <c r="F23" s="10"/>
      <c r="G23" s="10"/>
      <c r="H23" s="72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0" t="s">
        <v>350</v>
      </c>
      <c r="B24" s="3">
        <v>1</v>
      </c>
      <c r="C24" s="3">
        <v>1232</v>
      </c>
      <c r="D24" s="81">
        <f>B24*C24*0.1</f>
        <v>123.2</v>
      </c>
      <c r="E24" s="3">
        <f>0.24*1.3</f>
        <v>0.312</v>
      </c>
      <c r="F24" s="30">
        <f>E24/$E$38*$F$38</f>
        <v>527.56793135357964</v>
      </c>
      <c r="G24" s="30">
        <f>(B24*C24)*$B$1+D24*$B$1+F24*$B$1</f>
        <v>1005.7256769628671</v>
      </c>
      <c r="H24" s="72"/>
      <c r="I24" s="34">
        <f>H24-G24</f>
        <v>-1005.7256769628671</v>
      </c>
      <c r="J24" s="39"/>
      <c r="K24" s="40"/>
    </row>
    <row r="25" spans="1:12" x14ac:dyDescent="0.25">
      <c r="A25" s="106" t="s">
        <v>351</v>
      </c>
      <c r="B25" s="9"/>
      <c r="C25" s="9"/>
      <c r="D25" s="84"/>
      <c r="E25" s="9"/>
      <c r="F25" s="10"/>
      <c r="G25" s="10"/>
      <c r="H25" s="72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0" t="s">
        <v>352</v>
      </c>
      <c r="B26" s="3">
        <v>1</v>
      </c>
      <c r="C26" s="3">
        <v>1601</v>
      </c>
      <c r="D26" s="81">
        <f>B26*C26*0.1</f>
        <v>160.10000000000002</v>
      </c>
      <c r="E26" s="3">
        <f>0.6*1.3</f>
        <v>0.78</v>
      </c>
      <c r="F26" s="30">
        <f>E26/$E$38*$F$38</f>
        <v>1318.9198283839492</v>
      </c>
      <c r="G26" s="30">
        <f>(B26*C26)*$B$1+D26*$B$1+F26*$B$1</f>
        <v>1645.2665118071677</v>
      </c>
      <c r="H26" s="72"/>
      <c r="I26" s="34">
        <f>H26-G26</f>
        <v>-1645.2665118071677</v>
      </c>
      <c r="J26" s="39"/>
      <c r="K26" s="40"/>
    </row>
    <row r="27" spans="1:12" x14ac:dyDescent="0.25">
      <c r="A27" s="106" t="s">
        <v>68</v>
      </c>
      <c r="B27" s="9"/>
      <c r="C27" s="9"/>
      <c r="D27" s="84"/>
      <c r="E27" s="9"/>
      <c r="F27" s="10"/>
      <c r="G27" s="10"/>
      <c r="H27" s="72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07" t="s">
        <v>353</v>
      </c>
      <c r="B28" s="3">
        <v>1</v>
      </c>
      <c r="C28" s="3">
        <v>1146</v>
      </c>
      <c r="D28" s="81">
        <f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2"/>
      <c r="I28" s="34">
        <f>H28-G28</f>
        <v>-966.93502790298658</v>
      </c>
      <c r="J28" s="39"/>
      <c r="K28" s="40"/>
    </row>
    <row r="29" spans="1:12" x14ac:dyDescent="0.25">
      <c r="A29" s="107" t="s">
        <v>354</v>
      </c>
      <c r="B29" s="3">
        <v>1</v>
      </c>
      <c r="C29" s="3">
        <v>1136</v>
      </c>
      <c r="D29" s="80">
        <f>B29*C29*0.1</f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2"/>
      <c r="I29" s="34">
        <f>H29-G29</f>
        <v>-1019.7701706035839</v>
      </c>
      <c r="J29" s="39"/>
      <c r="K29" s="40"/>
    </row>
    <row r="30" spans="1:12" x14ac:dyDescent="0.25">
      <c r="A30" s="106" t="s">
        <v>355</v>
      </c>
      <c r="B30" s="9"/>
      <c r="C30" s="9"/>
      <c r="D30" s="84"/>
      <c r="E30" s="9"/>
      <c r="F30" s="10"/>
      <c r="G30" s="10"/>
      <c r="H30" s="72"/>
      <c r="I30" s="42">
        <f>SUM(I31:I32)</f>
        <v>-1274.6886716047784</v>
      </c>
      <c r="J30" s="38">
        <v>1293</v>
      </c>
      <c r="K30" s="38">
        <f>J30+I30</f>
        <v>18.311328395221608</v>
      </c>
      <c r="L30" s="79"/>
    </row>
    <row r="31" spans="1:12" x14ac:dyDescent="0.25">
      <c r="A31" s="107" t="s">
        <v>337</v>
      </c>
      <c r="B31" s="3">
        <v>1</v>
      </c>
      <c r="C31" s="3">
        <v>685</v>
      </c>
      <c r="D31" s="81">
        <f>B31*C31*0.1</f>
        <v>68.5</v>
      </c>
      <c r="E31" s="3">
        <f>0.2*1.3</f>
        <v>0.26</v>
      </c>
      <c r="F31" s="30">
        <f>E31/$E$38*$F$38</f>
        <v>439.6399427946497</v>
      </c>
      <c r="G31" s="30">
        <f>(B31*C31)*$B$1+D31*$B$1+F31*$B$1</f>
        <v>637.3443358023892</v>
      </c>
      <c r="H31" s="72"/>
      <c r="I31" s="34">
        <f>H31-G31</f>
        <v>-637.3443358023892</v>
      </c>
      <c r="J31" s="39"/>
      <c r="K31" s="40"/>
    </row>
    <row r="32" spans="1:12" x14ac:dyDescent="0.25">
      <c r="A32" s="107" t="s">
        <v>356</v>
      </c>
      <c r="B32" s="3">
        <v>1</v>
      </c>
      <c r="C32" s="3">
        <v>685</v>
      </c>
      <c r="D32" s="80">
        <f>B32*C32*0.1</f>
        <v>68.5</v>
      </c>
      <c r="E32" s="3">
        <f>0.2*1.3</f>
        <v>0.26</v>
      </c>
      <c r="F32" s="30">
        <f>E32/$E$38*$F$38</f>
        <v>439.6399427946497</v>
      </c>
      <c r="G32" s="30">
        <f>(B32*C32)*$B$1+D32*$B$1+F32*$B$1</f>
        <v>637.3443358023892</v>
      </c>
      <c r="H32" s="72"/>
      <c r="I32" s="34">
        <f>H32-G32</f>
        <v>-637.3443358023892</v>
      </c>
      <c r="J32" s="39"/>
      <c r="K32" s="40"/>
    </row>
    <row r="33" spans="1:11" x14ac:dyDescent="0.25">
      <c r="A33" s="106" t="s">
        <v>161</v>
      </c>
      <c r="B33" s="9"/>
      <c r="C33" s="9"/>
      <c r="D33" s="84"/>
      <c r="E33" s="9"/>
      <c r="F33" s="10"/>
      <c r="G33" s="10"/>
      <c r="H33" s="72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357</v>
      </c>
      <c r="B34" s="3">
        <v>1</v>
      </c>
      <c r="C34" s="3">
        <v>551</v>
      </c>
      <c r="D34" s="81">
        <f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2"/>
      <c r="I34" s="34">
        <f>H34-G34</f>
        <v>-382.4739181005973</v>
      </c>
      <c r="J34" s="39"/>
      <c r="K34" s="40"/>
    </row>
    <row r="35" spans="1:11" x14ac:dyDescent="0.25">
      <c r="A35" s="3" t="s">
        <v>358</v>
      </c>
      <c r="B35" s="3">
        <v>1</v>
      </c>
      <c r="C35" s="3">
        <v>938</v>
      </c>
      <c r="D35" s="80">
        <f>B35*C35*0.1</f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2"/>
      <c r="I35" s="34">
        <f>H35-G35</f>
        <v>-668.58284660119466</v>
      </c>
      <c r="J35" s="39"/>
      <c r="K35" s="40"/>
    </row>
    <row r="36" spans="1:11" x14ac:dyDescent="0.25">
      <c r="A36" s="88" t="s">
        <v>30</v>
      </c>
      <c r="B36" s="86"/>
      <c r="C36" s="86"/>
      <c r="D36" s="84"/>
      <c r="E36" s="84"/>
      <c r="F36" s="10"/>
      <c r="G36" s="10"/>
      <c r="H36" s="72"/>
      <c r="I36" s="42"/>
      <c r="J36" s="38"/>
      <c r="K36" s="38"/>
    </row>
    <row r="37" spans="1:11" x14ac:dyDescent="0.25">
      <c r="A37" s="90"/>
      <c r="B37" s="81"/>
      <c r="C37" s="81"/>
      <c r="D37" s="81"/>
      <c r="E37" s="81">
        <v>2.206</v>
      </c>
      <c r="F37" s="30">
        <f>E37/$E$38*$F$38</f>
        <v>3730.1758223269126</v>
      </c>
      <c r="G37" s="30">
        <f>(B37*C37)*$B$1+D37*$B$1+F37*$B$1</f>
        <v>1992.5629397156563</v>
      </c>
      <c r="H37" s="72"/>
      <c r="I37" s="28"/>
      <c r="J37" s="28"/>
      <c r="K37" s="28"/>
    </row>
    <row r="38" spans="1:11" x14ac:dyDescent="0.25">
      <c r="A38" s="27"/>
      <c r="B38" s="28"/>
      <c r="C38" s="28"/>
      <c r="D38" s="28"/>
      <c r="E38" s="99">
        <f>SUM(E4:E37)</f>
        <v>11.886999999999999</v>
      </c>
      <c r="F38" s="94">
        <v>20100</v>
      </c>
      <c r="G38" s="28">
        <f>F38/E38</f>
        <v>1690.9228569024988</v>
      </c>
      <c r="H38" s="72"/>
      <c r="I38" s="28"/>
      <c r="J38" s="28"/>
      <c r="K38" s="28"/>
    </row>
    <row r="40" spans="1:11" ht="36.75" customHeight="1" x14ac:dyDescent="0.25">
      <c r="A40" s="201" t="s">
        <v>359</v>
      </c>
      <c r="B40" s="202"/>
      <c r="C40" s="202"/>
      <c r="D40" s="202"/>
      <c r="E40" s="202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90" zoomScaleNormal="90" workbookViewId="0">
      <selection activeCell="F33" sqref="F33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289</v>
      </c>
      <c r="K1" s="97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364</v>
      </c>
      <c r="B4" s="9"/>
      <c r="C4" s="9"/>
      <c r="D4" s="84"/>
      <c r="E4" s="9"/>
      <c r="F4" s="10"/>
      <c r="G4" s="10"/>
      <c r="H4" s="72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365</v>
      </c>
      <c r="B5" s="3">
        <v>1</v>
      </c>
      <c r="C5" s="3">
        <v>2929</v>
      </c>
      <c r="D5" s="81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2"/>
      <c r="I5" s="34">
        <f>H5-G5</f>
        <v>-3581.9222406034296</v>
      </c>
      <c r="J5" s="39"/>
      <c r="K5" s="40"/>
    </row>
    <row r="6" spans="1:11" x14ac:dyDescent="0.25">
      <c r="A6" s="3" t="s">
        <v>366</v>
      </c>
      <c r="B6" s="3">
        <v>1</v>
      </c>
      <c r="C6" s="3">
        <v>1295</v>
      </c>
      <c r="D6" s="81">
        <f>B6*C6*0.1</f>
        <v>129.5</v>
      </c>
      <c r="E6" s="3">
        <f>0.24*1.3</f>
        <v>0.312</v>
      </c>
      <c r="F6" s="30">
        <f>E6/$E$33*$F$33</f>
        <v>495.56891560899578</v>
      </c>
      <c r="G6" s="30">
        <f>(B6*C6)*$B$1+D6*$B$1+F6*$B$1</f>
        <v>1362.2888956245824</v>
      </c>
      <c r="H6" s="72"/>
      <c r="I6" s="34">
        <f>H6-G6</f>
        <v>-1362.2888956245824</v>
      </c>
      <c r="J6" s="39"/>
      <c r="K6" s="40"/>
    </row>
    <row r="7" spans="1:11" x14ac:dyDescent="0.25">
      <c r="A7" s="3" t="s">
        <v>367</v>
      </c>
      <c r="B7" s="3">
        <v>1</v>
      </c>
      <c r="C7" s="3">
        <v>1311</v>
      </c>
      <c r="D7" s="81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>(B7*C7)*$B$1+D7*$B$1+F7*$B$1</f>
        <v>1404.0766077599644</v>
      </c>
      <c r="H7" s="72"/>
      <c r="I7" s="34">
        <f>H7-G7</f>
        <v>-1404.0766077599644</v>
      </c>
      <c r="J7" s="39"/>
      <c r="K7" s="40"/>
    </row>
    <row r="8" spans="1:11" x14ac:dyDescent="0.25">
      <c r="A8" s="3" t="s">
        <v>368</v>
      </c>
      <c r="B8" s="3">
        <v>1</v>
      </c>
      <c r="C8" s="3">
        <v>3221</v>
      </c>
      <c r="D8" s="81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>(B8*C8)*$B$1+D8*$B$1+F8*$B$1</f>
        <v>3809.8136406034291</v>
      </c>
      <c r="H8" s="72"/>
      <c r="I8" s="34">
        <f>H8-G8</f>
        <v>-3809.8136406034291</v>
      </c>
      <c r="J8" s="39"/>
      <c r="K8" s="40"/>
    </row>
    <row r="9" spans="1:11" x14ac:dyDescent="0.25">
      <c r="A9" s="3" t="s">
        <v>369</v>
      </c>
      <c r="B9" s="3">
        <v>1</v>
      </c>
      <c r="C9" s="3">
        <v>2746</v>
      </c>
      <c r="D9" s="81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>(B9*C9)*$B$1+D9*$B$1+F9*$B$1</f>
        <v>4216.6904049654868</v>
      </c>
      <c r="H9" s="72"/>
      <c r="I9" s="34">
        <f>H9-G9</f>
        <v>-4216.6904049654868</v>
      </c>
      <c r="J9" s="39"/>
      <c r="K9" s="40"/>
    </row>
    <row r="10" spans="1:11" x14ac:dyDescent="0.25">
      <c r="A10" s="9" t="s">
        <v>336</v>
      </c>
      <c r="B10" s="9"/>
      <c r="C10" s="9"/>
      <c r="D10" s="84"/>
      <c r="E10" s="9"/>
      <c r="F10" s="10"/>
      <c r="G10" s="10"/>
      <c r="H10" s="72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370</v>
      </c>
      <c r="B11" s="3">
        <v>1</v>
      </c>
      <c r="C11" s="3">
        <v>2801</v>
      </c>
      <c r="D11" s="81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2"/>
      <c r="I11" s="34">
        <f>H11-G11</f>
        <v>-3482.0246406034294</v>
      </c>
      <c r="J11" s="39"/>
      <c r="K11" s="40"/>
    </row>
    <row r="12" spans="1:11" x14ac:dyDescent="0.25">
      <c r="A12" s="3" t="s">
        <v>371</v>
      </c>
      <c r="B12" s="3">
        <v>1</v>
      </c>
      <c r="C12" s="3">
        <v>3221</v>
      </c>
      <c r="D12" s="81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>(B12*C12)*$B$1+D12*$B$1+F12*$B$1</f>
        <v>3809.8136406034291</v>
      </c>
      <c r="H12" s="72"/>
      <c r="I12" s="34">
        <f>H12-G12</f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4"/>
      <c r="E13" s="9"/>
      <c r="F13" s="10"/>
      <c r="G13" s="10"/>
      <c r="H13" s="72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372</v>
      </c>
      <c r="B14" s="3">
        <v>1</v>
      </c>
      <c r="C14" s="3">
        <v>958</v>
      </c>
      <c r="D14" s="81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2"/>
      <c r="I14" s="34">
        <f>H14-G14</f>
        <v>-864.8731485415276</v>
      </c>
      <c r="J14" s="39"/>
      <c r="K14" s="40"/>
    </row>
    <row r="15" spans="1:11" x14ac:dyDescent="0.25">
      <c r="A15" s="3" t="s">
        <v>373</v>
      </c>
      <c r="B15" s="3">
        <v>1</v>
      </c>
      <c r="C15" s="3">
        <v>958</v>
      </c>
      <c r="D15" s="81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>(B15*C15)*$B$1+D15*$B$1+F15*$B$1</f>
        <v>864.8731485415276</v>
      </c>
      <c r="H15" s="72"/>
      <c r="I15" s="34">
        <f>H15-G15</f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4"/>
      <c r="E16" s="9"/>
      <c r="F16" s="10"/>
      <c r="G16" s="10"/>
      <c r="H16" s="72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374</v>
      </c>
      <c r="B17" s="3">
        <v>1</v>
      </c>
      <c r="C17" s="3">
        <v>2801</v>
      </c>
      <c r="D17" s="81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2"/>
      <c r="I17" s="34">
        <f>H17-G17</f>
        <v>-3482.0246406034294</v>
      </c>
      <c r="J17" s="39"/>
      <c r="K17" s="40"/>
    </row>
    <row r="18" spans="1:12" x14ac:dyDescent="0.25">
      <c r="A18" s="3" t="s">
        <v>375</v>
      </c>
      <c r="B18" s="3">
        <v>1</v>
      </c>
      <c r="C18" s="3">
        <v>2929</v>
      </c>
      <c r="D18" s="81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>(B18*C18)*$B$1+D18*$B$1+F18*$B$1</f>
        <v>3581.9222406034296</v>
      </c>
      <c r="H18" s="72"/>
      <c r="I18" s="34">
        <f>H18-G18</f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4"/>
      <c r="E19" s="9"/>
      <c r="F19" s="10"/>
      <c r="G19" s="10"/>
      <c r="H19" s="72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98" t="s">
        <v>376</v>
      </c>
      <c r="B20" s="3">
        <v>1</v>
      </c>
      <c r="C20" s="3">
        <v>1130</v>
      </c>
      <c r="D20" s="81">
        <f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2"/>
      <c r="I20" s="34">
        <f>H20-G20</f>
        <v>-1174.9136213538188</v>
      </c>
      <c r="J20" s="39"/>
      <c r="K20" s="40"/>
    </row>
    <row r="21" spans="1:12" x14ac:dyDescent="0.25">
      <c r="A21" s="98" t="s">
        <v>377</v>
      </c>
      <c r="B21" s="3">
        <v>1</v>
      </c>
      <c r="C21" s="3">
        <v>1332</v>
      </c>
      <c r="D21" s="80">
        <f>B21*C21*0.1</f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2"/>
      <c r="I21" s="34">
        <f>H21-G21</f>
        <v>-1332.5645213538189</v>
      </c>
      <c r="J21" s="39"/>
      <c r="K21" s="40"/>
    </row>
    <row r="22" spans="1:12" x14ac:dyDescent="0.25">
      <c r="A22" s="9" t="s">
        <v>378</v>
      </c>
      <c r="B22" s="9"/>
      <c r="C22" s="9"/>
      <c r="D22" s="84"/>
      <c r="E22" s="9"/>
      <c r="F22" s="10"/>
      <c r="G22" s="10"/>
      <c r="H22" s="72"/>
      <c r="I22" s="42">
        <f>SUM(I23:I24)</f>
        <v>-2651.6393533845476</v>
      </c>
      <c r="J22" s="38">
        <f>2520+132</f>
        <v>2652</v>
      </c>
      <c r="K22" s="38">
        <f>J22+I22</f>
        <v>0.36064661545242416</v>
      </c>
      <c r="L22" s="79"/>
    </row>
    <row r="23" spans="1:12" x14ac:dyDescent="0.25">
      <c r="A23" s="3" t="s">
        <v>379</v>
      </c>
      <c r="B23" s="3">
        <v>1</v>
      </c>
      <c r="C23" s="3">
        <v>1231</v>
      </c>
      <c r="D23" s="81">
        <f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>(B23*C23)*$B$1+D23*$B$1+F23*$B$1</f>
        <v>1326.9903516922736</v>
      </c>
      <c r="H23" s="72"/>
      <c r="I23" s="34">
        <f>H23-G23</f>
        <v>-1326.9903516922736</v>
      </c>
      <c r="J23" s="39"/>
      <c r="K23" s="40"/>
    </row>
    <row r="24" spans="1:12" x14ac:dyDescent="0.25">
      <c r="A24" s="3" t="s">
        <v>380</v>
      </c>
      <c r="B24" s="3">
        <v>1</v>
      </c>
      <c r="C24" s="3">
        <v>1228</v>
      </c>
      <c r="D24" s="80">
        <f>B24*C24*0.1</f>
        <v>122.80000000000001</v>
      </c>
      <c r="E24" s="3">
        <f>0.25*1.3</f>
        <v>0.32500000000000001</v>
      </c>
      <c r="F24" s="30">
        <f>E24/$E$33*$F$33</f>
        <v>516.21762042603734</v>
      </c>
      <c r="G24" s="30">
        <f>(B24*C24)*$B$1+D24*$B$1+F24*$B$1</f>
        <v>1324.6490016922737</v>
      </c>
      <c r="H24" s="72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4"/>
      <c r="E25" s="9"/>
      <c r="F25" s="10"/>
      <c r="G25" s="10"/>
      <c r="H25" s="72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98" t="s">
        <v>381</v>
      </c>
      <c r="B26" s="3">
        <v>1</v>
      </c>
      <c r="C26" s="3">
        <v>1124</v>
      </c>
      <c r="D26" s="81">
        <f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2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4"/>
      <c r="E27" s="9"/>
      <c r="F27" s="10"/>
      <c r="G27" s="10"/>
      <c r="H27" s="72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382</v>
      </c>
      <c r="B28" s="3">
        <v>2</v>
      </c>
      <c r="C28" s="3">
        <v>893</v>
      </c>
      <c r="D28" s="81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2"/>
      <c r="I28" s="34">
        <f>H28-G28</f>
        <v>-1686.8888213538189</v>
      </c>
      <c r="J28" s="39"/>
      <c r="K28" s="40"/>
    </row>
    <row r="29" spans="1:12" x14ac:dyDescent="0.25">
      <c r="A29" s="9" t="s">
        <v>324</v>
      </c>
      <c r="B29" s="9"/>
      <c r="C29" s="9"/>
      <c r="D29" s="84"/>
      <c r="E29" s="9"/>
      <c r="F29" s="10"/>
      <c r="G29" s="10"/>
      <c r="H29" s="72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385</v>
      </c>
    </row>
    <row r="30" spans="1:12" x14ac:dyDescent="0.25">
      <c r="A30" s="3" t="s">
        <v>383</v>
      </c>
      <c r="B30" s="3">
        <v>1</v>
      </c>
      <c r="C30" s="3">
        <v>953</v>
      </c>
      <c r="D30" s="81">
        <f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2"/>
      <c r="I30" s="34">
        <f>H30-G30</f>
        <v>-963.5226910153641</v>
      </c>
      <c r="J30" s="39"/>
      <c r="K30" s="40"/>
    </row>
    <row r="31" spans="1:12" x14ac:dyDescent="0.25">
      <c r="A31" s="88" t="s">
        <v>30</v>
      </c>
      <c r="B31" s="86"/>
      <c r="C31" s="86"/>
      <c r="D31" s="84"/>
      <c r="E31" s="84"/>
      <c r="F31" s="10"/>
      <c r="G31" s="10"/>
      <c r="H31" s="72"/>
      <c r="I31" s="42"/>
      <c r="J31" s="38"/>
      <c r="K31" s="38"/>
    </row>
    <row r="32" spans="1:12" x14ac:dyDescent="0.25">
      <c r="A32" s="90"/>
      <c r="B32" s="81"/>
      <c r="C32" s="81"/>
      <c r="D32" s="81"/>
      <c r="E32" s="81">
        <v>1.86</v>
      </c>
      <c r="F32" s="30">
        <f>E32/$E$33*$F$33</f>
        <v>2954.3531507459365</v>
      </c>
      <c r="G32" s="30">
        <f>(B32*C32)*$B$1+D32*$B$1+F32*$B$1</f>
        <v>2096.1135604542419</v>
      </c>
      <c r="H32" s="72"/>
      <c r="I32" s="28"/>
      <c r="J32" s="28"/>
      <c r="K32" s="28"/>
    </row>
    <row r="33" spans="1:11" x14ac:dyDescent="0.25">
      <c r="A33" s="27"/>
      <c r="B33" s="28"/>
      <c r="C33" s="28"/>
      <c r="D33" s="28"/>
      <c r="E33" s="99">
        <f>SUM(E4:E32)</f>
        <v>13.472999999999999</v>
      </c>
      <c r="F33" s="94">
        <v>21400</v>
      </c>
      <c r="G33" s="28">
        <f>F33/E33</f>
        <v>1588.3619090031916</v>
      </c>
      <c r="H33" s="72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199" t="s">
        <v>210</v>
      </c>
      <c r="B35" s="200"/>
      <c r="C35" s="200"/>
      <c r="D35" s="200"/>
      <c r="E35" s="200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opLeftCell="A28" zoomScale="90" zoomScaleNormal="90" workbookViewId="0">
      <selection activeCell="A43" sqref="A43:XFD43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12" customWidth="1"/>
  </cols>
  <sheetData>
    <row r="1" spans="1:12" x14ac:dyDescent="0.25">
      <c r="A1" s="1" t="s">
        <v>5</v>
      </c>
      <c r="B1" s="45">
        <f>0.5439</f>
        <v>0.54390000000000005</v>
      </c>
      <c r="C1" s="1"/>
      <c r="J1" s="1" t="s">
        <v>289</v>
      </c>
      <c r="K1" s="116">
        <v>42915</v>
      </c>
    </row>
    <row r="2" spans="1:12" ht="21" x14ac:dyDescent="0.35">
      <c r="A2" s="8" t="s">
        <v>267</v>
      </c>
    </row>
    <row r="3" spans="1:12" ht="45.75" customHeight="1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17" t="s">
        <v>422</v>
      </c>
    </row>
    <row r="4" spans="1:12" x14ac:dyDescent="0.25">
      <c r="A4" s="9" t="s">
        <v>196</v>
      </c>
      <c r="B4" s="9"/>
      <c r="C4" s="9"/>
      <c r="D4" s="84"/>
      <c r="E4" s="9"/>
      <c r="F4" s="10"/>
      <c r="G4" s="10"/>
      <c r="H4" s="72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25">
      <c r="A5" s="98" t="s">
        <v>389</v>
      </c>
      <c r="B5" s="3">
        <v>1</v>
      </c>
      <c r="C5" s="3">
        <v>1361.2</v>
      </c>
      <c r="D5" s="81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2"/>
      <c r="I5" s="34">
        <f>H5-G5</f>
        <v>-1213.2798764698737</v>
      </c>
      <c r="J5" s="39"/>
      <c r="K5" s="40"/>
      <c r="L5" t="s">
        <v>423</v>
      </c>
    </row>
    <row r="6" spans="1:12" x14ac:dyDescent="0.25">
      <c r="A6" s="3" t="s">
        <v>390</v>
      </c>
      <c r="B6" s="3">
        <v>1</v>
      </c>
      <c r="C6" s="3">
        <v>2291</v>
      </c>
      <c r="D6" s="81">
        <f>B6*C6*0.1</f>
        <v>229.10000000000002</v>
      </c>
      <c r="E6" s="3">
        <v>0.22100000000000003</v>
      </c>
      <c r="F6" s="30">
        <f>E6/$E$48*$F$48</f>
        <v>352.34315687763137</v>
      </c>
      <c r="G6" s="30">
        <f>(B6*C6)*$B$1+D6*$B$1+F6*$B$1</f>
        <v>1562.3218330257439</v>
      </c>
      <c r="H6" s="72"/>
      <c r="I6" s="34">
        <f>H6-G6</f>
        <v>-1562.3218330257439</v>
      </c>
      <c r="J6" s="39"/>
      <c r="K6" s="40"/>
    </row>
    <row r="7" spans="1:12" x14ac:dyDescent="0.25">
      <c r="A7" s="3" t="s">
        <v>391</v>
      </c>
      <c r="B7" s="3">
        <v>1</v>
      </c>
      <c r="C7" s="3">
        <v>1752</v>
      </c>
      <c r="D7" s="81">
        <f>B7*C7*0.1</f>
        <v>175.20000000000002</v>
      </c>
      <c r="E7" s="3">
        <v>0.13</v>
      </c>
      <c r="F7" s="30">
        <f>E7/$E$48*$F$48</f>
        <v>207.26068051625373</v>
      </c>
      <c r="G7" s="30">
        <f>(B7*C7)*$B$1+D7*$B$1+F7*$B$1</f>
        <v>1160.9331641327904</v>
      </c>
      <c r="H7" s="72"/>
      <c r="I7" s="34">
        <f>H7-G7</f>
        <v>-1160.9331641327904</v>
      </c>
      <c r="J7" s="39"/>
      <c r="K7" s="40"/>
    </row>
    <row r="8" spans="1:12" x14ac:dyDescent="0.25">
      <c r="A8" s="9" t="s">
        <v>392</v>
      </c>
      <c r="B8" s="9"/>
      <c r="C8" s="9"/>
      <c r="D8" s="84"/>
      <c r="E8" s="9"/>
      <c r="F8" s="10"/>
      <c r="G8" s="10"/>
      <c r="H8" s="72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25">
      <c r="A9" s="3" t="s">
        <v>393</v>
      </c>
      <c r="B9" s="3">
        <v>1</v>
      </c>
      <c r="C9" s="3">
        <v>1170</v>
      </c>
      <c r="D9" s="81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2"/>
      <c r="I9" s="34">
        <f>H9-G9</f>
        <v>-981.82201033197612</v>
      </c>
      <c r="J9" s="39"/>
      <c r="K9" s="40"/>
    </row>
    <row r="10" spans="1:12" x14ac:dyDescent="0.25">
      <c r="A10" s="3" t="s">
        <v>394</v>
      </c>
      <c r="B10" s="3">
        <v>1</v>
      </c>
      <c r="C10" s="3">
        <v>1231</v>
      </c>
      <c r="D10" s="81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>(B10*C10)*$B$1+D10*$B$1+F10*$B$1</f>
        <v>1018.3177003319761</v>
      </c>
      <c r="H10" s="72"/>
      <c r="I10" s="34">
        <f>H10-G10</f>
        <v>-1018.3177003319761</v>
      </c>
      <c r="J10" s="39"/>
      <c r="K10" s="40"/>
    </row>
    <row r="11" spans="1:12" x14ac:dyDescent="0.25">
      <c r="A11" s="3" t="s">
        <v>395</v>
      </c>
      <c r="B11" s="3">
        <v>1</v>
      </c>
      <c r="C11" s="3">
        <v>1112</v>
      </c>
      <c r="D11" s="81">
        <f>B11*C11*0.1</f>
        <v>111.2</v>
      </c>
      <c r="E11" s="3">
        <v>0.39</v>
      </c>
      <c r="F11" s="30">
        <f>E11/$E$48*$F$48</f>
        <v>621.78204154876119</v>
      </c>
      <c r="G11" s="30">
        <f>(B11*C11)*$B$1+D11*$B$1+F11*$B$1</f>
        <v>1003.4857323983713</v>
      </c>
      <c r="H11" s="72"/>
      <c r="I11" s="34">
        <f>H11-G11</f>
        <v>-1003.4857323983713</v>
      </c>
      <c r="J11" s="39"/>
      <c r="K11" s="40"/>
    </row>
    <row r="12" spans="1:12" x14ac:dyDescent="0.25">
      <c r="A12" s="3" t="s">
        <v>396</v>
      </c>
      <c r="B12" s="3">
        <v>1</v>
      </c>
      <c r="C12" s="3">
        <v>1206</v>
      </c>
      <c r="D12" s="81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>(B12*C12)*$B$1+D12*$B$1+F12*$B$1</f>
        <v>1003.3604503319762</v>
      </c>
      <c r="H12" s="72"/>
      <c r="I12" s="34">
        <f>H12-G12</f>
        <v>-1003.3604503319762</v>
      </c>
      <c r="J12" s="39"/>
      <c r="K12" s="40"/>
    </row>
    <row r="13" spans="1:12" x14ac:dyDescent="0.25">
      <c r="A13" s="3" t="s">
        <v>397</v>
      </c>
      <c r="B13" s="3">
        <v>1</v>
      </c>
      <c r="C13" s="3">
        <v>1325</v>
      </c>
      <c r="D13" s="81">
        <f>B13*C13*0.1</f>
        <v>132.5</v>
      </c>
      <c r="E13" s="3">
        <v>0.13</v>
      </c>
      <c r="F13" s="30">
        <f>E13/$E$48*$F$48</f>
        <v>207.26068051625373</v>
      </c>
      <c r="G13" s="30">
        <f>(B13*C13)*$B$1+D13*$B$1+F13*$B$1</f>
        <v>905.46333413279035</v>
      </c>
      <c r="H13" s="72"/>
      <c r="I13" s="34">
        <f>H13-G13</f>
        <v>-905.46333413279035</v>
      </c>
      <c r="J13" s="39"/>
      <c r="K13" s="40"/>
    </row>
    <row r="14" spans="1:12" x14ac:dyDescent="0.25">
      <c r="A14" s="9" t="s">
        <v>398</v>
      </c>
      <c r="B14" s="9"/>
      <c r="C14" s="9"/>
      <c r="D14" s="84"/>
      <c r="E14" s="9"/>
      <c r="F14" s="10"/>
      <c r="G14" s="10"/>
      <c r="H14" s="72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425</v>
      </c>
    </row>
    <row r="15" spans="1:12" x14ac:dyDescent="0.25">
      <c r="A15" s="112" t="s">
        <v>399</v>
      </c>
      <c r="B15" s="3">
        <v>1</v>
      </c>
      <c r="C15" s="3">
        <v>398</v>
      </c>
      <c r="D15" s="81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2"/>
      <c r="I15" s="34">
        <f>H15-G15</f>
        <v>-283.21105365311621</v>
      </c>
      <c r="J15" s="39"/>
      <c r="K15" s="40"/>
    </row>
    <row r="16" spans="1:12" x14ac:dyDescent="0.25">
      <c r="A16" s="112" t="s">
        <v>400</v>
      </c>
      <c r="B16" s="3">
        <v>1</v>
      </c>
      <c r="C16" s="3">
        <v>1012</v>
      </c>
      <c r="D16" s="81">
        <f>B16*C16*0.1</f>
        <v>101.2</v>
      </c>
      <c r="E16" s="3">
        <v>0.156</v>
      </c>
      <c r="F16" s="30">
        <f>E16/$E$48*$F$48</f>
        <v>248.71281661950445</v>
      </c>
      <c r="G16" s="30">
        <f>(B16*C16)*$B$1+D16*$B$1+F16*$B$1</f>
        <v>740.74438095934852</v>
      </c>
      <c r="H16" s="72"/>
      <c r="I16" s="34">
        <f>H16-G16</f>
        <v>-740.74438095934852</v>
      </c>
      <c r="J16" s="39"/>
      <c r="K16" s="40"/>
    </row>
    <row r="17" spans="1:12" x14ac:dyDescent="0.25">
      <c r="A17" s="112" t="s">
        <v>401</v>
      </c>
      <c r="B17" s="3">
        <v>1</v>
      </c>
      <c r="C17" s="3">
        <v>1312</v>
      </c>
      <c r="D17" s="81">
        <f>B17*C17*0.1</f>
        <v>131.20000000000002</v>
      </c>
      <c r="E17" s="3">
        <v>0.13</v>
      </c>
      <c r="F17" s="30">
        <f>E17/$E$48*$F$48</f>
        <v>207.26068051625373</v>
      </c>
      <c r="G17" s="30">
        <f>(B17*C17)*$B$1+D17*$B$1+F17*$B$1</f>
        <v>897.68556413279043</v>
      </c>
      <c r="H17" s="72"/>
      <c r="I17" s="34">
        <f>H17-G17</f>
        <v>-897.68556413279043</v>
      </c>
      <c r="J17" s="39"/>
      <c r="K17" s="40"/>
    </row>
    <row r="18" spans="1:12" x14ac:dyDescent="0.25">
      <c r="A18" s="112" t="s">
        <v>402</v>
      </c>
      <c r="B18" s="3">
        <v>1</v>
      </c>
      <c r="C18" s="3">
        <v>4536</v>
      </c>
      <c r="D18" s="81">
        <f>B18*C18*0.1</f>
        <v>453.6</v>
      </c>
      <c r="E18" s="3">
        <v>0.73</v>
      </c>
      <c r="F18" s="30">
        <f>E18/$E$48*$F$48</f>
        <v>1163.8484367451169</v>
      </c>
      <c r="G18" s="30">
        <f>(B18*C18)*$B$1+D18*$B$1+F18*$B$1</f>
        <v>3346.8606047456692</v>
      </c>
      <c r="H18" s="72"/>
      <c r="I18" s="34">
        <f>H18-G18</f>
        <v>-3346.8606047456692</v>
      </c>
      <c r="J18" s="39"/>
      <c r="K18" s="40"/>
    </row>
    <row r="19" spans="1:12" x14ac:dyDescent="0.25">
      <c r="A19" s="9" t="s">
        <v>283</v>
      </c>
      <c r="B19" s="9"/>
      <c r="C19" s="9"/>
      <c r="D19" s="84"/>
      <c r="E19" s="9"/>
      <c r="F19" s="10"/>
      <c r="G19" s="10"/>
      <c r="H19" s="72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25">
      <c r="A20" s="3" t="s">
        <v>403</v>
      </c>
      <c r="B20" s="3">
        <v>1</v>
      </c>
      <c r="C20" s="3">
        <f>2920/1000*600</f>
        <v>1752</v>
      </c>
      <c r="D20" s="81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2"/>
      <c r="I20" s="34">
        <f>H20-G20</f>
        <v>-1646.5353727048105</v>
      </c>
      <c r="J20" s="39"/>
      <c r="K20" s="40"/>
      <c r="L20" t="s">
        <v>423</v>
      </c>
    </row>
    <row r="21" spans="1:12" x14ac:dyDescent="0.25">
      <c r="A21" s="3" t="s">
        <v>404</v>
      </c>
      <c r="B21" s="3">
        <v>1</v>
      </c>
      <c r="C21" s="3">
        <f>2773/1000*600</f>
        <v>1663.8000000000002</v>
      </c>
      <c r="D21" s="81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2"/>
      <c r="I21" s="34">
        <f>H21-G21</f>
        <v>-1593.7661947048109</v>
      </c>
      <c r="J21" s="39"/>
      <c r="K21" s="40"/>
      <c r="L21" t="s">
        <v>423</v>
      </c>
    </row>
    <row r="22" spans="1:12" x14ac:dyDescent="0.25">
      <c r="A22" s="3" t="s">
        <v>405</v>
      </c>
      <c r="B22" s="3">
        <v>1</v>
      </c>
      <c r="C22" s="3">
        <f>3221/1000*600</f>
        <v>1932.6000000000001</v>
      </c>
      <c r="D22" s="81">
        <f>B22*C22*0.1</f>
        <v>193.26000000000002</v>
      </c>
      <c r="E22" s="3">
        <v>0.69</v>
      </c>
      <c r="F22" s="30">
        <f>E22/$E$48*$F$48</f>
        <v>1100.0759196631927</v>
      </c>
      <c r="G22" s="30">
        <f>(B22*C22)*$B$1+D22*$B$1+F22*$B$1</f>
        <v>1754.5865467048106</v>
      </c>
      <c r="H22" s="72"/>
      <c r="I22" s="34">
        <f>H22-G22</f>
        <v>-1754.5865467048106</v>
      </c>
      <c r="J22" s="39"/>
      <c r="K22" s="40"/>
      <c r="L22" t="s">
        <v>423</v>
      </c>
    </row>
    <row r="23" spans="1:12" x14ac:dyDescent="0.25">
      <c r="A23" s="9" t="s">
        <v>406</v>
      </c>
      <c r="B23" s="9"/>
      <c r="C23" s="9"/>
      <c r="D23" s="84"/>
      <c r="E23" s="9"/>
      <c r="F23" s="10"/>
      <c r="G23" s="10"/>
      <c r="H23" s="72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25">
      <c r="A24" s="112" t="s">
        <v>407</v>
      </c>
      <c r="B24" s="3">
        <v>1</v>
      </c>
      <c r="C24" s="3">
        <v>790</v>
      </c>
      <c r="D24" s="81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2"/>
      <c r="I24" s="34">
        <f>H24-G24</f>
        <v>-585.37818413279047</v>
      </c>
      <c r="J24" s="39"/>
      <c r="K24" s="40"/>
    </row>
    <row r="25" spans="1:12" x14ac:dyDescent="0.25">
      <c r="A25" s="112" t="s">
        <v>408</v>
      </c>
      <c r="B25" s="3">
        <v>1</v>
      </c>
      <c r="C25" s="3">
        <v>698</v>
      </c>
      <c r="D25" s="81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2"/>
      <c r="I25" s="34">
        <f>H25-G25</f>
        <v>-643.06458826558094</v>
      </c>
      <c r="J25" s="39"/>
      <c r="K25" s="40"/>
    </row>
    <row r="26" spans="1:12" x14ac:dyDescent="0.25">
      <c r="A26" s="98" t="s">
        <v>409</v>
      </c>
      <c r="B26" s="3">
        <v>1</v>
      </c>
      <c r="C26" s="3">
        <f>3403/1000*400</f>
        <v>1361.2</v>
      </c>
      <c r="D26" s="81">
        <f>B26*C26*0.1</f>
        <v>136.12</v>
      </c>
      <c r="E26" s="3">
        <v>0.45999999999999996</v>
      </c>
      <c r="F26" s="30">
        <f>E26/$E$48*$F$48</f>
        <v>733.38394644212849</v>
      </c>
      <c r="G26" s="30">
        <f>(B26*C26)*$B$1+D26*$B$1+F26*$B$1</f>
        <v>1213.2798764698737</v>
      </c>
      <c r="H26" s="72"/>
      <c r="I26" s="34">
        <f>H26-G26</f>
        <v>-1213.2798764698737</v>
      </c>
      <c r="J26" s="39"/>
      <c r="K26" s="40"/>
      <c r="L26" s="118">
        <f>10*2</f>
        <v>20</v>
      </c>
    </row>
    <row r="27" spans="1:12" x14ac:dyDescent="0.25">
      <c r="A27" s="9" t="s">
        <v>410</v>
      </c>
      <c r="B27" s="9"/>
      <c r="C27" s="9"/>
      <c r="D27" s="84"/>
      <c r="E27" s="9"/>
      <c r="F27" s="10"/>
      <c r="G27" s="10"/>
      <c r="H27" s="72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25">
      <c r="A28" s="3" t="s">
        <v>403</v>
      </c>
      <c r="B28" s="3">
        <v>1</v>
      </c>
      <c r="C28" s="3">
        <f>2920/1000*400</f>
        <v>1168</v>
      </c>
      <c r="D28" s="81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2"/>
      <c r="I28" s="34">
        <f>H28-G28</f>
        <v>-1097.6902484698737</v>
      </c>
      <c r="J28" s="39"/>
      <c r="K28" s="40"/>
      <c r="L28" s="118">
        <f>10+10</f>
        <v>20</v>
      </c>
    </row>
    <row r="29" spans="1:12" x14ac:dyDescent="0.25">
      <c r="A29" s="3" t="s">
        <v>404</v>
      </c>
      <c r="B29" s="3">
        <v>1</v>
      </c>
      <c r="C29" s="3">
        <f>2773/1000*400</f>
        <v>1109.2</v>
      </c>
      <c r="D29" s="81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>(B29*C29)*$B$1+D29*$B$1+F29*$B$1</f>
        <v>1062.5107964698736</v>
      </c>
      <c r="H29" s="72"/>
      <c r="I29" s="34">
        <f>H29-G29</f>
        <v>-1062.5107964698736</v>
      </c>
      <c r="J29" s="39"/>
      <c r="K29" s="40"/>
      <c r="L29" s="118">
        <f>11+11</f>
        <v>22</v>
      </c>
    </row>
    <row r="30" spans="1:12" x14ac:dyDescent="0.25">
      <c r="A30" s="9" t="s">
        <v>411</v>
      </c>
      <c r="B30" s="9"/>
      <c r="C30" s="9"/>
      <c r="D30" s="84"/>
      <c r="E30" s="9"/>
      <c r="F30" s="10"/>
      <c r="G30" s="10"/>
      <c r="H30" s="72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25">
      <c r="A31" s="112" t="s">
        <v>412</v>
      </c>
      <c r="B31" s="3">
        <v>1</v>
      </c>
      <c r="C31" s="3">
        <v>1131</v>
      </c>
      <c r="D31" s="81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2"/>
      <c r="I31" s="34">
        <f>H31-G31</f>
        <v>-902.12415826558095</v>
      </c>
      <c r="J31" s="39"/>
      <c r="K31" s="40"/>
    </row>
    <row r="32" spans="1:12" x14ac:dyDescent="0.25">
      <c r="A32" s="98" t="s">
        <v>413</v>
      </c>
      <c r="B32" s="3">
        <v>1</v>
      </c>
      <c r="C32" s="3">
        <v>1312</v>
      </c>
      <c r="D32" s="81">
        <f>B32*C32*0.1</f>
        <v>131.20000000000002</v>
      </c>
      <c r="E32" s="3">
        <v>0.13</v>
      </c>
      <c r="F32" s="30">
        <f>E32/$E$48*$F$48</f>
        <v>207.26068051625373</v>
      </c>
      <c r="G32" s="30">
        <f>(B32*C32)*$B$1+D32*$B$1+F32*$B$1</f>
        <v>897.68556413279043</v>
      </c>
      <c r="H32" s="72"/>
      <c r="I32" s="34">
        <f>H32-G32</f>
        <v>-897.68556413279043</v>
      </c>
      <c r="J32" s="39"/>
      <c r="K32" s="40"/>
    </row>
    <row r="33" spans="1:12" x14ac:dyDescent="0.25">
      <c r="A33" s="9" t="s">
        <v>143</v>
      </c>
      <c r="B33" s="9"/>
      <c r="C33" s="9"/>
      <c r="D33" s="84"/>
      <c r="E33" s="9"/>
      <c r="F33" s="10"/>
      <c r="G33" s="10"/>
      <c r="H33" s="72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25">
      <c r="A34" s="3" t="s">
        <v>405</v>
      </c>
      <c r="B34" s="3">
        <v>1</v>
      </c>
      <c r="C34" s="3">
        <f>3221/1000*400</f>
        <v>1288.4000000000001</v>
      </c>
      <c r="D34" s="81">
        <f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2"/>
      <c r="I34" s="34">
        <f>H34-G34</f>
        <v>-1169.7243644698738</v>
      </c>
      <c r="J34" s="39"/>
      <c r="K34" s="40"/>
      <c r="L34" t="s">
        <v>424</v>
      </c>
    </row>
    <row r="35" spans="1:12" x14ac:dyDescent="0.25">
      <c r="A35" s="9" t="s">
        <v>414</v>
      </c>
      <c r="B35" s="9"/>
      <c r="C35" s="9"/>
      <c r="D35" s="84"/>
      <c r="E35" s="9"/>
      <c r="F35" s="10"/>
      <c r="G35" s="10"/>
      <c r="H35" s="72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25">
      <c r="A36" s="98" t="s">
        <v>415</v>
      </c>
      <c r="B36" s="3">
        <v>1</v>
      </c>
      <c r="C36" s="3">
        <v>5182</v>
      </c>
      <c r="D36" s="81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2"/>
      <c r="I36" s="34">
        <f>H36-G36</f>
        <v>-4565.8168737262758</v>
      </c>
      <c r="J36" s="39"/>
      <c r="K36" s="40"/>
    </row>
    <row r="37" spans="1:12" x14ac:dyDescent="0.25">
      <c r="A37" s="9" t="s">
        <v>416</v>
      </c>
      <c r="B37" s="9"/>
      <c r="C37" s="9"/>
      <c r="D37" s="84"/>
      <c r="E37" s="9"/>
      <c r="F37" s="10"/>
      <c r="G37" s="10"/>
      <c r="H37" s="72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25">
      <c r="A38" s="98" t="s">
        <v>415</v>
      </c>
      <c r="B38" s="3">
        <v>1</v>
      </c>
      <c r="C38" s="3">
        <v>5182</v>
      </c>
      <c r="D38" s="81">
        <f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2"/>
      <c r="I38" s="34">
        <f>H38-G38</f>
        <v>-4565.8168737262758</v>
      </c>
      <c r="J38" s="39"/>
      <c r="K38" s="40"/>
    </row>
    <row r="39" spans="1:12" x14ac:dyDescent="0.25">
      <c r="A39" s="9" t="s">
        <v>417</v>
      </c>
      <c r="B39" s="9"/>
      <c r="C39" s="9"/>
      <c r="D39" s="84"/>
      <c r="E39" s="9"/>
      <c r="F39" s="10"/>
      <c r="G39" s="10"/>
      <c r="H39" s="72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25">
      <c r="A40" s="98" t="s">
        <v>418</v>
      </c>
      <c r="B40" s="3">
        <v>1</v>
      </c>
      <c r="C40" s="3">
        <v>2703</v>
      </c>
      <c r="D40" s="81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2"/>
      <c r="I40" s="34">
        <f>H40-G40</f>
        <v>-3212.7279838794948</v>
      </c>
      <c r="J40" s="39"/>
      <c r="K40" s="40"/>
    </row>
    <row r="41" spans="1:12" x14ac:dyDescent="0.25">
      <c r="A41" s="9" t="s">
        <v>419</v>
      </c>
      <c r="B41" s="9"/>
      <c r="C41" s="9"/>
      <c r="D41" s="84"/>
      <c r="E41" s="9"/>
      <c r="F41" s="10"/>
      <c r="G41" s="10"/>
      <c r="H41" s="72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25">
      <c r="A42" s="98" t="s">
        <v>420</v>
      </c>
      <c r="B42" s="3">
        <v>1</v>
      </c>
      <c r="C42" s="3">
        <v>1217</v>
      </c>
      <c r="D42" s="81">
        <f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2"/>
      <c r="I42" s="34">
        <f>H42-G42</f>
        <v>-1009.941640331976</v>
      </c>
      <c r="J42" s="39"/>
      <c r="K42" s="40"/>
    </row>
    <row r="43" spans="1:12" x14ac:dyDescent="0.25">
      <c r="A43" s="88" t="s">
        <v>30</v>
      </c>
      <c r="B43" s="9"/>
      <c r="C43" s="9"/>
      <c r="D43" s="84"/>
      <c r="E43" s="9"/>
      <c r="F43" s="10"/>
      <c r="G43" s="10"/>
      <c r="H43" s="72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25">
      <c r="A44" s="6">
        <v>1</v>
      </c>
      <c r="B44" s="3">
        <v>1</v>
      </c>
      <c r="C44">
        <f>3403/1000*200</f>
        <v>680.6</v>
      </c>
      <c r="D44" s="81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2"/>
      <c r="I44" s="34">
        <f>H44-G44</f>
        <v>-606.63993823493684</v>
      </c>
      <c r="J44" s="39"/>
      <c r="K44" s="40"/>
    </row>
    <row r="45" spans="1:12" x14ac:dyDescent="0.25">
      <c r="A45" s="6">
        <v>2</v>
      </c>
      <c r="B45" s="3">
        <v>1</v>
      </c>
      <c r="C45" s="3">
        <v>1325</v>
      </c>
      <c r="D45" s="81">
        <f>B45*C45*0.1</f>
        <v>132.5</v>
      </c>
      <c r="E45" s="3">
        <v>0.13</v>
      </c>
      <c r="F45" s="30">
        <f>E45/$E$48*$F$48</f>
        <v>207.26068051625373</v>
      </c>
      <c r="G45" s="30">
        <f>(B45*C45)*$B$1+D45*$B$1+F45*$B$1</f>
        <v>905.46333413279035</v>
      </c>
      <c r="H45" s="72"/>
      <c r="I45" s="34">
        <f>H45-G45</f>
        <v>-905.46333413279035</v>
      </c>
      <c r="J45" s="39"/>
      <c r="K45" s="40"/>
    </row>
    <row r="46" spans="1:12" x14ac:dyDescent="0.25">
      <c r="A46" s="6">
        <v>3</v>
      </c>
      <c r="B46" s="3">
        <v>1</v>
      </c>
      <c r="C46" s="3">
        <v>1312</v>
      </c>
      <c r="D46" s="81">
        <f>B46*C46*0.1</f>
        <v>131.20000000000002</v>
      </c>
      <c r="E46" s="3">
        <v>0.13</v>
      </c>
      <c r="F46" s="30">
        <f>E46/$E$48*$F$48</f>
        <v>207.26068051625373</v>
      </c>
      <c r="G46" s="30">
        <f>(B46*C46)*$B$1+D46*$B$1+F46*$B$1</f>
        <v>897.68556413279043</v>
      </c>
      <c r="H46" s="72"/>
      <c r="I46" s="34">
        <f>H46-G46</f>
        <v>-897.68556413279043</v>
      </c>
      <c r="J46" s="39"/>
      <c r="K46" s="40"/>
    </row>
    <row r="47" spans="1:12" x14ac:dyDescent="0.25">
      <c r="A47" s="6">
        <v>4</v>
      </c>
      <c r="B47" s="3">
        <v>1</v>
      </c>
      <c r="C47" s="3">
        <v>1252</v>
      </c>
      <c r="D47" s="81">
        <f>B47*C47*0.1</f>
        <v>125.2</v>
      </c>
      <c r="E47" s="3">
        <f>0.3*1.3</f>
        <v>0.39</v>
      </c>
      <c r="F47" s="30">
        <f>E47/$E$48*$F$48</f>
        <v>621.78204154876119</v>
      </c>
      <c r="G47" s="30">
        <f>(B47*C47)*$B$1+D47*$B$1+F47*$B$1</f>
        <v>1087.2463323983711</v>
      </c>
      <c r="H47" s="72"/>
      <c r="I47" s="34">
        <f>H47-G47</f>
        <v>-1087.2463323983711</v>
      </c>
      <c r="J47" s="39"/>
      <c r="K47" s="40"/>
    </row>
    <row r="48" spans="1:12" x14ac:dyDescent="0.25">
      <c r="A48" s="27"/>
      <c r="B48" s="28"/>
      <c r="C48" s="28"/>
      <c r="D48" s="28"/>
      <c r="E48" s="99">
        <f>SUM(E4:E47)</f>
        <v>14.488999999999999</v>
      </c>
      <c r="F48" s="94">
        <v>23100</v>
      </c>
      <c r="G48" s="28">
        <f>F48/E48</f>
        <v>1594.3129270481056</v>
      </c>
      <c r="H48" s="72"/>
      <c r="I48" s="28"/>
      <c r="J48" s="28"/>
      <c r="K48" s="28"/>
    </row>
    <row r="49" spans="1:7" x14ac:dyDescent="0.25">
      <c r="G49">
        <f>G48*B1</f>
        <v>867.14680102146474</v>
      </c>
    </row>
    <row r="50" spans="1:7" ht="36.75" customHeight="1" x14ac:dyDescent="0.25">
      <c r="A50" s="199" t="s">
        <v>386</v>
      </c>
      <c r="B50" s="200"/>
      <c r="C50" s="200"/>
      <c r="D50" s="200"/>
      <c r="E50" s="200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opLeftCell="A16" zoomScale="80" zoomScaleNormal="80" workbookViewId="0">
      <selection activeCell="F5" sqref="F5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0.5407</f>
        <v>0.54069999999999996</v>
      </c>
      <c r="C1" s="1"/>
      <c r="I1" s="41"/>
      <c r="J1" s="45" t="s">
        <v>289</v>
      </c>
      <c r="K1" s="116">
        <v>42975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17" t="s">
        <v>422</v>
      </c>
    </row>
    <row r="4" spans="1:13" x14ac:dyDescent="0.25">
      <c r="A4" s="9" t="s">
        <v>42</v>
      </c>
      <c r="B4" s="9"/>
      <c r="C4" s="9"/>
      <c r="D4" s="84"/>
      <c r="E4" s="9"/>
      <c r="F4" s="10"/>
      <c r="G4" s="10"/>
      <c r="H4" s="122"/>
      <c r="I4" s="119">
        <f>SUM(I5)</f>
        <v>-605.27556144142886</v>
      </c>
      <c r="J4" s="38">
        <v>611</v>
      </c>
      <c r="K4" s="38">
        <f>J4+I4-10</f>
        <v>-4.275561441428863</v>
      </c>
      <c r="L4">
        <v>10</v>
      </c>
      <c r="M4" t="s">
        <v>468</v>
      </c>
    </row>
    <row r="5" spans="1:13" x14ac:dyDescent="0.25">
      <c r="A5" s="98" t="s">
        <v>426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410.80955694734405</v>
      </c>
      <c r="G5" s="3">
        <f>(B5*C5)*$B$1+D5*$B$1+F5*$B$1</f>
        <v>605.27556144142886</v>
      </c>
      <c r="H5" s="122"/>
      <c r="I5" s="123">
        <f>H5-G5</f>
        <v>-605.27556144142886</v>
      </c>
      <c r="J5" s="6"/>
      <c r="K5" s="3"/>
    </row>
    <row r="6" spans="1:13" x14ac:dyDescent="0.25">
      <c r="A6" s="9" t="s">
        <v>427</v>
      </c>
      <c r="B6" s="9"/>
      <c r="C6" s="9"/>
      <c r="D6" s="84"/>
      <c r="E6" s="9"/>
      <c r="F6" s="9"/>
      <c r="G6" s="9"/>
      <c r="H6" s="122"/>
      <c r="I6" s="120">
        <f>I7</f>
        <v>-302.63778072071443</v>
      </c>
      <c r="J6" s="43">
        <v>306</v>
      </c>
      <c r="K6" s="38">
        <f>J6+I6-10</f>
        <v>-6.6377807207144315</v>
      </c>
      <c r="L6">
        <v>10</v>
      </c>
      <c r="M6" t="s">
        <v>468</v>
      </c>
    </row>
    <row r="7" spans="1:13" x14ac:dyDescent="0.25">
      <c r="A7" s="98" t="s">
        <v>428</v>
      </c>
      <c r="B7" s="3">
        <v>1</v>
      </c>
      <c r="C7" s="3">
        <f>3221/1000*100</f>
        <v>322.10000000000002</v>
      </c>
      <c r="D7" s="3">
        <f t="shared" ref="D7:D55" si="0">B7*C7*0.1</f>
        <v>32.21</v>
      </c>
      <c r="E7" s="3">
        <f>0.1*1.15</f>
        <v>0.11499999999999999</v>
      </c>
      <c r="F7" s="3">
        <f>E7/$E$56*$F$56</f>
        <v>205.40477847367202</v>
      </c>
      <c r="G7" s="3">
        <f t="shared" ref="G7:G55" si="1">(B7*C7)*$B$1+D7*$B$1+F7*$B$1</f>
        <v>302.63778072071443</v>
      </c>
      <c r="H7" s="122"/>
      <c r="I7" s="123">
        <f t="shared" ref="I7:I55" si="2">H7-G7</f>
        <v>-302.63778072071443</v>
      </c>
      <c r="J7" s="6"/>
      <c r="K7" s="3"/>
    </row>
    <row r="8" spans="1:13" x14ac:dyDescent="0.25">
      <c r="A8" s="9" t="s">
        <v>429</v>
      </c>
      <c r="B8" s="9"/>
      <c r="C8" s="9"/>
      <c r="D8" s="84"/>
      <c r="E8" s="9"/>
      <c r="F8" s="9"/>
      <c r="G8" s="9"/>
      <c r="H8" s="122"/>
      <c r="I8" s="120">
        <f>I9</f>
        <v>-302.63778072071443</v>
      </c>
      <c r="J8" s="43">
        <v>306</v>
      </c>
      <c r="K8" s="38">
        <f>J8+I8-10</f>
        <v>-6.6377807207144315</v>
      </c>
      <c r="L8">
        <v>10</v>
      </c>
      <c r="M8" t="s">
        <v>468</v>
      </c>
    </row>
    <row r="9" spans="1:13" x14ac:dyDescent="0.25">
      <c r="A9" s="98" t="s">
        <v>428</v>
      </c>
      <c r="B9" s="3">
        <v>1</v>
      </c>
      <c r="C9" s="3">
        <f>3221/1000*100</f>
        <v>322.10000000000002</v>
      </c>
      <c r="D9" s="3">
        <f t="shared" si="0"/>
        <v>32.21</v>
      </c>
      <c r="E9" s="3">
        <f>0.1*1.15</f>
        <v>0.11499999999999999</v>
      </c>
      <c r="F9" s="3">
        <f>E9/$E$56*$F$56</f>
        <v>205.40477847367202</v>
      </c>
      <c r="G9" s="3">
        <f t="shared" si="1"/>
        <v>302.63778072071443</v>
      </c>
      <c r="H9" s="122"/>
      <c r="I9" s="123">
        <f t="shared" si="2"/>
        <v>-302.63778072071443</v>
      </c>
      <c r="J9" s="6"/>
      <c r="K9" s="3"/>
    </row>
    <row r="10" spans="1:13" x14ac:dyDescent="0.25">
      <c r="A10" s="9" t="s">
        <v>430</v>
      </c>
      <c r="B10" s="9"/>
      <c r="C10" s="9"/>
      <c r="D10" s="84"/>
      <c r="E10" s="9"/>
      <c r="F10" s="9"/>
      <c r="G10" s="9"/>
      <c r="H10" s="122"/>
      <c r="I10" s="120">
        <f>I11+I12</f>
        <v>-1705.8881475553235</v>
      </c>
      <c r="J10" s="43">
        <v>1727</v>
      </c>
      <c r="K10" s="38">
        <f>J10+I10-10</f>
        <v>11.111852444676515</v>
      </c>
      <c r="L10">
        <v>10</v>
      </c>
      <c r="M10" t="s">
        <v>468</v>
      </c>
    </row>
    <row r="11" spans="1:13" x14ac:dyDescent="0.25">
      <c r="A11" s="98" t="s">
        <v>431</v>
      </c>
      <c r="B11" s="3">
        <v>1</v>
      </c>
      <c r="C11" s="3">
        <f>3221/1000*300</f>
        <v>966.30000000000007</v>
      </c>
      <c r="D11" s="3">
        <f t="shared" si="0"/>
        <v>96.63000000000001</v>
      </c>
      <c r="E11" s="3">
        <f>0.3*1.15</f>
        <v>0.34499999999999997</v>
      </c>
      <c r="F11" s="3">
        <f>E11/$E$56*$F$56</f>
        <v>616.21433542101602</v>
      </c>
      <c r="G11" s="3">
        <f t="shared" si="1"/>
        <v>907.91334216214341</v>
      </c>
      <c r="H11" s="122"/>
      <c r="I11" s="123">
        <f t="shared" si="2"/>
        <v>-907.91334216214341</v>
      </c>
      <c r="J11" s="6"/>
      <c r="K11" s="3"/>
    </row>
    <row r="12" spans="1:13" x14ac:dyDescent="0.25">
      <c r="A12" s="3" t="s">
        <v>464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139.31802366040364</v>
      </c>
      <c r="G12" s="3">
        <f>(B12*C12)*$B$1+D12*$B$1+F12*$B$1</f>
        <v>797.97480539318019</v>
      </c>
      <c r="H12" s="122"/>
      <c r="I12" s="123">
        <f>H12-G12</f>
        <v>-797.97480539318019</v>
      </c>
      <c r="J12" s="6"/>
      <c r="K12" s="3"/>
    </row>
    <row r="13" spans="1:13" x14ac:dyDescent="0.25">
      <c r="A13" s="9" t="s">
        <v>432</v>
      </c>
      <c r="B13" s="9"/>
      <c r="C13" s="9"/>
      <c r="D13" s="84"/>
      <c r="E13" s="9"/>
      <c r="F13" s="9"/>
      <c r="G13" s="9"/>
      <c r="H13" s="122"/>
      <c r="I13" s="120">
        <f>I14</f>
        <v>-854.20561116214333</v>
      </c>
      <c r="J13" s="43">
        <v>862</v>
      </c>
      <c r="K13" s="38">
        <f>J13+I13-10</f>
        <v>-2.2056111621433274</v>
      </c>
      <c r="L13">
        <v>10</v>
      </c>
      <c r="M13" t="s">
        <v>468</v>
      </c>
    </row>
    <row r="14" spans="1:13" x14ac:dyDescent="0.25">
      <c r="A14" s="3" t="s">
        <v>433</v>
      </c>
      <c r="B14" s="3">
        <v>1</v>
      </c>
      <c r="C14" s="3">
        <f>2920/1000*300</f>
        <v>876</v>
      </c>
      <c r="D14" s="3">
        <f t="shared" si="0"/>
        <v>87.600000000000009</v>
      </c>
      <c r="E14" s="3">
        <f>0.3*1.15</f>
        <v>0.34499999999999997</v>
      </c>
      <c r="F14" s="3">
        <f>E14/$E$56*$F$56</f>
        <v>616.21433542101602</v>
      </c>
      <c r="G14" s="3">
        <f t="shared" si="1"/>
        <v>854.20561116214333</v>
      </c>
      <c r="H14" s="122"/>
      <c r="I14" s="123">
        <f t="shared" si="2"/>
        <v>-854.20561116214333</v>
      </c>
      <c r="J14" s="6"/>
      <c r="K14" s="3"/>
    </row>
    <row r="15" spans="1:13" x14ac:dyDescent="0.25">
      <c r="A15" s="9" t="s">
        <v>434</v>
      </c>
      <c r="B15" s="9"/>
      <c r="C15" s="9"/>
      <c r="D15" s="84"/>
      <c r="E15" s="9"/>
      <c r="F15" s="9"/>
      <c r="G15" s="9"/>
      <c r="H15" s="122"/>
      <c r="I15" s="120">
        <f>SUM(I16:I17)</f>
        <v>-1682.1818653242867</v>
      </c>
      <c r="J15" s="43">
        <v>1700</v>
      </c>
      <c r="K15" s="38">
        <f>J15+I15-21</f>
        <v>-3.1818653242867185</v>
      </c>
    </row>
    <row r="16" spans="1:13" x14ac:dyDescent="0.25">
      <c r="A16" s="3" t="s">
        <v>435</v>
      </c>
      <c r="B16" s="3">
        <v>1</v>
      </c>
      <c r="C16" s="3">
        <f>2773/1000*300</f>
        <v>831.90000000000009</v>
      </c>
      <c r="D16" s="3">
        <f t="shared" si="0"/>
        <v>83.190000000000012</v>
      </c>
      <c r="E16" s="3">
        <f>0.3*1.15</f>
        <v>0.34499999999999997</v>
      </c>
      <c r="F16" s="3">
        <f>E16/$E$56*$F$56</f>
        <v>616.21433542101602</v>
      </c>
      <c r="G16" s="3">
        <f t="shared" si="1"/>
        <v>827.97625416214339</v>
      </c>
      <c r="H16" s="122"/>
      <c r="I16" s="123">
        <f t="shared" si="2"/>
        <v>-827.97625416214339</v>
      </c>
      <c r="J16" s="6"/>
      <c r="K16" s="3"/>
      <c r="L16">
        <v>11</v>
      </c>
      <c r="M16" t="s">
        <v>468</v>
      </c>
    </row>
    <row r="17" spans="1:13" x14ac:dyDescent="0.25">
      <c r="A17" s="3" t="s">
        <v>433</v>
      </c>
      <c r="B17" s="3">
        <v>1</v>
      </c>
      <c r="C17" s="3">
        <f>2920/1000*300</f>
        <v>876</v>
      </c>
      <c r="D17" s="3">
        <f t="shared" si="0"/>
        <v>87.600000000000009</v>
      </c>
      <c r="E17" s="3">
        <f>0.3*1.15</f>
        <v>0.34499999999999997</v>
      </c>
      <c r="F17" s="3">
        <f>E17/$E$56*$F$56</f>
        <v>616.21433542101602</v>
      </c>
      <c r="G17" s="3">
        <f t="shared" si="1"/>
        <v>854.20561116214333</v>
      </c>
      <c r="H17" s="122"/>
      <c r="I17" s="123">
        <f t="shared" si="2"/>
        <v>-854.20561116214333</v>
      </c>
      <c r="J17" s="6"/>
      <c r="K17" s="3"/>
      <c r="L17">
        <v>10</v>
      </c>
      <c r="M17" t="s">
        <v>468</v>
      </c>
    </row>
    <row r="18" spans="1:13" x14ac:dyDescent="0.25">
      <c r="A18" s="9" t="s">
        <v>436</v>
      </c>
      <c r="B18" s="9"/>
      <c r="C18" s="9"/>
      <c r="D18" s="84"/>
      <c r="E18" s="9"/>
      <c r="F18" s="9"/>
      <c r="G18" s="9"/>
      <c r="H18" s="122"/>
      <c r="I18" s="120">
        <f>SUM(I19:I20)</f>
        <v>-2242.9091537657159</v>
      </c>
      <c r="J18" s="43">
        <v>2264</v>
      </c>
      <c r="K18" s="38">
        <f>J18+I18</f>
        <v>21.090846234284072</v>
      </c>
      <c r="L18" t="s">
        <v>469</v>
      </c>
    </row>
    <row r="19" spans="1:13" x14ac:dyDescent="0.25">
      <c r="A19" s="3" t="s">
        <v>437</v>
      </c>
      <c r="B19" s="3">
        <v>1</v>
      </c>
      <c r="C19" s="3">
        <f>2920/1000*400</f>
        <v>1168</v>
      </c>
      <c r="D19" s="3">
        <f t="shared" si="0"/>
        <v>116.80000000000001</v>
      </c>
      <c r="E19" s="3">
        <f>0.4*1.15</f>
        <v>0.45999999999999996</v>
      </c>
      <c r="F19" s="3">
        <f>E19/$E$56*$F$56</f>
        <v>821.6191138946881</v>
      </c>
      <c r="G19" s="3">
        <f t="shared" si="1"/>
        <v>1138.9408148828579</v>
      </c>
      <c r="H19" s="122"/>
      <c r="I19" s="123">
        <f t="shared" si="2"/>
        <v>-1138.9408148828579</v>
      </c>
      <c r="J19" s="6"/>
      <c r="K19" s="3"/>
    </row>
    <row r="20" spans="1:13" x14ac:dyDescent="0.25">
      <c r="A20" s="98" t="s">
        <v>438</v>
      </c>
      <c r="B20" s="3">
        <v>1</v>
      </c>
      <c r="C20" s="3">
        <f>2773/1000*400</f>
        <v>1109.2</v>
      </c>
      <c r="D20" s="3">
        <f t="shared" si="0"/>
        <v>110.92000000000002</v>
      </c>
      <c r="E20" s="3">
        <f>0.4*1.15</f>
        <v>0.45999999999999996</v>
      </c>
      <c r="F20" s="3">
        <f>E20/$E$56*$F$56</f>
        <v>821.6191138946881</v>
      </c>
      <c r="G20" s="3">
        <f t="shared" si="1"/>
        <v>1103.9683388828578</v>
      </c>
      <c r="H20" s="122"/>
      <c r="I20" s="123">
        <f t="shared" si="2"/>
        <v>-1103.9683388828578</v>
      </c>
      <c r="J20" s="6"/>
      <c r="K20" s="3"/>
    </row>
    <row r="21" spans="1:13" x14ac:dyDescent="0.25">
      <c r="A21" s="9" t="s">
        <v>439</v>
      </c>
      <c r="B21" s="9"/>
      <c r="C21" s="9"/>
      <c r="D21" s="84"/>
      <c r="E21" s="9"/>
      <c r="F21" s="9"/>
      <c r="G21" s="9"/>
      <c r="H21" s="122"/>
      <c r="I21" s="120">
        <f>SUM(I22:I23)</f>
        <v>-2118.4644650450009</v>
      </c>
      <c r="J21" s="43">
        <v>2139</v>
      </c>
      <c r="K21" s="38">
        <f>J21+I21-10</f>
        <v>10.535534954999093</v>
      </c>
    </row>
    <row r="22" spans="1:13" x14ac:dyDescent="0.25">
      <c r="A22" s="98" t="s">
        <v>440</v>
      </c>
      <c r="B22" s="3">
        <v>1</v>
      </c>
      <c r="C22" s="3">
        <f>3221/1000*300</f>
        <v>966.30000000000007</v>
      </c>
      <c r="D22" s="3">
        <f t="shared" si="0"/>
        <v>96.63000000000001</v>
      </c>
      <c r="E22" s="3">
        <f>0.3*1.15</f>
        <v>0.34499999999999997</v>
      </c>
      <c r="F22" s="3">
        <f>E22/$E$56*$F$56</f>
        <v>616.21433542101602</v>
      </c>
      <c r="G22" s="3">
        <f t="shared" si="1"/>
        <v>907.91334216214341</v>
      </c>
      <c r="H22" s="122"/>
      <c r="I22" s="123">
        <f t="shared" si="2"/>
        <v>-907.91334216214341</v>
      </c>
      <c r="J22" s="6"/>
      <c r="K22" s="3"/>
      <c r="L22" t="s">
        <v>469</v>
      </c>
    </row>
    <row r="23" spans="1:13" x14ac:dyDescent="0.25">
      <c r="A23" s="98" t="s">
        <v>441</v>
      </c>
      <c r="B23" s="3">
        <v>1</v>
      </c>
      <c r="C23" s="3">
        <f>3221/1000*400</f>
        <v>1288.4000000000001</v>
      </c>
      <c r="D23" s="3">
        <f t="shared" si="0"/>
        <v>128.84</v>
      </c>
      <c r="E23" s="3">
        <f>0.4*1.15</f>
        <v>0.45999999999999996</v>
      </c>
      <c r="F23" s="3">
        <f>E23/$E$56*$F$56</f>
        <v>821.6191138946881</v>
      </c>
      <c r="G23" s="3">
        <f t="shared" si="1"/>
        <v>1210.5511228828577</v>
      </c>
      <c r="H23" s="122"/>
      <c r="I23" s="123">
        <f t="shared" si="2"/>
        <v>-1210.5511228828577</v>
      </c>
      <c r="J23" s="6"/>
      <c r="K23" s="3"/>
      <c r="L23">
        <v>10</v>
      </c>
      <c r="M23" t="s">
        <v>468</v>
      </c>
    </row>
    <row r="24" spans="1:13" x14ac:dyDescent="0.25">
      <c r="A24" s="9" t="s">
        <v>442</v>
      </c>
      <c r="B24" s="9"/>
      <c r="C24" s="9"/>
      <c r="D24" s="84"/>
      <c r="E24" s="9"/>
      <c r="F24" s="9"/>
      <c r="G24" s="9"/>
      <c r="H24" s="122"/>
      <c r="I24" s="120">
        <f>I25+I26</f>
        <v>-578.62986544142882</v>
      </c>
      <c r="J24" s="43">
        <v>585</v>
      </c>
      <c r="K24" s="38">
        <f>J24+I24-20</f>
        <v>-13.629865441428819</v>
      </c>
      <c r="L24">
        <v>20</v>
      </c>
      <c r="M24" t="s">
        <v>468</v>
      </c>
    </row>
    <row r="25" spans="1:13" x14ac:dyDescent="0.25">
      <c r="A25" s="98" t="s">
        <v>443</v>
      </c>
      <c r="B25" s="3">
        <v>1</v>
      </c>
      <c r="C25" s="3">
        <f>2773/1000*100</f>
        <v>277.3</v>
      </c>
      <c r="D25" s="3">
        <f t="shared" si="0"/>
        <v>27.730000000000004</v>
      </c>
      <c r="E25" s="3">
        <f>0.1*1.15</f>
        <v>0.11499999999999999</v>
      </c>
      <c r="F25" s="3">
        <f>E25/$E$56*$F$56</f>
        <v>205.40477847367202</v>
      </c>
      <c r="G25" s="3">
        <f t="shared" si="1"/>
        <v>275.99208472071444</v>
      </c>
      <c r="H25" s="122"/>
      <c r="I25" s="123">
        <f t="shared" si="2"/>
        <v>-275.99208472071444</v>
      </c>
      <c r="J25" s="6"/>
      <c r="K25" s="3"/>
    </row>
    <row r="26" spans="1:13" x14ac:dyDescent="0.25">
      <c r="A26" s="98" t="s">
        <v>444</v>
      </c>
      <c r="B26" s="3">
        <v>1</v>
      </c>
      <c r="C26" s="3">
        <f>3221/1000*100</f>
        <v>322.10000000000002</v>
      </c>
      <c r="D26" s="3">
        <f t="shared" si="0"/>
        <v>32.21</v>
      </c>
      <c r="E26" s="3">
        <f>0.1*1.15</f>
        <v>0.11499999999999999</v>
      </c>
      <c r="F26" s="3">
        <f>E26/$E$56*$F$56</f>
        <v>205.40477847367202</v>
      </c>
      <c r="G26" s="3">
        <f t="shared" si="1"/>
        <v>302.63778072071443</v>
      </c>
      <c r="H26" s="122"/>
      <c r="I26" s="123">
        <f t="shared" si="2"/>
        <v>-302.63778072071443</v>
      </c>
      <c r="J26" s="6"/>
      <c r="K26" s="3"/>
    </row>
    <row r="27" spans="1:13" x14ac:dyDescent="0.25">
      <c r="A27" s="9" t="s">
        <v>445</v>
      </c>
      <c r="B27" s="9"/>
      <c r="C27" s="9"/>
      <c r="D27" s="84"/>
      <c r="E27" s="9"/>
      <c r="F27" s="9"/>
      <c r="G27" s="9"/>
      <c r="H27" s="122"/>
      <c r="I27" s="120">
        <f>I28+I29+I30</f>
        <v>-2063.1467298714915</v>
      </c>
      <c r="J27" s="43">
        <f>2049.14+35</f>
        <v>2084.14</v>
      </c>
      <c r="K27" s="38">
        <f>J27+I27-21</f>
        <v>-6.72987149164328E-3</v>
      </c>
    </row>
    <row r="28" spans="1:13" x14ac:dyDescent="0.25">
      <c r="A28" s="98" t="s">
        <v>443</v>
      </c>
      <c r="B28" s="3">
        <v>1</v>
      </c>
      <c r="C28" s="3">
        <f>2773/1000*200</f>
        <v>554.6</v>
      </c>
      <c r="D28" s="3">
        <f t="shared" si="0"/>
        <v>55.460000000000008</v>
      </c>
      <c r="E28" s="3">
        <f>0.2*1.15</f>
        <v>0.22999999999999998</v>
      </c>
      <c r="F28" s="3">
        <f>E28/$E$56*$F$56</f>
        <v>410.80955694734405</v>
      </c>
      <c r="G28" s="3">
        <f t="shared" si="1"/>
        <v>551.98416944142889</v>
      </c>
      <c r="H28" s="122"/>
      <c r="I28" s="123">
        <f t="shared" si="2"/>
        <v>-551.98416944142889</v>
      </c>
      <c r="J28" s="6"/>
      <c r="K28" s="3"/>
      <c r="L28">
        <v>11</v>
      </c>
      <c r="M28" t="s">
        <v>468</v>
      </c>
    </row>
    <row r="29" spans="1:13" x14ac:dyDescent="0.25">
      <c r="A29" s="98" t="s">
        <v>444</v>
      </c>
      <c r="B29" s="3">
        <v>1</v>
      </c>
      <c r="C29" s="3">
        <f>3221/1000*200</f>
        <v>644.20000000000005</v>
      </c>
      <c r="D29" s="3">
        <f t="shared" si="0"/>
        <v>64.42</v>
      </c>
      <c r="E29" s="3">
        <f>0.2*1.15</f>
        <v>0.22999999999999998</v>
      </c>
      <c r="F29" s="3">
        <f>E29/$E$56*$F$56</f>
        <v>410.80955694734405</v>
      </c>
      <c r="G29" s="3">
        <f t="shared" si="1"/>
        <v>605.27556144142886</v>
      </c>
      <c r="H29" s="122"/>
      <c r="I29" s="123">
        <f t="shared" si="2"/>
        <v>-605.27556144142886</v>
      </c>
      <c r="J29" s="6"/>
      <c r="K29" s="3"/>
      <c r="L29">
        <v>10</v>
      </c>
      <c r="M29" t="s">
        <v>468</v>
      </c>
    </row>
    <row r="30" spans="1:13" x14ac:dyDescent="0.25">
      <c r="A30" s="98" t="s">
        <v>446</v>
      </c>
      <c r="B30" s="3">
        <v>1</v>
      </c>
      <c r="C30" s="66">
        <v>1312</v>
      </c>
      <c r="D30" s="3">
        <f t="shared" si="0"/>
        <v>131.20000000000002</v>
      </c>
      <c r="E30" s="3">
        <f>0.1*1.3</f>
        <v>0.13</v>
      </c>
      <c r="F30" s="3">
        <f>E30/$E$56*$F$56</f>
        <v>232.19670610067274</v>
      </c>
      <c r="G30" s="3">
        <f t="shared" si="1"/>
        <v>905.88699898863365</v>
      </c>
      <c r="H30" s="122"/>
      <c r="I30" s="123">
        <f t="shared" si="2"/>
        <v>-905.88699898863365</v>
      </c>
      <c r="J30" s="6"/>
      <c r="K30" s="3"/>
    </row>
    <row r="31" spans="1:13" x14ac:dyDescent="0.25">
      <c r="A31" s="9" t="s">
        <v>196</v>
      </c>
      <c r="B31" s="9"/>
      <c r="C31" s="9"/>
      <c r="D31" s="84"/>
      <c r="E31" s="9"/>
      <c r="F31" s="9"/>
      <c r="G31" s="9"/>
      <c r="H31" s="122"/>
      <c r="I31" s="120">
        <f>I32+I33+I34</f>
        <v>-3487.5672388192993</v>
      </c>
      <c r="J31" s="43">
        <v>3530</v>
      </c>
      <c r="K31" s="38">
        <f>J31+I31</f>
        <v>42.432761180700709</v>
      </c>
    </row>
    <row r="32" spans="1:13" x14ac:dyDescent="0.25">
      <c r="A32" s="98" t="s">
        <v>447</v>
      </c>
      <c r="B32" s="3">
        <v>1</v>
      </c>
      <c r="C32" s="3">
        <v>1325</v>
      </c>
      <c r="D32" s="3">
        <f t="shared" si="0"/>
        <v>132.5</v>
      </c>
      <c r="E32" s="3">
        <f>0.1*1.3</f>
        <v>0.13</v>
      </c>
      <c r="F32" s="3">
        <f>E32/$E$56*$F$56</f>
        <v>232.19670610067274</v>
      </c>
      <c r="G32" s="3">
        <f t="shared" si="1"/>
        <v>913.6190089886336</v>
      </c>
      <c r="H32" s="122"/>
      <c r="I32" s="123">
        <f t="shared" si="2"/>
        <v>-913.6190089886336</v>
      </c>
      <c r="J32" s="6"/>
      <c r="K32" s="3"/>
    </row>
    <row r="33" spans="1:11" x14ac:dyDescent="0.25">
      <c r="A33" s="98" t="s">
        <v>448</v>
      </c>
      <c r="B33" s="3">
        <v>1</v>
      </c>
      <c r="C33" s="3">
        <v>1206</v>
      </c>
      <c r="D33" s="3">
        <f t="shared" si="0"/>
        <v>120.60000000000001</v>
      </c>
      <c r="E33" s="3">
        <f>0.25*1.3</f>
        <v>0.32500000000000001</v>
      </c>
      <c r="F33" s="3">
        <f>E33/$E$56*$F$56</f>
        <v>580.49176525168184</v>
      </c>
      <c r="G33" s="3">
        <f t="shared" si="1"/>
        <v>1031.1645174715843</v>
      </c>
      <c r="H33" s="122"/>
      <c r="I33" s="123">
        <f t="shared" si="2"/>
        <v>-1031.1645174715843</v>
      </c>
      <c r="J33" s="6"/>
      <c r="K33" s="3"/>
    </row>
    <row r="34" spans="1:11" x14ac:dyDescent="0.25">
      <c r="A34" s="98" t="s">
        <v>449</v>
      </c>
      <c r="B34" s="3">
        <v>1</v>
      </c>
      <c r="C34" s="3">
        <v>1834</v>
      </c>
      <c r="D34" s="3">
        <f t="shared" si="0"/>
        <v>183.4</v>
      </c>
      <c r="E34" s="3">
        <f>0.36*1.3</f>
        <v>0.46799999999999997</v>
      </c>
      <c r="F34" s="3">
        <f>E34/$E$56*$F$56</f>
        <v>835.90814196242172</v>
      </c>
      <c r="G34" s="3">
        <f t="shared" si="1"/>
        <v>1542.7837123590814</v>
      </c>
      <c r="H34" s="122"/>
      <c r="I34" s="123">
        <f t="shared" si="2"/>
        <v>-1542.7837123590814</v>
      </c>
      <c r="J34" s="6"/>
      <c r="K34" s="3"/>
    </row>
    <row r="35" spans="1:11" x14ac:dyDescent="0.25">
      <c r="A35" s="9" t="s">
        <v>411</v>
      </c>
      <c r="B35" s="9"/>
      <c r="C35" s="9"/>
      <c r="D35" s="84"/>
      <c r="E35" s="9"/>
      <c r="F35" s="9"/>
      <c r="G35" s="9"/>
      <c r="H35" s="122"/>
      <c r="I35" s="120">
        <f>I36+I37</f>
        <v>-2676.4427875272559</v>
      </c>
      <c r="J35" s="43">
        <v>2706</v>
      </c>
      <c r="K35" s="38">
        <f>J35+I35</f>
        <v>29.557212472744141</v>
      </c>
    </row>
    <row r="36" spans="1:11" x14ac:dyDescent="0.25">
      <c r="A36" s="112" t="s">
        <v>450</v>
      </c>
      <c r="B36" s="3">
        <v>1</v>
      </c>
      <c r="C36" s="3">
        <v>398</v>
      </c>
      <c r="D36" s="3">
        <f t="shared" si="0"/>
        <v>39.800000000000004</v>
      </c>
      <c r="E36" s="3">
        <f>0.04*1.3</f>
        <v>5.2000000000000005E-2</v>
      </c>
      <c r="F36" s="3">
        <f>E36/$E$56*$F$56</f>
        <v>92.878682440269088</v>
      </c>
      <c r="G36" s="3">
        <f t="shared" si="1"/>
        <v>286.93796359545343</v>
      </c>
      <c r="H36" s="122"/>
      <c r="I36" s="123">
        <f t="shared" si="2"/>
        <v>-286.93796359545343</v>
      </c>
      <c r="J36" s="6"/>
      <c r="K36" s="3"/>
    </row>
    <row r="37" spans="1:11" x14ac:dyDescent="0.25">
      <c r="A37" s="3" t="s">
        <v>451</v>
      </c>
      <c r="B37" s="3">
        <v>1</v>
      </c>
      <c r="C37" s="3">
        <v>2751</v>
      </c>
      <c r="D37" s="3">
        <f t="shared" si="0"/>
        <v>275.10000000000002</v>
      </c>
      <c r="E37" s="3">
        <f>0.6*1.3</f>
        <v>0.78</v>
      </c>
      <c r="F37" s="3">
        <f>E37/$E$56*$F$56</f>
        <v>1393.1802366040365</v>
      </c>
      <c r="G37" s="3">
        <f t="shared" si="1"/>
        <v>2389.5048239318025</v>
      </c>
      <c r="H37" s="122"/>
      <c r="I37" s="123">
        <f t="shared" si="2"/>
        <v>-2389.5048239318025</v>
      </c>
      <c r="J37" s="6"/>
      <c r="K37" s="3"/>
    </row>
    <row r="38" spans="1:11" x14ac:dyDescent="0.25">
      <c r="A38" s="9" t="s">
        <v>414</v>
      </c>
      <c r="B38" s="9"/>
      <c r="C38" s="9"/>
      <c r="D38" s="84"/>
      <c r="E38" s="9"/>
      <c r="F38" s="9"/>
      <c r="G38" s="9"/>
      <c r="H38" s="122"/>
      <c r="I38" s="120">
        <f>SUM(I39:I44)</f>
        <v>-20526.502051813964</v>
      </c>
      <c r="J38" s="43">
        <v>21006</v>
      </c>
      <c r="K38" s="38">
        <f>J38+I38</f>
        <v>479.4979481860355</v>
      </c>
    </row>
    <row r="39" spans="1:11" x14ac:dyDescent="0.25">
      <c r="A39" s="3" t="s">
        <v>452</v>
      </c>
      <c r="B39" s="3">
        <v>1</v>
      </c>
      <c r="C39" s="3">
        <v>14294</v>
      </c>
      <c r="D39" s="3">
        <f t="shared" si="0"/>
        <v>1429.4</v>
      </c>
      <c r="E39" s="3">
        <v>2.7</v>
      </c>
      <c r="F39" s="3">
        <f t="shared" ref="F39:F44" si="3">E39/$E$56*$F$56</f>
        <v>4822.5469728601265</v>
      </c>
      <c r="G39" s="3">
        <f t="shared" si="1"/>
        <v>11109.193528225469</v>
      </c>
      <c r="H39" s="122"/>
      <c r="I39" s="123">
        <f t="shared" si="2"/>
        <v>-11109.193528225469</v>
      </c>
      <c r="J39" s="6"/>
      <c r="K39" s="3"/>
    </row>
    <row r="40" spans="1:11" ht="30" x14ac:dyDescent="0.25">
      <c r="A40" s="18" t="s">
        <v>453</v>
      </c>
      <c r="B40" s="3">
        <v>1</v>
      </c>
      <c r="C40" s="3">
        <v>4536</v>
      </c>
      <c r="D40" s="3">
        <f t="shared" si="0"/>
        <v>453.6</v>
      </c>
      <c r="E40" s="3">
        <v>0.72</v>
      </c>
      <c r="F40" s="3">
        <f t="shared" si="3"/>
        <v>1286.0125260960335</v>
      </c>
      <c r="G40" s="3">
        <f t="shared" si="1"/>
        <v>3393.2236928601251</v>
      </c>
      <c r="H40" s="122"/>
      <c r="I40" s="123">
        <f t="shared" si="2"/>
        <v>-3393.2236928601251</v>
      </c>
      <c r="J40" s="6"/>
      <c r="K40" s="3"/>
    </row>
    <row r="41" spans="1:11" ht="30" x14ac:dyDescent="0.25">
      <c r="A41" s="18" t="s">
        <v>454</v>
      </c>
      <c r="B41" s="3">
        <v>1</v>
      </c>
      <c r="C41" s="3">
        <v>1008</v>
      </c>
      <c r="D41" s="3">
        <f t="shared" si="0"/>
        <v>100.80000000000001</v>
      </c>
      <c r="E41" s="3">
        <f>0.25*1.3</f>
        <v>0.32500000000000001</v>
      </c>
      <c r="F41" s="3">
        <f t="shared" si="3"/>
        <v>580.49176525168184</v>
      </c>
      <c r="G41" s="3">
        <f t="shared" si="1"/>
        <v>913.40005747158432</v>
      </c>
      <c r="H41" s="122"/>
      <c r="I41" s="123">
        <f t="shared" si="2"/>
        <v>-913.40005747158432</v>
      </c>
      <c r="J41" s="6"/>
      <c r="K41" s="3"/>
    </row>
    <row r="42" spans="1:11" x14ac:dyDescent="0.25">
      <c r="A42" s="3" t="s">
        <v>455</v>
      </c>
      <c r="B42" s="3">
        <v>1</v>
      </c>
      <c r="C42" s="3">
        <v>2359</v>
      </c>
      <c r="D42" s="3">
        <f t="shared" si="0"/>
        <v>235.9</v>
      </c>
      <c r="E42" s="3">
        <f>0.6*1.3</f>
        <v>0.78</v>
      </c>
      <c r="F42" s="3">
        <f t="shared" si="3"/>
        <v>1393.1802366040365</v>
      </c>
      <c r="G42" s="3">
        <f t="shared" si="1"/>
        <v>2156.3549839318025</v>
      </c>
      <c r="H42" s="122"/>
      <c r="I42" s="123">
        <f t="shared" si="2"/>
        <v>-2156.3549839318025</v>
      </c>
      <c r="J42" s="6"/>
      <c r="K42" s="3"/>
    </row>
    <row r="43" spans="1:11" x14ac:dyDescent="0.25">
      <c r="A43" s="3" t="s">
        <v>456</v>
      </c>
      <c r="B43" s="3">
        <v>1</v>
      </c>
      <c r="C43" s="3">
        <v>2359</v>
      </c>
      <c r="D43" s="3">
        <f t="shared" si="0"/>
        <v>235.9</v>
      </c>
      <c r="E43" s="3">
        <f>0.6*1.3</f>
        <v>0.78</v>
      </c>
      <c r="F43" s="3">
        <f t="shared" si="3"/>
        <v>1393.1802366040365</v>
      </c>
      <c r="G43" s="3">
        <f t="shared" si="1"/>
        <v>2156.3549839318025</v>
      </c>
      <c r="H43" s="122"/>
      <c r="I43" s="123">
        <f t="shared" si="2"/>
        <v>-2156.3549839318025</v>
      </c>
      <c r="J43" s="6"/>
      <c r="K43" s="3"/>
    </row>
    <row r="44" spans="1:11" x14ac:dyDescent="0.25">
      <c r="A44" s="98" t="s">
        <v>457</v>
      </c>
      <c r="B44" s="3">
        <v>1</v>
      </c>
      <c r="C44" s="3">
        <v>1215</v>
      </c>
      <c r="D44" s="3">
        <f t="shared" si="0"/>
        <v>121.5</v>
      </c>
      <c r="E44" s="3">
        <f>0.06*1.3</f>
        <v>7.8E-2</v>
      </c>
      <c r="F44" s="3">
        <f t="shared" si="3"/>
        <v>139.31802366040364</v>
      </c>
      <c r="G44" s="3">
        <f t="shared" si="1"/>
        <v>797.97480539318019</v>
      </c>
      <c r="H44" s="122"/>
      <c r="I44" s="123">
        <f t="shared" si="2"/>
        <v>-797.97480539318019</v>
      </c>
      <c r="J44" s="6"/>
      <c r="K44" s="3"/>
    </row>
    <row r="45" spans="1:11" x14ac:dyDescent="0.25">
      <c r="A45" s="9" t="s">
        <v>458</v>
      </c>
      <c r="B45" s="9"/>
      <c r="C45" s="9"/>
      <c r="D45" s="84"/>
      <c r="E45" s="9"/>
      <c r="F45" s="9"/>
      <c r="G45" s="9"/>
      <c r="H45" s="122"/>
      <c r="I45" s="120">
        <f>I46</f>
        <v>-913.40005747158432</v>
      </c>
      <c r="J45" s="43">
        <v>923</v>
      </c>
      <c r="K45" s="38">
        <f>J45+I45</f>
        <v>9.5999425284156814</v>
      </c>
    </row>
    <row r="46" spans="1:11" x14ac:dyDescent="0.25">
      <c r="A46" s="98" t="s">
        <v>459</v>
      </c>
      <c r="B46" s="3">
        <v>1</v>
      </c>
      <c r="C46" s="3">
        <v>1008</v>
      </c>
      <c r="D46" s="3">
        <f t="shared" si="0"/>
        <v>100.80000000000001</v>
      </c>
      <c r="E46" s="3">
        <f>0.25*1.3</f>
        <v>0.32500000000000001</v>
      </c>
      <c r="F46" s="3">
        <f>E46/$E$56*$F$56</f>
        <v>580.49176525168184</v>
      </c>
      <c r="G46" s="3">
        <f t="shared" si="1"/>
        <v>913.40005747158432</v>
      </c>
      <c r="H46" s="122"/>
      <c r="I46" s="123">
        <f t="shared" si="2"/>
        <v>-913.40005747158432</v>
      </c>
      <c r="J46" s="6"/>
      <c r="K46" s="3"/>
    </row>
    <row r="47" spans="1:11" x14ac:dyDescent="0.25">
      <c r="A47" s="9" t="s">
        <v>460</v>
      </c>
      <c r="B47" s="9"/>
      <c r="C47" s="9"/>
      <c r="D47" s="84"/>
      <c r="E47" s="9"/>
      <c r="F47" s="9"/>
      <c r="G47" s="9"/>
      <c r="H47" s="122"/>
      <c r="I47" s="120">
        <f>SUM(I48:I50)</f>
        <v>-2053.4021042820691</v>
      </c>
      <c r="J47" s="43">
        <v>2078</v>
      </c>
      <c r="K47" s="38">
        <f>J47+I47</f>
        <v>24.597895717930896</v>
      </c>
    </row>
    <row r="48" spans="1:11" x14ac:dyDescent="0.25">
      <c r="A48" s="98" t="s">
        <v>461</v>
      </c>
      <c r="B48" s="3">
        <v>1</v>
      </c>
      <c r="C48" s="3">
        <v>983</v>
      </c>
      <c r="D48" s="3">
        <f t="shared" si="0"/>
        <v>98.300000000000011</v>
      </c>
      <c r="E48" s="3">
        <f>0.14*1.3</f>
        <v>0.18200000000000002</v>
      </c>
      <c r="F48" s="3">
        <f>E48/$E$56*$F$56</f>
        <v>325.0753885409419</v>
      </c>
      <c r="G48" s="3">
        <f t="shared" si="1"/>
        <v>760.4271725840872</v>
      </c>
      <c r="H48" s="122"/>
      <c r="I48" s="123">
        <f t="shared" si="2"/>
        <v>-760.4271725840872</v>
      </c>
      <c r="J48" s="6"/>
      <c r="K48" s="3"/>
    </row>
    <row r="49" spans="1:12" x14ac:dyDescent="0.25">
      <c r="A49" s="98" t="s">
        <v>462</v>
      </c>
      <c r="B49" s="3">
        <v>1</v>
      </c>
      <c r="C49" s="3">
        <v>1215</v>
      </c>
      <c r="D49" s="3">
        <f t="shared" si="0"/>
        <v>121.5</v>
      </c>
      <c r="E49" s="3">
        <f>0.2*1.3</f>
        <v>0.26</v>
      </c>
      <c r="F49" s="3">
        <f>E49/$E$56*$F$56</f>
        <v>464.39341220134548</v>
      </c>
      <c r="G49" s="3">
        <f t="shared" si="1"/>
        <v>973.7430679772674</v>
      </c>
      <c r="H49" s="122"/>
      <c r="I49" s="123">
        <f t="shared" si="2"/>
        <v>-973.7430679772674</v>
      </c>
      <c r="J49" s="6"/>
      <c r="K49" s="3"/>
    </row>
    <row r="50" spans="1:12" x14ac:dyDescent="0.25">
      <c r="A50" s="98" t="s">
        <v>463</v>
      </c>
      <c r="B50" s="3">
        <v>5</v>
      </c>
      <c r="C50" s="3">
        <v>70</v>
      </c>
      <c r="D50" s="3">
        <f t="shared" si="0"/>
        <v>35</v>
      </c>
      <c r="E50" s="3">
        <f>0.02*B50*1.15</f>
        <v>0.11499999999999999</v>
      </c>
      <c r="F50" s="3">
        <f>E50/$E$56*$F$56</f>
        <v>205.40477847367202</v>
      </c>
      <c r="G50" s="3">
        <f>(B50*C50)*$B$1+D50*$B$1+F50*$B$1</f>
        <v>319.23186372071444</v>
      </c>
      <c r="H50" s="122"/>
      <c r="I50" s="123">
        <f t="shared" si="2"/>
        <v>-319.23186372071444</v>
      </c>
      <c r="J50" s="6"/>
      <c r="K50" s="3"/>
    </row>
    <row r="51" spans="1:12" x14ac:dyDescent="0.25">
      <c r="A51" s="9" t="s">
        <v>392</v>
      </c>
      <c r="B51" s="9"/>
      <c r="C51" s="9"/>
      <c r="D51" s="84"/>
      <c r="E51" s="9"/>
      <c r="F51" s="9"/>
      <c r="G51" s="9"/>
      <c r="H51" s="122"/>
      <c r="I51" s="120">
        <f>SUM(I52:I55)</f>
        <v>-4591.4834404757594</v>
      </c>
      <c r="J51" s="43">
        <v>4675</v>
      </c>
      <c r="K51" s="38">
        <f>J51+I51</f>
        <v>83.51655952424062</v>
      </c>
    </row>
    <row r="52" spans="1:12" x14ac:dyDescent="0.25">
      <c r="A52" s="98" t="s">
        <v>465</v>
      </c>
      <c r="B52" s="3">
        <v>1</v>
      </c>
      <c r="C52" s="3">
        <v>1112</v>
      </c>
      <c r="D52" s="3">
        <f t="shared" si="0"/>
        <v>111.2</v>
      </c>
      <c r="E52" s="3">
        <f>0.3*1.3</f>
        <v>0.39</v>
      </c>
      <c r="F52" s="3">
        <f>E52/$E$56*$F$56</f>
        <v>696.59011830201825</v>
      </c>
      <c r="G52" s="3">
        <f t="shared" si="1"/>
        <v>1038.0305169659011</v>
      </c>
      <c r="H52" s="122"/>
      <c r="I52" s="123">
        <f t="shared" si="2"/>
        <v>-1038.0305169659011</v>
      </c>
      <c r="J52" s="6"/>
      <c r="K52" s="3"/>
    </row>
    <row r="53" spans="1:12" x14ac:dyDescent="0.25">
      <c r="A53" s="98" t="s">
        <v>466</v>
      </c>
      <c r="B53" s="3">
        <v>2</v>
      </c>
      <c r="C53" s="3">
        <v>1131</v>
      </c>
      <c r="D53" s="3">
        <f t="shared" si="0"/>
        <v>226.20000000000002</v>
      </c>
      <c r="E53" s="3">
        <f>0.2*B53*1.3</f>
        <v>0.52</v>
      </c>
      <c r="F53" s="3">
        <f>E53/$E$56*$F$56</f>
        <v>928.78682440269097</v>
      </c>
      <c r="G53" s="3">
        <f t="shared" si="1"/>
        <v>1847.564775954535</v>
      </c>
      <c r="H53" s="122"/>
      <c r="I53" s="123">
        <f t="shared" si="2"/>
        <v>-1847.564775954535</v>
      </c>
      <c r="J53" s="6"/>
      <c r="K53" s="3"/>
    </row>
    <row r="54" spans="1:12" x14ac:dyDescent="0.25">
      <c r="A54" s="98" t="s">
        <v>457</v>
      </c>
      <c r="B54" s="3">
        <v>1</v>
      </c>
      <c r="C54" s="3">
        <v>1215</v>
      </c>
      <c r="D54" s="3">
        <f t="shared" si="0"/>
        <v>121.5</v>
      </c>
      <c r="E54" s="3">
        <f>0.06*1.3</f>
        <v>7.8E-2</v>
      </c>
      <c r="F54" s="3">
        <f>E54/$E$56*$F$56</f>
        <v>139.31802366040364</v>
      </c>
      <c r="G54" s="3">
        <f t="shared" si="1"/>
        <v>797.97480539318019</v>
      </c>
      <c r="H54" s="122"/>
      <c r="I54" s="123">
        <f t="shared" si="2"/>
        <v>-797.97480539318019</v>
      </c>
      <c r="J54" s="6"/>
      <c r="K54" s="3"/>
    </row>
    <row r="55" spans="1:12" x14ac:dyDescent="0.25">
      <c r="A55" s="98" t="s">
        <v>431</v>
      </c>
      <c r="B55" s="3">
        <v>1</v>
      </c>
      <c r="C55" s="3">
        <f>3221/1000*300</f>
        <v>966.30000000000007</v>
      </c>
      <c r="D55" s="3">
        <f t="shared" si="0"/>
        <v>96.63000000000001</v>
      </c>
      <c r="E55" s="3">
        <f>0.3*1.15</f>
        <v>0.34499999999999997</v>
      </c>
      <c r="F55" s="3">
        <f>E55/$E$56*$F$56</f>
        <v>616.21433542101602</v>
      </c>
      <c r="G55" s="3">
        <f t="shared" si="1"/>
        <v>907.91334216214341</v>
      </c>
      <c r="H55" s="122"/>
      <c r="I55" s="123">
        <f t="shared" si="2"/>
        <v>-907.91334216214341</v>
      </c>
      <c r="J55" s="6"/>
      <c r="K55" s="3"/>
      <c r="L55" t="s">
        <v>469</v>
      </c>
    </row>
    <row r="56" spans="1:12" x14ac:dyDescent="0.25">
      <c r="A56" s="27"/>
      <c r="B56" s="28"/>
      <c r="C56" s="28"/>
      <c r="D56" s="28"/>
      <c r="E56" s="99">
        <f>SUM(E14:E55)</f>
        <v>12.932999999999998</v>
      </c>
      <c r="F56" s="94">
        <v>23100</v>
      </c>
      <c r="G56" s="28">
        <f>F56/E56</f>
        <v>1786.1285084667134</v>
      </c>
      <c r="H56" s="122"/>
      <c r="I56" s="121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1"/>
  <sheetViews>
    <sheetView topLeftCell="A52" zoomScale="90" zoomScaleNormal="90" workbookViewId="0">
      <selection activeCell="L65" sqref="L65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0.5263</f>
        <v>0.52629999999999999</v>
      </c>
      <c r="C1" s="1"/>
      <c r="I1" s="41"/>
      <c r="J1" s="45" t="s">
        <v>289</v>
      </c>
      <c r="K1" s="116">
        <v>43018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422</v>
      </c>
    </row>
    <row r="4" spans="1:13" x14ac:dyDescent="0.25">
      <c r="A4" s="9" t="s">
        <v>470</v>
      </c>
      <c r="B4" s="9"/>
      <c r="C4" s="9"/>
      <c r="D4" s="84"/>
      <c r="E4" s="9"/>
      <c r="F4" s="10"/>
      <c r="G4" s="10"/>
      <c r="H4" s="122"/>
      <c r="I4" s="120">
        <f>SUM(I5)</f>
        <v>-881.03572398856431</v>
      </c>
      <c r="J4" s="38">
        <v>888</v>
      </c>
      <c r="K4" s="38">
        <f>J4+I4</f>
        <v>6.9642760114356861</v>
      </c>
      <c r="L4" s="3"/>
    </row>
    <row r="5" spans="1:13" x14ac:dyDescent="0.25">
      <c r="A5" s="3" t="s">
        <v>471</v>
      </c>
      <c r="B5" s="26">
        <v>1</v>
      </c>
      <c r="C5" s="3">
        <v>1131</v>
      </c>
      <c r="D5" s="3">
        <f>B5*C5*0.1</f>
        <v>113.10000000000001</v>
      </c>
      <c r="E5" s="3">
        <f>0.2*1.3</f>
        <v>0.26</v>
      </c>
      <c r="F5" s="3">
        <f>E5/$E$71*$F$71</f>
        <v>429.91809612115577</v>
      </c>
      <c r="G5" s="3">
        <f>(C5)*$B$1+D5*$B$1+F5*$B$1</f>
        <v>881.03572398856431</v>
      </c>
      <c r="H5" s="122"/>
      <c r="I5" s="123">
        <f>H5-G5</f>
        <v>-881.03572398856431</v>
      </c>
      <c r="J5" s="6"/>
      <c r="K5" s="3"/>
      <c r="L5" s="3"/>
    </row>
    <row r="6" spans="1:13" x14ac:dyDescent="0.25">
      <c r="A6" s="9" t="s">
        <v>411</v>
      </c>
      <c r="B6" s="9"/>
      <c r="C6" s="9"/>
      <c r="D6" s="9"/>
      <c r="E6" s="9"/>
      <c r="F6" s="9"/>
      <c r="G6" s="9"/>
      <c r="H6" s="122"/>
      <c r="I6" s="120">
        <f>I7</f>
        <v>-704.84772639313849</v>
      </c>
      <c r="J6" s="43">
        <v>677</v>
      </c>
      <c r="K6" s="38">
        <f>J6+I6</f>
        <v>-27.847726393138487</v>
      </c>
      <c r="L6" s="3"/>
    </row>
    <row r="7" spans="1:13" x14ac:dyDescent="0.25">
      <c r="A7" s="3" t="s">
        <v>472</v>
      </c>
      <c r="B7" s="26">
        <v>1</v>
      </c>
      <c r="C7" s="3">
        <v>983</v>
      </c>
      <c r="D7" s="3">
        <f t="shared" ref="D7:D68" si="0">B7*C7*0.1</f>
        <v>98.300000000000011</v>
      </c>
      <c r="E7" s="3">
        <f>0.12*1.3</f>
        <v>0.156</v>
      </c>
      <c r="F7" s="3">
        <f t="shared" ref="F7:F68" si="1">E7/$E$71*$F$71</f>
        <v>257.95085767269342</v>
      </c>
      <c r="G7" s="3">
        <f t="shared" ref="G7:G68" si="2">(C7)*$B$1+D7*$B$1+F7*$B$1</f>
        <v>704.84772639313849</v>
      </c>
      <c r="H7" s="122"/>
      <c r="I7" s="123">
        <f t="shared" ref="I7:I70" si="3">H7-G7</f>
        <v>-704.84772639313849</v>
      </c>
      <c r="J7" s="6"/>
      <c r="K7" s="3"/>
      <c r="L7" s="3"/>
    </row>
    <row r="8" spans="1:13" x14ac:dyDescent="0.25">
      <c r="A8" s="9" t="s">
        <v>414</v>
      </c>
      <c r="B8" s="9"/>
      <c r="C8" s="9"/>
      <c r="D8" s="9"/>
      <c r="E8" s="9"/>
      <c r="F8" s="9"/>
      <c r="G8" s="9"/>
      <c r="H8" s="122"/>
      <c r="I8" s="120">
        <f>I9</f>
        <v>-1090.6197867485705</v>
      </c>
      <c r="J8" s="43">
        <f>581+11</f>
        <v>592</v>
      </c>
      <c r="K8" s="38">
        <f>J8+I8</f>
        <v>-498.6197867485705</v>
      </c>
      <c r="L8" s="3"/>
    </row>
    <row r="9" spans="1:13" x14ac:dyDescent="0.25">
      <c r="A9" s="18" t="s">
        <v>473</v>
      </c>
      <c r="B9" s="26">
        <v>1</v>
      </c>
      <c r="C9" s="3">
        <v>1835</v>
      </c>
      <c r="D9" s="3">
        <f t="shared" si="0"/>
        <v>183.5</v>
      </c>
      <c r="E9" s="3">
        <f>0.025*1.3</f>
        <v>3.2500000000000001E-2</v>
      </c>
      <c r="F9" s="3">
        <f t="shared" si="1"/>
        <v>53.739762015144471</v>
      </c>
      <c r="G9" s="3">
        <f t="shared" si="2"/>
        <v>1090.6197867485705</v>
      </c>
      <c r="H9" s="122"/>
      <c r="I9" s="123">
        <f t="shared" si="3"/>
        <v>-1090.6197867485705</v>
      </c>
      <c r="J9" s="6"/>
      <c r="K9" s="3"/>
      <c r="L9" s="3"/>
    </row>
    <row r="10" spans="1:13" x14ac:dyDescent="0.25">
      <c r="A10" s="9" t="s">
        <v>474</v>
      </c>
      <c r="B10" s="9"/>
      <c r="C10" s="9"/>
      <c r="D10" s="9"/>
      <c r="E10" s="9"/>
      <c r="F10" s="9"/>
      <c r="G10" s="9"/>
      <c r="H10" s="122"/>
      <c r="I10" s="120">
        <f>I11</f>
        <v>-573.10499683603757</v>
      </c>
      <c r="J10" s="43">
        <f>1155-545</f>
        <v>610</v>
      </c>
      <c r="K10" s="38">
        <f>J10+I10-L11</f>
        <v>-0.10499683603757148</v>
      </c>
      <c r="L10" s="3"/>
      <c r="M10" t="s">
        <v>510</v>
      </c>
    </row>
    <row r="11" spans="1:13" x14ac:dyDescent="0.25">
      <c r="A11" s="98" t="s">
        <v>475</v>
      </c>
      <c r="B11" s="26">
        <v>1</v>
      </c>
      <c r="C11" s="3">
        <f>3221/1000*200</f>
        <v>644.20000000000005</v>
      </c>
      <c r="D11" s="3">
        <f t="shared" si="0"/>
        <v>64.42</v>
      </c>
      <c r="E11" s="3">
        <f>0.2*1.15</f>
        <v>0.22999999999999998</v>
      </c>
      <c r="F11" s="3">
        <f t="shared" si="1"/>
        <v>380.31216195333008</v>
      </c>
      <c r="G11" s="3">
        <f t="shared" si="2"/>
        <v>573.10499683603757</v>
      </c>
      <c r="H11" s="122"/>
      <c r="I11" s="123">
        <f t="shared" si="3"/>
        <v>-573.10499683603757</v>
      </c>
      <c r="J11" s="6"/>
      <c r="K11" s="3"/>
      <c r="L11" s="3">
        <f>18.5*2</f>
        <v>37</v>
      </c>
    </row>
    <row r="12" spans="1:13" x14ac:dyDescent="0.25">
      <c r="A12" s="9" t="s">
        <v>476</v>
      </c>
      <c r="B12" s="9"/>
      <c r="C12" s="9"/>
      <c r="D12" s="9"/>
      <c r="E12" s="9"/>
      <c r="F12" s="9"/>
      <c r="G12" s="9"/>
      <c r="H12" s="9"/>
      <c r="I12" s="120">
        <f>I13</f>
        <v>-564.18947483603768</v>
      </c>
      <c r="J12" s="129">
        <f>574+6</f>
        <v>580</v>
      </c>
      <c r="K12" s="38">
        <f>J12+I12-L13</f>
        <v>5.8105251639623248</v>
      </c>
      <c r="L12" s="3"/>
    </row>
    <row r="13" spans="1:13" x14ac:dyDescent="0.25">
      <c r="A13" s="3" t="s">
        <v>477</v>
      </c>
      <c r="B13" s="26">
        <v>1</v>
      </c>
      <c r="C13" s="3">
        <f>3144/1000*200</f>
        <v>628.80000000000007</v>
      </c>
      <c r="D13" s="3">
        <f t="shared" si="0"/>
        <v>62.88000000000001</v>
      </c>
      <c r="E13" s="3">
        <f>0.2*1.15</f>
        <v>0.22999999999999998</v>
      </c>
      <c r="F13" s="3">
        <f t="shared" si="1"/>
        <v>380.31216195333008</v>
      </c>
      <c r="G13" s="3">
        <f t="shared" si="2"/>
        <v>564.18947483603768</v>
      </c>
      <c r="H13" s="122"/>
      <c r="I13" s="123">
        <f t="shared" si="3"/>
        <v>-564.18947483603768</v>
      </c>
      <c r="J13" s="6"/>
      <c r="K13" s="6"/>
      <c r="L13" s="3">
        <v>10</v>
      </c>
    </row>
    <row r="14" spans="1:13" x14ac:dyDescent="0.25">
      <c r="A14" s="9" t="s">
        <v>432</v>
      </c>
      <c r="B14" s="9"/>
      <c r="C14" s="9"/>
      <c r="D14" s="9"/>
      <c r="E14" s="9"/>
      <c r="F14" s="9"/>
      <c r="G14" s="9"/>
      <c r="H14" s="9"/>
      <c r="I14" s="120">
        <f>I15</f>
        <v>-564.18947483603768</v>
      </c>
      <c r="J14" s="129">
        <f>575+6</f>
        <v>581</v>
      </c>
      <c r="K14" s="38">
        <f>J14+I14-L15</f>
        <v>6.8105251639623248</v>
      </c>
      <c r="L14" s="3"/>
    </row>
    <row r="15" spans="1:13" x14ac:dyDescent="0.25">
      <c r="A15" s="3" t="s">
        <v>477</v>
      </c>
      <c r="B15" s="26">
        <v>1</v>
      </c>
      <c r="C15" s="3">
        <f>3144/1000*200</f>
        <v>628.80000000000007</v>
      </c>
      <c r="D15" s="3">
        <f t="shared" si="0"/>
        <v>62.88000000000001</v>
      </c>
      <c r="E15" s="3">
        <f>0.2*1.15</f>
        <v>0.22999999999999998</v>
      </c>
      <c r="F15" s="3">
        <f t="shared" si="1"/>
        <v>380.31216195333008</v>
      </c>
      <c r="G15" s="3">
        <f t="shared" si="2"/>
        <v>564.18947483603768</v>
      </c>
      <c r="H15" s="122"/>
      <c r="I15" s="123">
        <f t="shared" si="3"/>
        <v>-564.18947483603768</v>
      </c>
      <c r="J15" s="6"/>
      <c r="K15" s="6"/>
      <c r="L15" s="3">
        <v>10</v>
      </c>
    </row>
    <row r="16" spans="1:13" x14ac:dyDescent="0.25">
      <c r="A16" s="9" t="s">
        <v>478</v>
      </c>
      <c r="B16" s="9"/>
      <c r="C16" s="9"/>
      <c r="D16" s="9"/>
      <c r="E16" s="9"/>
      <c r="F16" s="9"/>
      <c r="G16" s="9"/>
      <c r="H16" s="9"/>
      <c r="I16" s="120">
        <f>I17</f>
        <v>-297.03113141801884</v>
      </c>
      <c r="J16" s="129">
        <v>301.33</v>
      </c>
      <c r="K16" s="38">
        <f>J16+I16</f>
        <v>4.2988685819811394</v>
      </c>
      <c r="L16" s="3"/>
    </row>
    <row r="17" spans="1:12" x14ac:dyDescent="0.25">
      <c r="A17" s="3" t="s">
        <v>479</v>
      </c>
      <c r="B17" s="26">
        <v>1</v>
      </c>
      <c r="C17" s="3">
        <f>3402/1000*100</f>
        <v>340.2</v>
      </c>
      <c r="D17" s="3">
        <f t="shared" si="0"/>
        <v>34.020000000000003</v>
      </c>
      <c r="E17" s="3">
        <f>0.1*1.15</f>
        <v>0.11499999999999999</v>
      </c>
      <c r="F17" s="3">
        <f t="shared" si="1"/>
        <v>190.15608097666504</v>
      </c>
      <c r="G17" s="3">
        <f t="shared" si="2"/>
        <v>297.03113141801884</v>
      </c>
      <c r="H17" s="122"/>
      <c r="I17" s="123">
        <f t="shared" si="3"/>
        <v>-297.03113141801884</v>
      </c>
      <c r="J17" s="6"/>
      <c r="K17" s="6"/>
      <c r="L17" s="3" t="s">
        <v>509</v>
      </c>
    </row>
    <row r="18" spans="1:12" x14ac:dyDescent="0.25">
      <c r="A18" s="9" t="s">
        <v>429</v>
      </c>
      <c r="B18" s="9"/>
      <c r="C18" s="9"/>
      <c r="D18" s="9"/>
      <c r="E18" s="9"/>
      <c r="F18" s="9"/>
      <c r="G18" s="9"/>
      <c r="H18" s="9"/>
      <c r="I18" s="120">
        <f>I19</f>
        <v>-297.03113141801884</v>
      </c>
      <c r="J18" s="129">
        <f>308+14</f>
        <v>322</v>
      </c>
      <c r="K18" s="38">
        <f>J18+I18-L19</f>
        <v>6.4688685819811553</v>
      </c>
      <c r="L18" s="3"/>
    </row>
    <row r="19" spans="1:12" x14ac:dyDescent="0.25">
      <c r="A19" s="3" t="s">
        <v>479</v>
      </c>
      <c r="B19" s="26">
        <v>1</v>
      </c>
      <c r="C19" s="3">
        <f>3402/1000*100</f>
        <v>340.2</v>
      </c>
      <c r="D19" s="3">
        <f t="shared" si="0"/>
        <v>34.020000000000003</v>
      </c>
      <c r="E19" s="3">
        <f>0.1*1.15</f>
        <v>0.11499999999999999</v>
      </c>
      <c r="F19" s="3">
        <f t="shared" si="1"/>
        <v>190.15608097666504</v>
      </c>
      <c r="G19" s="3">
        <f t="shared" si="2"/>
        <v>297.03113141801884</v>
      </c>
      <c r="H19" s="122"/>
      <c r="I19" s="123">
        <f t="shared" si="3"/>
        <v>-297.03113141801884</v>
      </c>
      <c r="J19" s="6"/>
      <c r="K19" s="6"/>
      <c r="L19" s="3">
        <v>18.5</v>
      </c>
    </row>
    <row r="20" spans="1:12" x14ac:dyDescent="0.25">
      <c r="A20" s="9" t="s">
        <v>480</v>
      </c>
      <c r="B20" s="9"/>
      <c r="C20" s="9"/>
      <c r="D20" s="9"/>
      <c r="E20" s="9"/>
      <c r="F20" s="9"/>
      <c r="G20" s="9"/>
      <c r="H20" s="9"/>
      <c r="I20" s="120">
        <f>I21</f>
        <v>-573.10499683603757</v>
      </c>
      <c r="J20" s="129">
        <v>582</v>
      </c>
      <c r="K20" s="38">
        <f>J20+I20-L21</f>
        <v>-1.1049968360375715</v>
      </c>
      <c r="L20" s="3"/>
    </row>
    <row r="21" spans="1:12" x14ac:dyDescent="0.25">
      <c r="A21" s="98" t="s">
        <v>475</v>
      </c>
      <c r="B21" s="26">
        <v>1</v>
      </c>
      <c r="C21" s="3">
        <f>3221/1000*200</f>
        <v>644.20000000000005</v>
      </c>
      <c r="D21" s="3">
        <f t="shared" si="0"/>
        <v>64.42</v>
      </c>
      <c r="E21" s="3">
        <f>0.2*1.15</f>
        <v>0.22999999999999998</v>
      </c>
      <c r="F21" s="3">
        <f t="shared" si="1"/>
        <v>380.31216195333008</v>
      </c>
      <c r="G21" s="3">
        <f t="shared" si="2"/>
        <v>573.10499683603757</v>
      </c>
      <c r="H21" s="122"/>
      <c r="I21" s="123">
        <f t="shared" si="3"/>
        <v>-573.10499683603757</v>
      </c>
      <c r="J21" s="6"/>
      <c r="K21" s="6"/>
      <c r="L21" s="3">
        <v>10</v>
      </c>
    </row>
    <row r="22" spans="1:12" x14ac:dyDescent="0.25">
      <c r="A22" s="9" t="s">
        <v>481</v>
      </c>
      <c r="B22" s="9"/>
      <c r="C22" s="9"/>
      <c r="D22" s="9"/>
      <c r="E22" s="9"/>
      <c r="F22" s="9"/>
      <c r="G22" s="9"/>
      <c r="H22" s="9"/>
      <c r="I22" s="120">
        <f>I23</f>
        <v>-891.09339425405642</v>
      </c>
      <c r="J22" s="129">
        <v>883</v>
      </c>
      <c r="K22" s="38">
        <f>J22+I22</f>
        <v>-8.0933942540564203</v>
      </c>
      <c r="L22" s="3"/>
    </row>
    <row r="23" spans="1:12" x14ac:dyDescent="0.25">
      <c r="A23" s="3" t="s">
        <v>482</v>
      </c>
      <c r="B23" s="26">
        <v>1</v>
      </c>
      <c r="C23" s="3">
        <f>3402/1000*300</f>
        <v>1020.6</v>
      </c>
      <c r="D23" s="3">
        <f t="shared" si="0"/>
        <v>102.06</v>
      </c>
      <c r="E23" s="3">
        <f>0.3*1.15</f>
        <v>0.34499999999999997</v>
      </c>
      <c r="F23" s="3">
        <f t="shared" si="1"/>
        <v>570.46824292999509</v>
      </c>
      <c r="G23" s="3">
        <f>(C23)*$B$1+D23*$B$1+F23*$B$1</f>
        <v>891.09339425405642</v>
      </c>
      <c r="H23" s="122"/>
      <c r="I23" s="123">
        <f t="shared" si="3"/>
        <v>-891.09339425405642</v>
      </c>
      <c r="J23" s="6"/>
      <c r="K23" s="6"/>
      <c r="L23" s="3" t="s">
        <v>509</v>
      </c>
    </row>
    <row r="24" spans="1:12" x14ac:dyDescent="0.25">
      <c r="A24" s="9" t="s">
        <v>42</v>
      </c>
      <c r="B24" s="9"/>
      <c r="C24" s="9"/>
      <c r="D24" s="9"/>
      <c r="E24" s="9"/>
      <c r="F24" s="9"/>
      <c r="G24" s="9"/>
      <c r="H24" s="9"/>
      <c r="I24" s="120">
        <f>I25</f>
        <v>-1042.4657376720752</v>
      </c>
      <c r="J24" s="129">
        <f>1066+13</f>
        <v>1079</v>
      </c>
      <c r="K24" s="38">
        <f>J24+I24-L25</f>
        <v>14.534262327924807</v>
      </c>
      <c r="L24" s="3"/>
    </row>
    <row r="25" spans="1:12" x14ac:dyDescent="0.25">
      <c r="A25" s="3" t="s">
        <v>483</v>
      </c>
      <c r="B25" s="26">
        <v>1</v>
      </c>
      <c r="C25" s="3">
        <f>2773/1000*400</f>
        <v>1109.2</v>
      </c>
      <c r="D25" s="3">
        <f t="shared" si="0"/>
        <v>110.92000000000002</v>
      </c>
      <c r="E25" s="3">
        <f>0.4*1.15</f>
        <v>0.45999999999999996</v>
      </c>
      <c r="F25" s="3">
        <f t="shared" si="1"/>
        <v>760.62432390666015</v>
      </c>
      <c r="G25" s="3">
        <f t="shared" si="2"/>
        <v>1042.4657376720752</v>
      </c>
      <c r="H25" s="122"/>
      <c r="I25" s="123">
        <f t="shared" si="3"/>
        <v>-1042.4657376720752</v>
      </c>
      <c r="J25" s="6"/>
      <c r="K25" s="6"/>
      <c r="L25" s="3">
        <f>11*2</f>
        <v>22</v>
      </c>
    </row>
    <row r="26" spans="1:12" x14ac:dyDescent="0.25">
      <c r="A26" s="9" t="s">
        <v>484</v>
      </c>
      <c r="B26" s="9"/>
      <c r="C26" s="9"/>
      <c r="D26" s="9"/>
      <c r="E26" s="9"/>
      <c r="F26" s="9"/>
      <c r="G26" s="9"/>
      <c r="H26" s="9"/>
      <c r="I26" s="120">
        <f>I27+I28</f>
        <v>-583.58362983603763</v>
      </c>
      <c r="J26" s="129">
        <f>592+34</f>
        <v>626</v>
      </c>
      <c r="K26" s="38">
        <f>J26+I26-L27-L28</f>
        <v>5.4163701639623696</v>
      </c>
      <c r="L26" s="3"/>
    </row>
    <row r="27" spans="1:12" x14ac:dyDescent="0.25">
      <c r="A27" s="3" t="s">
        <v>479</v>
      </c>
      <c r="B27" s="26">
        <v>1</v>
      </c>
      <c r="C27" s="3">
        <f>3402/1000*100</f>
        <v>340.2</v>
      </c>
      <c r="D27" s="3">
        <f t="shared" si="0"/>
        <v>34.020000000000003</v>
      </c>
      <c r="E27" s="3">
        <f>0.1*1.15</f>
        <v>0.11499999999999999</v>
      </c>
      <c r="F27" s="3">
        <f t="shared" si="1"/>
        <v>190.15608097666504</v>
      </c>
      <c r="G27" s="3">
        <f t="shared" si="2"/>
        <v>297.03113141801884</v>
      </c>
      <c r="H27" s="122"/>
      <c r="I27" s="123">
        <f t="shared" si="3"/>
        <v>-297.03113141801884</v>
      </c>
      <c r="J27" s="6"/>
      <c r="K27" s="6"/>
      <c r="L27" s="3">
        <v>18.5</v>
      </c>
    </row>
    <row r="28" spans="1:12" x14ac:dyDescent="0.25">
      <c r="A28" s="98" t="s">
        <v>485</v>
      </c>
      <c r="B28" s="26">
        <v>1</v>
      </c>
      <c r="C28" s="3">
        <f>3221/1000*100</f>
        <v>322.10000000000002</v>
      </c>
      <c r="D28" s="3">
        <f t="shared" si="0"/>
        <v>32.21</v>
      </c>
      <c r="E28" s="3">
        <f>0.1*1.15</f>
        <v>0.11499999999999999</v>
      </c>
      <c r="F28" s="3">
        <f t="shared" si="1"/>
        <v>190.15608097666504</v>
      </c>
      <c r="G28" s="3">
        <f t="shared" si="2"/>
        <v>286.55249841801879</v>
      </c>
      <c r="H28" s="122"/>
      <c r="I28" s="123">
        <f t="shared" si="3"/>
        <v>-286.55249841801879</v>
      </c>
      <c r="J28" s="6"/>
      <c r="K28" s="6"/>
      <c r="L28" s="3">
        <v>18.5</v>
      </c>
    </row>
    <row r="29" spans="1:12" x14ac:dyDescent="0.25">
      <c r="A29" s="9" t="s">
        <v>486</v>
      </c>
      <c r="B29" s="9"/>
      <c r="C29" s="9"/>
      <c r="D29" s="9"/>
      <c r="E29" s="9"/>
      <c r="F29" s="9"/>
      <c r="G29" s="9"/>
      <c r="H29" s="9"/>
      <c r="I29" s="120">
        <f>I30+I31</f>
        <v>-579.12586883603763</v>
      </c>
      <c r="J29" s="129">
        <f>532+28*2+33</f>
        <v>621</v>
      </c>
      <c r="K29" s="38">
        <f>J29+I29-L30-L31</f>
        <v>4.8741311639623746</v>
      </c>
      <c r="L29" s="3"/>
    </row>
    <row r="30" spans="1:12" x14ac:dyDescent="0.25">
      <c r="A30" s="3" t="s">
        <v>479</v>
      </c>
      <c r="B30" s="26">
        <v>1</v>
      </c>
      <c r="C30" s="3">
        <f>3402/1000*100</f>
        <v>340.2</v>
      </c>
      <c r="D30" s="3">
        <f t="shared" si="0"/>
        <v>34.020000000000003</v>
      </c>
      <c r="E30" s="3">
        <f>0.1*1.15</f>
        <v>0.11499999999999999</v>
      </c>
      <c r="F30" s="3">
        <f t="shared" si="1"/>
        <v>190.15608097666504</v>
      </c>
      <c r="G30" s="3">
        <f t="shared" si="2"/>
        <v>297.03113141801884</v>
      </c>
      <c r="H30" s="122"/>
      <c r="I30" s="123">
        <f t="shared" si="3"/>
        <v>-297.03113141801884</v>
      </c>
      <c r="J30" s="6"/>
      <c r="K30" s="6"/>
      <c r="L30" s="3">
        <v>18.5</v>
      </c>
    </row>
    <row r="31" spans="1:12" x14ac:dyDescent="0.25">
      <c r="A31" s="3" t="s">
        <v>487</v>
      </c>
      <c r="B31" s="124">
        <v>1</v>
      </c>
      <c r="C31" s="3">
        <f>3144/1000*100</f>
        <v>314.40000000000003</v>
      </c>
      <c r="D31" s="3">
        <f t="shared" si="0"/>
        <v>31.440000000000005</v>
      </c>
      <c r="E31" s="3">
        <f>0.1*1.15</f>
        <v>0.11499999999999999</v>
      </c>
      <c r="F31" s="3">
        <f t="shared" si="1"/>
        <v>190.15608097666504</v>
      </c>
      <c r="G31" s="3">
        <f t="shared" si="2"/>
        <v>282.09473741801884</v>
      </c>
      <c r="H31" s="122"/>
      <c r="I31" s="123">
        <f t="shared" si="3"/>
        <v>-282.09473741801884</v>
      </c>
      <c r="J31" s="6"/>
      <c r="K31" s="6"/>
      <c r="L31" s="3">
        <v>18.5</v>
      </c>
    </row>
    <row r="32" spans="1:12" x14ac:dyDescent="0.25">
      <c r="A32" s="9" t="s">
        <v>488</v>
      </c>
      <c r="B32" s="9"/>
      <c r="C32" s="9"/>
      <c r="D32" s="9"/>
      <c r="E32" s="9"/>
      <c r="F32" s="9"/>
      <c r="G32" s="9"/>
      <c r="H32" s="9"/>
      <c r="I32" s="120">
        <f>I33+I34</f>
        <v>-583.58362983603763</v>
      </c>
      <c r="J32" s="129">
        <f>592+34</f>
        <v>626</v>
      </c>
      <c r="K32" s="38">
        <f>J32+I32-L33-L34</f>
        <v>5.4163701639623696</v>
      </c>
      <c r="L32" s="3"/>
    </row>
    <row r="33" spans="1:12" x14ac:dyDescent="0.25">
      <c r="A33" s="3" t="s">
        <v>479</v>
      </c>
      <c r="B33" s="26">
        <v>1</v>
      </c>
      <c r="C33" s="3">
        <f>3402/1000*100</f>
        <v>340.2</v>
      </c>
      <c r="D33" s="3">
        <f t="shared" si="0"/>
        <v>34.020000000000003</v>
      </c>
      <c r="E33" s="3">
        <f>0.1*1.15</f>
        <v>0.11499999999999999</v>
      </c>
      <c r="F33" s="3">
        <f t="shared" si="1"/>
        <v>190.15608097666504</v>
      </c>
      <c r="G33" s="3">
        <f t="shared" si="2"/>
        <v>297.03113141801884</v>
      </c>
      <c r="H33" s="122"/>
      <c r="I33" s="123">
        <f t="shared" si="3"/>
        <v>-297.03113141801884</v>
      </c>
      <c r="J33" s="6"/>
      <c r="K33" s="6"/>
      <c r="L33" s="3">
        <v>18.5</v>
      </c>
    </row>
    <row r="34" spans="1:12" x14ac:dyDescent="0.25">
      <c r="A34" s="98" t="s">
        <v>485</v>
      </c>
      <c r="B34" s="26">
        <v>1</v>
      </c>
      <c r="C34" s="3">
        <f>3221/1000*100</f>
        <v>322.10000000000002</v>
      </c>
      <c r="D34" s="3">
        <f t="shared" si="0"/>
        <v>32.21</v>
      </c>
      <c r="E34" s="3">
        <f>0.1*1.15</f>
        <v>0.11499999999999999</v>
      </c>
      <c r="F34" s="3">
        <f t="shared" si="1"/>
        <v>190.15608097666504</v>
      </c>
      <c r="G34" s="3">
        <f t="shared" si="2"/>
        <v>286.55249841801879</v>
      </c>
      <c r="H34" s="122"/>
      <c r="I34" s="123">
        <f t="shared" si="3"/>
        <v>-286.55249841801879</v>
      </c>
      <c r="J34" s="6"/>
      <c r="K34" s="6"/>
      <c r="L34" s="3">
        <v>18.5</v>
      </c>
    </row>
    <row r="35" spans="1:12" x14ac:dyDescent="0.25">
      <c r="A35" s="9" t="s">
        <v>430</v>
      </c>
      <c r="B35" s="9"/>
      <c r="C35" s="9"/>
      <c r="D35" s="9"/>
      <c r="E35" s="9"/>
      <c r="F35" s="9"/>
      <c r="G35" s="9"/>
      <c r="H35" s="9"/>
      <c r="I35" s="120">
        <f>SUM(I36:I38)</f>
        <v>-2211.6239127346621</v>
      </c>
      <c r="J35" s="129">
        <v>2222</v>
      </c>
      <c r="K35" s="38">
        <f>J35+I35-L36-L37</f>
        <v>0.37608726533790104</v>
      </c>
      <c r="L35" s="3"/>
    </row>
    <row r="36" spans="1:12" x14ac:dyDescent="0.25">
      <c r="A36" s="3" t="s">
        <v>489</v>
      </c>
      <c r="B36" s="26">
        <v>1</v>
      </c>
      <c r="C36" s="3">
        <v>1215</v>
      </c>
      <c r="D36" s="3">
        <f t="shared" si="0"/>
        <v>121.5</v>
      </c>
      <c r="E36" s="3">
        <f>0.095*1.3</f>
        <v>0.12350000000000001</v>
      </c>
      <c r="F36" s="3">
        <f t="shared" si="1"/>
        <v>204.21109565754901</v>
      </c>
      <c r="G36" s="3">
        <f t="shared" si="2"/>
        <v>810.87624964456802</v>
      </c>
      <c r="H36" s="122"/>
      <c r="I36" s="123">
        <f t="shared" si="3"/>
        <v>-810.87624964456802</v>
      </c>
      <c r="J36" s="6"/>
      <c r="K36" s="6"/>
      <c r="L36" s="3"/>
    </row>
    <row r="37" spans="1:12" x14ac:dyDescent="0.25">
      <c r="A37" s="3" t="s">
        <v>490</v>
      </c>
      <c r="B37" s="26">
        <v>1</v>
      </c>
      <c r="C37" s="3">
        <f>3402/1000*200</f>
        <v>680.4</v>
      </c>
      <c r="D37" s="3">
        <f t="shared" si="0"/>
        <v>68.040000000000006</v>
      </c>
      <c r="E37" s="3">
        <f>0.2*1.15</f>
        <v>0.22999999999999998</v>
      </c>
      <c r="F37" s="3">
        <f t="shared" si="1"/>
        <v>380.31216195333008</v>
      </c>
      <c r="G37" s="3">
        <f t="shared" si="2"/>
        <v>594.06226283603769</v>
      </c>
      <c r="H37" s="122"/>
      <c r="I37" s="123">
        <f t="shared" si="3"/>
        <v>-594.06226283603769</v>
      </c>
      <c r="J37" s="6"/>
      <c r="K37" s="6"/>
      <c r="L37" s="3">
        <v>10</v>
      </c>
    </row>
    <row r="38" spans="1:12" x14ac:dyDescent="0.25">
      <c r="A38" s="112" t="s">
        <v>491</v>
      </c>
      <c r="B38" s="26">
        <v>1</v>
      </c>
      <c r="C38" s="3">
        <f>2916/1000*300</f>
        <v>874.8</v>
      </c>
      <c r="D38" s="3">
        <f t="shared" si="0"/>
        <v>87.48</v>
      </c>
      <c r="E38" s="3">
        <f>0.3*1.15</f>
        <v>0.34499999999999997</v>
      </c>
      <c r="F38" s="3">
        <f t="shared" si="1"/>
        <v>570.46824292999509</v>
      </c>
      <c r="G38" s="3">
        <f t="shared" si="2"/>
        <v>806.68540025405639</v>
      </c>
      <c r="H38" s="122"/>
      <c r="I38" s="123">
        <f t="shared" si="3"/>
        <v>-806.68540025405639</v>
      </c>
      <c r="J38" s="6"/>
      <c r="K38" s="6"/>
      <c r="L38" s="3" t="s">
        <v>509</v>
      </c>
    </row>
    <row r="39" spans="1:12" x14ac:dyDescent="0.25">
      <c r="A39" s="9" t="s">
        <v>410</v>
      </c>
      <c r="B39" s="9"/>
      <c r="C39" s="9"/>
      <c r="D39" s="9"/>
      <c r="E39" s="9"/>
      <c r="F39" s="9"/>
      <c r="G39" s="9"/>
      <c r="H39" s="9"/>
      <c r="I39" s="120">
        <f>SUM(I40:I42)</f>
        <v>-1593.4556085081128</v>
      </c>
      <c r="J39" s="129">
        <f>1622+24</f>
        <v>1646</v>
      </c>
      <c r="K39" s="38">
        <f>J39+I39-L40-L42</f>
        <v>15.544391491887154</v>
      </c>
      <c r="L39" s="3"/>
    </row>
    <row r="40" spans="1:12" x14ac:dyDescent="0.25">
      <c r="A40" s="3" t="s">
        <v>487</v>
      </c>
      <c r="B40" s="26">
        <v>1</v>
      </c>
      <c r="C40" s="3">
        <f>3144/1000*100</f>
        <v>314.40000000000003</v>
      </c>
      <c r="D40" s="3">
        <f t="shared" si="0"/>
        <v>31.440000000000005</v>
      </c>
      <c r="E40" s="3">
        <f>0.1*1.15</f>
        <v>0.11499999999999999</v>
      </c>
      <c r="F40" s="3">
        <f t="shared" si="1"/>
        <v>190.15608097666504</v>
      </c>
      <c r="G40" s="3">
        <f t="shared" si="2"/>
        <v>282.09473741801884</v>
      </c>
      <c r="H40" s="122"/>
      <c r="I40" s="123">
        <f t="shared" si="3"/>
        <v>-282.09473741801884</v>
      </c>
      <c r="J40" s="6"/>
      <c r="K40" s="6"/>
      <c r="L40" s="3">
        <v>18.5</v>
      </c>
    </row>
    <row r="41" spans="1:12" x14ac:dyDescent="0.25">
      <c r="A41" s="3" t="s">
        <v>483</v>
      </c>
      <c r="B41" s="26">
        <v>1</v>
      </c>
      <c r="C41" s="3">
        <f>2773/1000*400</f>
        <v>1109.2</v>
      </c>
      <c r="D41" s="3">
        <f t="shared" si="0"/>
        <v>110.92000000000002</v>
      </c>
      <c r="E41" s="3">
        <f>0.4*1.15</f>
        <v>0.45999999999999996</v>
      </c>
      <c r="F41" s="3">
        <f t="shared" si="1"/>
        <v>760.62432390666015</v>
      </c>
      <c r="G41" s="3">
        <f t="shared" si="2"/>
        <v>1042.4657376720752</v>
      </c>
      <c r="H41" s="122"/>
      <c r="I41" s="123">
        <f t="shared" si="3"/>
        <v>-1042.4657376720752</v>
      </c>
      <c r="J41" s="6"/>
      <c r="K41" s="6"/>
      <c r="L41" s="3" t="s">
        <v>509</v>
      </c>
    </row>
    <row r="42" spans="1:12" x14ac:dyDescent="0.25">
      <c r="A42" s="112" t="s">
        <v>492</v>
      </c>
      <c r="B42" s="26">
        <v>1</v>
      </c>
      <c r="C42" s="3">
        <f>2916/1000*100</f>
        <v>291.59999999999997</v>
      </c>
      <c r="D42" s="3">
        <f t="shared" si="0"/>
        <v>29.159999999999997</v>
      </c>
      <c r="E42" s="3">
        <f>0.1*1.15</f>
        <v>0.11499999999999999</v>
      </c>
      <c r="F42" s="3">
        <f t="shared" si="1"/>
        <v>190.15608097666504</v>
      </c>
      <c r="G42" s="3">
        <f t="shared" si="2"/>
        <v>268.89513341801876</v>
      </c>
      <c r="H42" s="122"/>
      <c r="I42" s="123">
        <f t="shared" si="3"/>
        <v>-268.89513341801876</v>
      </c>
      <c r="J42" s="6"/>
      <c r="K42" s="3"/>
      <c r="L42" s="3">
        <v>18.5</v>
      </c>
    </row>
    <row r="43" spans="1:12" x14ac:dyDescent="0.25">
      <c r="A43" s="9" t="s">
        <v>493</v>
      </c>
      <c r="B43" s="9"/>
      <c r="C43" s="9"/>
      <c r="D43" s="9"/>
      <c r="E43" s="9"/>
      <c r="F43" s="9"/>
      <c r="G43" s="9"/>
      <c r="H43" s="9"/>
      <c r="I43" s="120">
        <f>I44+I45</f>
        <v>-1137.2944716720754</v>
      </c>
      <c r="J43" s="129">
        <f>974+185</f>
        <v>1159</v>
      </c>
      <c r="K43" s="38">
        <f>J43+I43</f>
        <v>21.70552832792464</v>
      </c>
      <c r="L43" s="3"/>
    </row>
    <row r="44" spans="1:12" x14ac:dyDescent="0.25">
      <c r="A44" s="98" t="s">
        <v>475</v>
      </c>
      <c r="B44" s="26">
        <v>1</v>
      </c>
      <c r="C44" s="3">
        <f>3221/1000*200</f>
        <v>644.20000000000005</v>
      </c>
      <c r="D44" s="3">
        <f t="shared" si="0"/>
        <v>64.42</v>
      </c>
      <c r="E44" s="3">
        <f>0.2*1.15</f>
        <v>0.22999999999999998</v>
      </c>
      <c r="F44" s="3">
        <f t="shared" si="1"/>
        <v>380.31216195333008</v>
      </c>
      <c r="G44" s="3">
        <f t="shared" si="2"/>
        <v>573.10499683603757</v>
      </c>
      <c r="H44" s="122"/>
      <c r="I44" s="123">
        <f t="shared" si="3"/>
        <v>-573.10499683603757</v>
      </c>
      <c r="J44" s="6"/>
      <c r="K44" s="3"/>
      <c r="L44" s="3" t="s">
        <v>509</v>
      </c>
    </row>
    <row r="45" spans="1:12" x14ac:dyDescent="0.25">
      <c r="A45" s="3" t="s">
        <v>477</v>
      </c>
      <c r="B45" s="26">
        <v>1</v>
      </c>
      <c r="C45" s="3">
        <f>3144/1000*200</f>
        <v>628.80000000000007</v>
      </c>
      <c r="D45" s="3">
        <f t="shared" si="0"/>
        <v>62.88000000000001</v>
      </c>
      <c r="E45" s="3">
        <f>0.2*1.15</f>
        <v>0.22999999999999998</v>
      </c>
      <c r="F45" s="3">
        <f t="shared" si="1"/>
        <v>380.31216195333008</v>
      </c>
      <c r="G45" s="3">
        <f t="shared" si="2"/>
        <v>564.18947483603768</v>
      </c>
      <c r="H45" s="122"/>
      <c r="I45" s="123">
        <f t="shared" si="3"/>
        <v>-564.18947483603768</v>
      </c>
      <c r="J45" s="6"/>
      <c r="K45" s="6"/>
      <c r="L45" s="3" t="s">
        <v>509</v>
      </c>
    </row>
    <row r="46" spans="1:12" x14ac:dyDescent="0.25">
      <c r="A46" s="9" t="s">
        <v>494</v>
      </c>
      <c r="B46" s="9"/>
      <c r="C46" s="9"/>
      <c r="D46" s="9"/>
      <c r="E46" s="9"/>
      <c r="F46" s="9"/>
      <c r="G46" s="9"/>
      <c r="H46" s="9"/>
      <c r="I46" s="120">
        <f>I47+I48</f>
        <v>-842.00013025405633</v>
      </c>
      <c r="J46" s="129">
        <f>855+23</f>
        <v>878</v>
      </c>
      <c r="K46" s="38">
        <f>J46+I46-L47-L48</f>
        <v>7.4998697459436698</v>
      </c>
      <c r="L46" s="3"/>
    </row>
    <row r="47" spans="1:12" x14ac:dyDescent="0.25">
      <c r="A47" s="98" t="s">
        <v>475</v>
      </c>
      <c r="B47" s="26">
        <v>1</v>
      </c>
      <c r="C47" s="3">
        <f>3221/1000*200</f>
        <v>644.20000000000005</v>
      </c>
      <c r="D47" s="3">
        <f t="shared" si="0"/>
        <v>64.42</v>
      </c>
      <c r="E47" s="3">
        <f>0.2*1.15</f>
        <v>0.22999999999999998</v>
      </c>
      <c r="F47" s="3">
        <f t="shared" si="1"/>
        <v>380.31216195333008</v>
      </c>
      <c r="G47" s="3">
        <f t="shared" si="2"/>
        <v>573.10499683603757</v>
      </c>
      <c r="H47" s="122"/>
      <c r="I47" s="123">
        <f t="shared" si="3"/>
        <v>-573.10499683603757</v>
      </c>
      <c r="J47" s="6"/>
      <c r="K47" s="6"/>
      <c r="L47" s="3">
        <v>10</v>
      </c>
    </row>
    <row r="48" spans="1:12" x14ac:dyDescent="0.25">
      <c r="A48" s="112" t="s">
        <v>492</v>
      </c>
      <c r="B48" s="26">
        <v>1</v>
      </c>
      <c r="C48" s="3">
        <f>2916/1000*100</f>
        <v>291.59999999999997</v>
      </c>
      <c r="D48" s="3">
        <f t="shared" si="0"/>
        <v>29.159999999999997</v>
      </c>
      <c r="E48" s="3">
        <f>0.1*1.15</f>
        <v>0.11499999999999999</v>
      </c>
      <c r="F48" s="3">
        <f t="shared" si="1"/>
        <v>190.15608097666504</v>
      </c>
      <c r="G48" s="3">
        <f t="shared" si="2"/>
        <v>268.89513341801876</v>
      </c>
      <c r="H48" s="122"/>
      <c r="I48" s="123">
        <f t="shared" si="3"/>
        <v>-268.89513341801876</v>
      </c>
      <c r="J48" s="6"/>
      <c r="K48" s="3"/>
      <c r="L48" s="3">
        <v>18.5</v>
      </c>
    </row>
    <row r="49" spans="1:12" x14ac:dyDescent="0.25">
      <c r="A49" s="9" t="s">
        <v>495</v>
      </c>
      <c r="B49" s="9"/>
      <c r="C49" s="9"/>
      <c r="D49" s="9"/>
      <c r="E49" s="9"/>
      <c r="F49" s="9"/>
      <c r="G49" s="9"/>
      <c r="H49" s="9"/>
      <c r="I49" s="120">
        <f>I50+I51</f>
        <v>-807.78536725405638</v>
      </c>
      <c r="J49" s="129">
        <f>804+33</f>
        <v>837</v>
      </c>
      <c r="K49" s="38">
        <f>J49+I49-L50-L51</f>
        <v>-0.28536725405638208</v>
      </c>
      <c r="L49" s="3"/>
    </row>
    <row r="50" spans="1:12" x14ac:dyDescent="0.25">
      <c r="A50" s="98" t="s">
        <v>485</v>
      </c>
      <c r="B50" s="26">
        <v>1</v>
      </c>
      <c r="C50" s="3">
        <f>3221/1000*100</f>
        <v>322.10000000000002</v>
      </c>
      <c r="D50" s="3">
        <f t="shared" si="0"/>
        <v>32.21</v>
      </c>
      <c r="E50" s="3">
        <f>0.1*1.15</f>
        <v>0.11499999999999999</v>
      </c>
      <c r="F50" s="3">
        <f t="shared" si="1"/>
        <v>190.15608097666504</v>
      </c>
      <c r="G50" s="3">
        <f t="shared" si="2"/>
        <v>286.55249841801879</v>
      </c>
      <c r="H50" s="122"/>
      <c r="I50" s="123">
        <f t="shared" si="3"/>
        <v>-286.55249841801879</v>
      </c>
      <c r="J50" s="6"/>
      <c r="K50" s="3"/>
      <c r="L50" s="3">
        <v>18.5</v>
      </c>
    </row>
    <row r="51" spans="1:12" x14ac:dyDescent="0.25">
      <c r="A51" s="3" t="s">
        <v>496</v>
      </c>
      <c r="B51" s="26">
        <v>1</v>
      </c>
      <c r="C51" s="3">
        <f>2773/1000*200</f>
        <v>554.6</v>
      </c>
      <c r="D51" s="3">
        <f t="shared" si="0"/>
        <v>55.460000000000008</v>
      </c>
      <c r="E51" s="3">
        <f>0.2*1.15</f>
        <v>0.22999999999999998</v>
      </c>
      <c r="F51" s="3">
        <f t="shared" si="1"/>
        <v>380.31216195333008</v>
      </c>
      <c r="G51" s="3">
        <f t="shared" si="2"/>
        <v>521.2328688360376</v>
      </c>
      <c r="H51" s="122"/>
      <c r="I51" s="123">
        <f t="shared" si="3"/>
        <v>-521.2328688360376</v>
      </c>
      <c r="J51" s="6"/>
      <c r="K51" s="6"/>
      <c r="L51" s="3">
        <f>11</f>
        <v>11</v>
      </c>
    </row>
    <row r="52" spans="1:12" x14ac:dyDescent="0.25">
      <c r="A52" s="9" t="s">
        <v>497</v>
      </c>
      <c r="B52" s="9"/>
      <c r="C52" s="9"/>
      <c r="D52" s="9"/>
      <c r="E52" s="9"/>
      <c r="F52" s="9"/>
      <c r="G52" s="9"/>
      <c r="H52" s="9"/>
      <c r="I52" s="120">
        <f>SUM(I53:I55)</f>
        <v>-3273.6349310162254</v>
      </c>
      <c r="J52" s="129">
        <f>1660+1552</f>
        <v>3212</v>
      </c>
      <c r="K52" s="38">
        <f>J52+I52-L53</f>
        <v>-71.634931016225437</v>
      </c>
      <c r="L52" s="3"/>
    </row>
    <row r="53" spans="1:12" x14ac:dyDescent="0.25">
      <c r="A53" s="130" t="s">
        <v>498</v>
      </c>
      <c r="B53" s="26">
        <v>1</v>
      </c>
      <c r="C53" s="3">
        <f>2916/1000*200</f>
        <v>583.19999999999993</v>
      </c>
      <c r="D53" s="3">
        <f t="shared" si="0"/>
        <v>58.319999999999993</v>
      </c>
      <c r="E53" s="3">
        <f>0.2*1.15</f>
        <v>0.22999999999999998</v>
      </c>
      <c r="F53" s="3">
        <f t="shared" si="1"/>
        <v>380.31216195333008</v>
      </c>
      <c r="G53" s="3">
        <f t="shared" si="2"/>
        <v>537.79026683603752</v>
      </c>
      <c r="H53" s="122"/>
      <c r="I53" s="123">
        <f t="shared" si="3"/>
        <v>-537.79026683603752</v>
      </c>
      <c r="J53" s="6"/>
      <c r="K53" s="3"/>
      <c r="L53" s="3">
        <v>10</v>
      </c>
    </row>
    <row r="54" spans="1:12" x14ac:dyDescent="0.25">
      <c r="A54" s="3" t="s">
        <v>507</v>
      </c>
      <c r="B54" s="26">
        <v>1</v>
      </c>
      <c r="C54" s="3">
        <f>2773/1000*500</f>
        <v>1386.5</v>
      </c>
      <c r="D54" s="3">
        <f t="shared" si="0"/>
        <v>138.65</v>
      </c>
      <c r="E54" s="3">
        <f>0.5*1.15</f>
        <v>0.57499999999999996</v>
      </c>
      <c r="F54" s="3">
        <f t="shared" si="1"/>
        <v>950.7804048833251</v>
      </c>
      <c r="G54" s="3">
        <f t="shared" si="2"/>
        <v>1303.082172090094</v>
      </c>
      <c r="H54" s="122"/>
      <c r="I54" s="123">
        <f t="shared" si="3"/>
        <v>-1303.082172090094</v>
      </c>
      <c r="J54" s="6"/>
      <c r="K54" s="3"/>
      <c r="L54" s="3" t="s">
        <v>509</v>
      </c>
    </row>
    <row r="55" spans="1:12" x14ac:dyDescent="0.25">
      <c r="A55" s="98" t="s">
        <v>508</v>
      </c>
      <c r="B55" s="26">
        <v>1</v>
      </c>
      <c r="C55" s="3">
        <f>3221/1000*500</f>
        <v>1610.5</v>
      </c>
      <c r="D55" s="3">
        <f t="shared" si="0"/>
        <v>161.05000000000001</v>
      </c>
      <c r="E55" s="3">
        <f>0.5*1.15</f>
        <v>0.57499999999999996</v>
      </c>
      <c r="F55" s="3">
        <f t="shared" si="1"/>
        <v>950.7804048833251</v>
      </c>
      <c r="G55" s="3">
        <f t="shared" si="2"/>
        <v>1432.7624920900939</v>
      </c>
      <c r="H55" s="122"/>
      <c r="I55" s="123">
        <f t="shared" si="3"/>
        <v>-1432.7624920900939</v>
      </c>
      <c r="J55" s="6"/>
      <c r="K55" s="3"/>
      <c r="L55" s="3" t="s">
        <v>509</v>
      </c>
    </row>
    <row r="56" spans="1:12" x14ac:dyDescent="0.25">
      <c r="A56" s="9" t="s">
        <v>499</v>
      </c>
      <c r="B56" s="9"/>
      <c r="C56" s="9"/>
      <c r="D56" s="9"/>
      <c r="E56" s="9"/>
      <c r="F56" s="9"/>
      <c r="G56" s="9"/>
      <c r="H56" s="9"/>
      <c r="I56" s="120">
        <f>SUM(I57:I60)</f>
        <v>-14450.356071998145</v>
      </c>
      <c r="J56" s="129">
        <v>15000</v>
      </c>
      <c r="K56" s="38">
        <f>J56+I56</f>
        <v>549.64392800185487</v>
      </c>
      <c r="L56" s="3"/>
    </row>
    <row r="57" spans="1:12" x14ac:dyDescent="0.25">
      <c r="A57" s="3" t="s">
        <v>452</v>
      </c>
      <c r="B57" s="26">
        <v>1</v>
      </c>
      <c r="C57" s="3">
        <v>14294</v>
      </c>
      <c r="D57" s="3">
        <f t="shared" si="0"/>
        <v>1429.4</v>
      </c>
      <c r="E57" s="77">
        <v>2.7</v>
      </c>
      <c r="F57" s="3">
        <f t="shared" si="1"/>
        <v>4464.5340751043104</v>
      </c>
      <c r="G57" s="3">
        <f t="shared" si="2"/>
        <v>10624.909703727399</v>
      </c>
      <c r="H57" s="122"/>
      <c r="I57" s="123">
        <f t="shared" si="3"/>
        <v>-10624.909703727399</v>
      </c>
      <c r="J57" s="6"/>
      <c r="K57" s="3"/>
      <c r="L57" s="3"/>
    </row>
    <row r="58" spans="1:12" ht="30" x14ac:dyDescent="0.25">
      <c r="A58" s="18" t="s">
        <v>453</v>
      </c>
      <c r="B58" s="26">
        <v>1</v>
      </c>
      <c r="C58" s="3">
        <v>4536</v>
      </c>
      <c r="D58" s="3">
        <f t="shared" si="0"/>
        <v>453.6</v>
      </c>
      <c r="E58" s="77">
        <v>0.72</v>
      </c>
      <c r="F58" s="3">
        <f t="shared" si="1"/>
        <v>1190.542420027816</v>
      </c>
      <c r="G58" s="3">
        <f t="shared" si="2"/>
        <v>3252.6089556606394</v>
      </c>
      <c r="H58" s="122"/>
      <c r="I58" s="123">
        <f t="shared" si="3"/>
        <v>-3252.6089556606394</v>
      </c>
      <c r="J58" s="6"/>
      <c r="K58" s="3"/>
      <c r="L58" s="3"/>
    </row>
    <row r="59" spans="1:12" x14ac:dyDescent="0.25">
      <c r="A59" s="3" t="s">
        <v>500</v>
      </c>
      <c r="B59" s="26">
        <v>3</v>
      </c>
      <c r="C59" s="3">
        <v>600</v>
      </c>
      <c r="D59" s="3">
        <f t="shared" si="0"/>
        <v>180</v>
      </c>
      <c r="E59" s="3">
        <f>0.03*3</f>
        <v>0.09</v>
      </c>
      <c r="F59" s="3">
        <f t="shared" si="1"/>
        <v>148.817802503477</v>
      </c>
      <c r="G59" s="3">
        <f t="shared" si="2"/>
        <v>488.83680945757988</v>
      </c>
      <c r="H59" s="122"/>
      <c r="I59" s="123">
        <f t="shared" si="3"/>
        <v>-488.83680945757988</v>
      </c>
      <c r="J59" s="6"/>
      <c r="K59" s="3"/>
      <c r="L59" s="3"/>
    </row>
    <row r="60" spans="1:12" x14ac:dyDescent="0.25">
      <c r="A60" s="3" t="s">
        <v>501</v>
      </c>
      <c r="B60" s="26">
        <v>1</v>
      </c>
      <c r="C60" s="3">
        <v>100</v>
      </c>
      <c r="D60" s="3">
        <f t="shared" si="0"/>
        <v>10</v>
      </c>
      <c r="E60" s="3">
        <v>0.03</v>
      </c>
      <c r="F60" s="3">
        <f t="shared" si="1"/>
        <v>49.605934167825659</v>
      </c>
      <c r="G60" s="3">
        <f t="shared" si="2"/>
        <v>84.000603152526637</v>
      </c>
      <c r="H60" s="122"/>
      <c r="I60" s="123">
        <f t="shared" si="3"/>
        <v>-84.000603152526637</v>
      </c>
      <c r="J60" s="6"/>
      <c r="K60" s="3"/>
      <c r="L60" s="3"/>
    </row>
    <row r="61" spans="1:12" x14ac:dyDescent="0.25">
      <c r="A61" s="9" t="s">
        <v>434</v>
      </c>
      <c r="B61" s="9"/>
      <c r="C61" s="9"/>
      <c r="D61" s="9"/>
      <c r="E61" s="9"/>
      <c r="F61" s="9"/>
      <c r="G61" s="9"/>
      <c r="H61" s="9"/>
      <c r="I61" s="120">
        <f>SUM(I62:I68)</f>
        <v>-3938.3367317124089</v>
      </c>
      <c r="J61" s="129">
        <f>3967+87</f>
        <v>4054</v>
      </c>
      <c r="K61" s="38">
        <f>J61+I61-L62-L63-L64-L65</f>
        <v>39.163268287591109</v>
      </c>
      <c r="L61" s="3"/>
    </row>
    <row r="62" spans="1:12" x14ac:dyDescent="0.25">
      <c r="A62" s="3" t="s">
        <v>477</v>
      </c>
      <c r="B62" s="26">
        <v>1</v>
      </c>
      <c r="C62" s="3">
        <f>3144/1000*200</f>
        <v>628.80000000000007</v>
      </c>
      <c r="D62" s="3">
        <f t="shared" si="0"/>
        <v>62.88000000000001</v>
      </c>
      <c r="E62" s="3">
        <f>0.2*1.15</f>
        <v>0.22999999999999998</v>
      </c>
      <c r="F62" s="3">
        <f t="shared" si="1"/>
        <v>380.31216195333008</v>
      </c>
      <c r="G62" s="3">
        <f t="shared" si="2"/>
        <v>564.18947483603768</v>
      </c>
      <c r="H62" s="122"/>
      <c r="I62" s="123">
        <f t="shared" si="3"/>
        <v>-564.18947483603768</v>
      </c>
      <c r="J62" s="6"/>
      <c r="K62" s="3"/>
      <c r="L62" s="3">
        <v>10</v>
      </c>
    </row>
    <row r="63" spans="1:12" x14ac:dyDescent="0.25">
      <c r="A63" s="3" t="s">
        <v>496</v>
      </c>
      <c r="B63" s="26">
        <v>1</v>
      </c>
      <c r="C63" s="3">
        <f>2773/1000*200</f>
        <v>554.6</v>
      </c>
      <c r="D63" s="3">
        <f t="shared" si="0"/>
        <v>55.460000000000008</v>
      </c>
      <c r="E63" s="3">
        <f>0.2*1.15</f>
        <v>0.22999999999999998</v>
      </c>
      <c r="F63" s="3">
        <f t="shared" si="1"/>
        <v>380.31216195333008</v>
      </c>
      <c r="G63" s="3">
        <f t="shared" si="2"/>
        <v>521.2328688360376</v>
      </c>
      <c r="H63" s="122"/>
      <c r="I63" s="123">
        <f t="shared" si="3"/>
        <v>-521.2328688360376</v>
      </c>
      <c r="J63" s="6"/>
      <c r="K63" s="3"/>
      <c r="L63" s="3">
        <v>11</v>
      </c>
    </row>
    <row r="64" spans="1:12" x14ac:dyDescent="0.25">
      <c r="A64" s="98" t="s">
        <v>485</v>
      </c>
      <c r="B64" s="26">
        <v>1</v>
      </c>
      <c r="C64" s="3">
        <f>3221/1000*100</f>
        <v>322.10000000000002</v>
      </c>
      <c r="D64" s="3">
        <f t="shared" si="0"/>
        <v>32.21</v>
      </c>
      <c r="E64" s="3">
        <f>0.1*1.15</f>
        <v>0.11499999999999999</v>
      </c>
      <c r="F64" s="3">
        <f t="shared" si="1"/>
        <v>190.15608097666504</v>
      </c>
      <c r="G64" s="3">
        <f t="shared" si="2"/>
        <v>286.55249841801879</v>
      </c>
      <c r="H64" s="122"/>
      <c r="I64" s="123">
        <f t="shared" si="3"/>
        <v>-286.55249841801879</v>
      </c>
      <c r="J64" s="6"/>
      <c r="K64" s="3"/>
      <c r="L64" s="3">
        <v>18.5</v>
      </c>
    </row>
    <row r="65" spans="1:12" x14ac:dyDescent="0.25">
      <c r="A65" s="112" t="s">
        <v>498</v>
      </c>
      <c r="B65" s="26">
        <v>1</v>
      </c>
      <c r="C65" s="3">
        <f>2916/1000*200</f>
        <v>583.19999999999993</v>
      </c>
      <c r="D65" s="3">
        <f t="shared" si="0"/>
        <v>58.319999999999993</v>
      </c>
      <c r="E65" s="3">
        <f>0.2*1.15</f>
        <v>0.22999999999999998</v>
      </c>
      <c r="F65" s="3">
        <f t="shared" si="1"/>
        <v>380.31216195333008</v>
      </c>
      <c r="G65" s="3">
        <f t="shared" si="2"/>
        <v>537.79026683603752</v>
      </c>
      <c r="H65" s="122"/>
      <c r="I65" s="123">
        <f t="shared" si="3"/>
        <v>-537.79026683603752</v>
      </c>
      <c r="J65" s="6"/>
      <c r="K65" s="3"/>
      <c r="L65" s="3">
        <f>18.5*2</f>
        <v>37</v>
      </c>
    </row>
    <row r="66" spans="1:12" x14ac:dyDescent="0.25">
      <c r="A66" s="112" t="s">
        <v>502</v>
      </c>
      <c r="B66" s="26">
        <v>1</v>
      </c>
      <c r="C66" s="3">
        <v>398</v>
      </c>
      <c r="D66" s="3">
        <f t="shared" si="0"/>
        <v>39.800000000000004</v>
      </c>
      <c r="E66" s="3">
        <f>0.04*1.3</f>
        <v>5.2000000000000005E-2</v>
      </c>
      <c r="F66" s="3">
        <f t="shared" si="1"/>
        <v>85.983619224231148</v>
      </c>
      <c r="G66" s="3">
        <f t="shared" si="2"/>
        <v>275.66731879771288</v>
      </c>
      <c r="H66" s="122"/>
      <c r="I66" s="123">
        <f t="shared" si="3"/>
        <v>-275.66731879771288</v>
      </c>
      <c r="J66" s="6"/>
      <c r="K66" s="3"/>
      <c r="L66" s="3"/>
    </row>
    <row r="67" spans="1:12" x14ac:dyDescent="0.25">
      <c r="A67" s="112" t="s">
        <v>503</v>
      </c>
      <c r="B67" s="26">
        <v>1</v>
      </c>
      <c r="C67" s="3">
        <v>1325</v>
      </c>
      <c r="D67" s="3">
        <f t="shared" si="0"/>
        <v>132.5</v>
      </c>
      <c r="E67" s="3">
        <f>0.1*1.3</f>
        <v>0.13</v>
      </c>
      <c r="F67" s="3">
        <f t="shared" si="1"/>
        <v>214.95904806057789</v>
      </c>
      <c r="G67" s="3">
        <f t="shared" si="2"/>
        <v>880.21519699428211</v>
      </c>
      <c r="H67" s="122"/>
      <c r="I67" s="123">
        <f t="shared" si="3"/>
        <v>-880.21519699428211</v>
      </c>
      <c r="J67" s="6"/>
      <c r="K67" s="3"/>
      <c r="L67" s="3"/>
    </row>
    <row r="68" spans="1:12" ht="15.95" customHeight="1" x14ac:dyDescent="0.25">
      <c r="A68" s="112" t="s">
        <v>504</v>
      </c>
      <c r="B68" s="26">
        <v>1</v>
      </c>
      <c r="C68" s="3">
        <v>1312</v>
      </c>
      <c r="D68" s="3">
        <f t="shared" si="0"/>
        <v>131.20000000000002</v>
      </c>
      <c r="E68" s="3">
        <f>0.1*1.3</f>
        <v>0.13</v>
      </c>
      <c r="F68" s="3">
        <f t="shared" si="1"/>
        <v>214.95904806057789</v>
      </c>
      <c r="G68" s="3">
        <f t="shared" si="2"/>
        <v>872.68910699428216</v>
      </c>
      <c r="H68" s="122"/>
      <c r="I68" s="123">
        <f t="shared" si="3"/>
        <v>-872.68910699428216</v>
      </c>
      <c r="J68" s="6"/>
      <c r="K68" s="3"/>
      <c r="L68" s="3"/>
    </row>
    <row r="69" spans="1:12" x14ac:dyDescent="0.25">
      <c r="A69" s="88" t="s">
        <v>30</v>
      </c>
      <c r="B69" s="9"/>
      <c r="C69" s="9"/>
      <c r="D69" s="84"/>
      <c r="E69" s="9"/>
      <c r="F69" s="9"/>
      <c r="G69" s="9"/>
      <c r="H69" s="9"/>
      <c r="I69" s="9"/>
      <c r="J69" s="129"/>
      <c r="K69" s="9"/>
      <c r="L69" s="3"/>
    </row>
    <row r="70" spans="1:12" x14ac:dyDescent="0.25">
      <c r="A70" s="112"/>
      <c r="B70" s="26"/>
      <c r="C70" s="3"/>
      <c r="D70" s="3"/>
      <c r="E70" s="3">
        <v>1.2729999999999999</v>
      </c>
      <c r="F70" s="3">
        <f>E70/$E$71*$F$71</f>
        <v>2104.9451398547353</v>
      </c>
      <c r="G70" s="3"/>
      <c r="H70" s="122"/>
      <c r="I70" s="123">
        <f t="shared" si="3"/>
        <v>0</v>
      </c>
      <c r="J70" s="6"/>
      <c r="K70" s="3"/>
      <c r="L70" s="3"/>
    </row>
    <row r="71" spans="1:12" x14ac:dyDescent="0.25">
      <c r="A71" s="99"/>
      <c r="B71" s="99"/>
      <c r="C71" s="99"/>
      <c r="D71" s="99"/>
      <c r="E71" s="99">
        <f>SUM(E4:E70)</f>
        <v>12.942000000000005</v>
      </c>
      <c r="F71" s="94">
        <v>21400</v>
      </c>
      <c r="G71" s="28">
        <f>F71/E71</f>
        <v>1653.5311389275221</v>
      </c>
      <c r="H71" s="122"/>
      <c r="I71" s="121"/>
      <c r="J71" s="28"/>
      <c r="K71" s="28"/>
      <c r="L71" s="3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4"/>
  <sheetViews>
    <sheetView topLeftCell="A46" zoomScale="80" zoomScaleNormal="80" workbookViewId="0">
      <selection activeCell="K81" sqref="K81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2" x14ac:dyDescent="0.25">
      <c r="A1" s="1" t="s">
        <v>5</v>
      </c>
      <c r="B1" s="45">
        <f>0.553</f>
        <v>0.55300000000000005</v>
      </c>
      <c r="C1" s="1"/>
      <c r="I1" s="41"/>
      <c r="J1" s="45" t="s">
        <v>289</v>
      </c>
      <c r="K1" s="116">
        <v>43142</v>
      </c>
    </row>
    <row r="2" spans="1:12" ht="21" x14ac:dyDescent="0.35">
      <c r="A2" s="8" t="s">
        <v>267</v>
      </c>
      <c r="B2" s="41"/>
      <c r="I2" s="41"/>
      <c r="K2" s="37"/>
    </row>
    <row r="3" spans="1:12" ht="45.75" customHeight="1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422</v>
      </c>
    </row>
    <row r="4" spans="1:12" x14ac:dyDescent="0.25">
      <c r="A4" s="9" t="s">
        <v>324</v>
      </c>
      <c r="B4" s="9"/>
      <c r="C4" s="9"/>
      <c r="D4" s="84"/>
      <c r="E4" s="9"/>
      <c r="F4" s="10"/>
      <c r="G4" s="10"/>
      <c r="H4" s="122"/>
      <c r="I4" s="120">
        <f>SUM(I5)</f>
        <v>-638.4553064483689</v>
      </c>
      <c r="J4" s="38">
        <f>611+28</f>
        <v>639</v>
      </c>
      <c r="K4" s="38">
        <f>J4+I4</f>
        <v>0.54469355163109867</v>
      </c>
      <c r="L4" s="3"/>
    </row>
    <row r="5" spans="1:12" x14ac:dyDescent="0.25">
      <c r="A5" s="98" t="s">
        <v>511</v>
      </c>
      <c r="B5" s="3">
        <v>1</v>
      </c>
      <c r="C5" s="3">
        <v>790</v>
      </c>
      <c r="D5" s="3">
        <f>B5*C5*0.1</f>
        <v>79</v>
      </c>
      <c r="E5" s="3">
        <f>0.13*1.3</f>
        <v>0.16900000000000001</v>
      </c>
      <c r="F5" s="3">
        <f>E5/$E$77*$F$77</f>
        <v>285.53039140753845</v>
      </c>
      <c r="G5" s="3">
        <f>(C5)*$B$1+D5*$B$1+F5*$B$1</f>
        <v>638.4553064483689</v>
      </c>
      <c r="H5" s="122"/>
      <c r="I5" s="123">
        <f>H5-G5</f>
        <v>-638.4553064483689</v>
      </c>
      <c r="J5" s="6"/>
      <c r="K5" s="3"/>
      <c r="L5" s="3"/>
    </row>
    <row r="6" spans="1:12" x14ac:dyDescent="0.25">
      <c r="A6" s="9" t="s">
        <v>488</v>
      </c>
      <c r="B6" s="9"/>
      <c r="C6" s="9"/>
      <c r="D6" s="9"/>
      <c r="E6" s="9"/>
      <c r="F6" s="9"/>
      <c r="G6" s="9"/>
      <c r="H6" s="122"/>
      <c r="I6" s="120">
        <f>I7</f>
        <v>-855.20757943601916</v>
      </c>
      <c r="J6" s="43">
        <f>810+51</f>
        <v>861</v>
      </c>
      <c r="K6" s="38">
        <f>J6+I6-L7</f>
        <v>-5.2075794360191594</v>
      </c>
      <c r="L6" s="3"/>
    </row>
    <row r="7" spans="1:12" x14ac:dyDescent="0.25">
      <c r="A7" s="98" t="s">
        <v>512</v>
      </c>
      <c r="B7" s="131">
        <v>1</v>
      </c>
      <c r="C7" s="3">
        <f>2920/1000*300</f>
        <v>876</v>
      </c>
      <c r="D7" s="3">
        <f>B7*C7*0.1</f>
        <v>87.600000000000009</v>
      </c>
      <c r="E7" s="3">
        <f>0.3*1.15</f>
        <v>0.34499999999999997</v>
      </c>
      <c r="F7" s="3">
        <f>E7/$E$77*$F$77</f>
        <v>582.88748541775601</v>
      </c>
      <c r="G7" s="3">
        <f>(C7)*$B$1+D7*$B$1+F7*$B$1</f>
        <v>855.20757943601916</v>
      </c>
      <c r="H7" s="122"/>
      <c r="I7" s="123">
        <f>H7-G7</f>
        <v>-855.20757943601916</v>
      </c>
      <c r="J7" s="6"/>
      <c r="K7" s="3"/>
      <c r="L7" s="3">
        <v>11</v>
      </c>
    </row>
    <row r="8" spans="1:12" x14ac:dyDescent="0.25">
      <c r="A8" s="9" t="s">
        <v>493</v>
      </c>
      <c r="B8" s="9"/>
      <c r="C8" s="9"/>
      <c r="D8" s="9"/>
      <c r="E8" s="9"/>
      <c r="F8" s="9"/>
      <c r="G8" s="9"/>
      <c r="H8" s="122"/>
      <c r="I8" s="120">
        <f>I9</f>
        <v>-638.4553064483689</v>
      </c>
      <c r="J8" s="43">
        <f>589+28</f>
        <v>617</v>
      </c>
      <c r="K8" s="38">
        <f>J8+I8</f>
        <v>-21.455306448368901</v>
      </c>
      <c r="L8" s="3"/>
    </row>
    <row r="9" spans="1:12" x14ac:dyDescent="0.25">
      <c r="A9" s="98" t="s">
        <v>511</v>
      </c>
      <c r="B9" s="3">
        <v>1</v>
      </c>
      <c r="C9" s="3">
        <v>790</v>
      </c>
      <c r="D9" s="3">
        <f>B9*C9*0.1</f>
        <v>79</v>
      </c>
      <c r="E9" s="3">
        <f>0.13*1.3</f>
        <v>0.16900000000000001</v>
      </c>
      <c r="F9" s="3">
        <f>E9/$E$77*$F$77</f>
        <v>285.53039140753845</v>
      </c>
      <c r="G9" s="3">
        <f>(C9)*$B$1+D9*$B$1+F9*$B$1</f>
        <v>638.4553064483689</v>
      </c>
      <c r="H9" s="122"/>
      <c r="I9" s="123">
        <f>H9-G9</f>
        <v>-638.4553064483689</v>
      </c>
      <c r="J9" s="6"/>
      <c r="K9" s="3"/>
      <c r="L9" s="3"/>
    </row>
    <row r="10" spans="1:12" x14ac:dyDescent="0.25">
      <c r="A10" s="9" t="s">
        <v>410</v>
      </c>
      <c r="B10" s="9"/>
      <c r="C10" s="9"/>
      <c r="D10" s="9"/>
      <c r="E10" s="9"/>
      <c r="F10" s="9"/>
      <c r="G10" s="9"/>
      <c r="H10" s="122"/>
      <c r="I10" s="120">
        <f>I11</f>
        <v>-919.54983572951448</v>
      </c>
      <c r="J10" s="43">
        <f>867+37</f>
        <v>904</v>
      </c>
      <c r="K10" s="38">
        <f>J10+I10-L11</f>
        <v>-15.549835729514484</v>
      </c>
      <c r="L10" s="3"/>
    </row>
    <row r="11" spans="1:12" x14ac:dyDescent="0.25">
      <c r="A11" s="3" t="s">
        <v>513</v>
      </c>
      <c r="B11" s="3">
        <v>1</v>
      </c>
      <c r="C11" s="3">
        <v>1312</v>
      </c>
      <c r="D11" s="3">
        <f>B11*C11*0.1</f>
        <v>131.20000000000002</v>
      </c>
      <c r="E11" s="3">
        <f>0.1*1.3</f>
        <v>0.13</v>
      </c>
      <c r="F11" s="3">
        <f>E11/$E$77*$F$77</f>
        <v>219.63876262118342</v>
      </c>
      <c r="G11" s="3">
        <f>(C11)*$B$1+D11*$B$1+F11*$B$1</f>
        <v>919.54983572951448</v>
      </c>
      <c r="H11" s="122"/>
      <c r="I11" s="123">
        <f>H11-G11</f>
        <v>-919.54983572951448</v>
      </c>
      <c r="J11" s="6"/>
      <c r="K11" s="3"/>
      <c r="L11" s="3"/>
    </row>
    <row r="12" spans="1:12" x14ac:dyDescent="0.25">
      <c r="A12" s="9" t="s">
        <v>392</v>
      </c>
      <c r="B12" s="9"/>
      <c r="C12" s="9"/>
      <c r="D12" s="9"/>
      <c r="E12" s="9"/>
      <c r="F12" s="9"/>
      <c r="G12" s="9"/>
      <c r="H12" s="9"/>
      <c r="I12" s="120">
        <f>I13</f>
        <v>-1043.9516893237862</v>
      </c>
      <c r="J12" s="129">
        <f>904+57</f>
        <v>961</v>
      </c>
      <c r="K12" s="38">
        <f>J12+I12-L13</f>
        <v>-82.95168932378624</v>
      </c>
      <c r="L12" s="3"/>
    </row>
    <row r="13" spans="1:12" x14ac:dyDescent="0.25">
      <c r="A13" s="98" t="s">
        <v>514</v>
      </c>
      <c r="B13" s="3">
        <v>1</v>
      </c>
      <c r="C13" s="3">
        <v>1217</v>
      </c>
      <c r="D13" s="3">
        <f>B13*C13*0.1</f>
        <v>121.7</v>
      </c>
      <c r="E13" s="3">
        <f>0.25*1.3</f>
        <v>0.32500000000000001</v>
      </c>
      <c r="F13" s="3">
        <f>E13/$E$77*$F$77</f>
        <v>549.09690655295856</v>
      </c>
      <c r="G13" s="3">
        <f>(C13)*$B$1+D13*$B$1+F13*$B$1</f>
        <v>1043.9516893237862</v>
      </c>
      <c r="H13" s="122"/>
      <c r="I13" s="123">
        <f>H13-G13</f>
        <v>-1043.9516893237862</v>
      </c>
      <c r="J13" s="6"/>
      <c r="K13" s="6"/>
      <c r="L13" s="3"/>
    </row>
    <row r="14" spans="1:12" x14ac:dyDescent="0.25">
      <c r="A14" s="9" t="s">
        <v>515</v>
      </c>
      <c r="B14" s="9"/>
      <c r="C14" s="9"/>
      <c r="D14" s="9"/>
      <c r="E14" s="9"/>
      <c r="F14" s="9"/>
      <c r="G14" s="9"/>
      <c r="H14" s="9"/>
      <c r="I14" s="120">
        <f>I15</f>
        <v>-820.29705359427169</v>
      </c>
      <c r="J14" s="129">
        <f>785+35</f>
        <v>820</v>
      </c>
      <c r="K14" s="38">
        <f>J14+I14-L15</f>
        <v>-0.29705359427168787</v>
      </c>
      <c r="L14" s="3"/>
    </row>
    <row r="15" spans="1:12" x14ac:dyDescent="0.25">
      <c r="A15" s="98" t="s">
        <v>516</v>
      </c>
      <c r="B15" s="3">
        <v>1</v>
      </c>
      <c r="C15" s="3">
        <v>1049</v>
      </c>
      <c r="D15" s="3">
        <f>B15*C15*0.1</f>
        <v>104.9</v>
      </c>
      <c r="E15" s="3">
        <f>0.15*1.3</f>
        <v>0.19500000000000001</v>
      </c>
      <c r="F15" s="3">
        <f>E15/$E$77*$F$77</f>
        <v>329.45814393177517</v>
      </c>
      <c r="G15" s="3">
        <f>(C15)*$B$1+D15*$B$1+F15*$B$1</f>
        <v>820.29705359427169</v>
      </c>
      <c r="H15" s="122"/>
      <c r="I15" s="123">
        <f>H15-G15</f>
        <v>-820.29705359427169</v>
      </c>
      <c r="J15" s="6"/>
      <c r="K15" s="6"/>
      <c r="L15" s="3"/>
    </row>
    <row r="16" spans="1:12" x14ac:dyDescent="0.25">
      <c r="A16" s="9" t="s">
        <v>419</v>
      </c>
      <c r="B16" s="9"/>
      <c r="C16" s="9"/>
      <c r="D16" s="9"/>
      <c r="E16" s="9"/>
      <c r="F16" s="9"/>
      <c r="G16" s="9"/>
      <c r="H16" s="9"/>
      <c r="I16" s="120">
        <f>I17</f>
        <v>-1043.9516893237862</v>
      </c>
      <c r="J16" s="129">
        <f>995+46</f>
        <v>1041</v>
      </c>
      <c r="K16" s="38">
        <f>J16+I16</f>
        <v>-2.9516893237862405</v>
      </c>
      <c r="L16" s="3"/>
    </row>
    <row r="17" spans="1:12" x14ac:dyDescent="0.25">
      <c r="A17" s="98" t="s">
        <v>517</v>
      </c>
      <c r="B17" s="3">
        <v>1</v>
      </c>
      <c r="C17" s="3">
        <v>1217</v>
      </c>
      <c r="D17" s="3">
        <f>B17*C17*0.1</f>
        <v>121.7</v>
      </c>
      <c r="E17" s="3">
        <f>0.25*1.3</f>
        <v>0.32500000000000001</v>
      </c>
      <c r="F17" s="3">
        <f>E17/$E$77*$F$77</f>
        <v>549.09690655295856</v>
      </c>
      <c r="G17" s="3">
        <f>(C17)*$B$1+D17*$B$1+F17*$B$1</f>
        <v>1043.9516893237862</v>
      </c>
      <c r="H17" s="122"/>
      <c r="I17" s="123">
        <f>H17-G17</f>
        <v>-1043.9516893237862</v>
      </c>
      <c r="J17" s="6"/>
      <c r="K17" s="6"/>
      <c r="L17" s="3"/>
    </row>
    <row r="18" spans="1:12" x14ac:dyDescent="0.25">
      <c r="A18" s="9" t="s">
        <v>518</v>
      </c>
      <c r="B18" s="9"/>
      <c r="C18" s="9"/>
      <c r="D18" s="9"/>
      <c r="E18" s="9"/>
      <c r="F18" s="9"/>
      <c r="G18" s="9"/>
      <c r="H18" s="9"/>
      <c r="I18" s="120">
        <f>I19</f>
        <v>-570.13838629067948</v>
      </c>
      <c r="J18" s="129">
        <v>560</v>
      </c>
      <c r="K18" s="38">
        <f>J18+I18-L19</f>
        <v>-21.138386290679477</v>
      </c>
      <c r="L18" s="3"/>
    </row>
    <row r="19" spans="1:12" x14ac:dyDescent="0.25">
      <c r="A19" s="112" t="s">
        <v>519</v>
      </c>
      <c r="B19" s="131">
        <v>1</v>
      </c>
      <c r="C19" s="3">
        <f>2920/1000*200</f>
        <v>584</v>
      </c>
      <c r="D19" s="3">
        <f>B19*C19*0.1</f>
        <v>58.400000000000006</v>
      </c>
      <c r="E19" s="3">
        <f>0.2*1.15</f>
        <v>0.22999999999999998</v>
      </c>
      <c r="F19" s="3">
        <f>E19/$E$77*$F$77</f>
        <v>388.59165694517066</v>
      </c>
      <c r="G19" s="3">
        <f>(C19)*$B$1+D19*$B$1+F19*$B$1</f>
        <v>570.13838629067948</v>
      </c>
      <c r="H19" s="122"/>
      <c r="I19" s="123">
        <f>H19-G19</f>
        <v>-570.13838629067948</v>
      </c>
      <c r="J19" s="6"/>
      <c r="K19" s="6"/>
      <c r="L19" s="3">
        <v>11</v>
      </c>
    </row>
    <row r="20" spans="1:12" x14ac:dyDescent="0.25">
      <c r="A20" s="9" t="s">
        <v>497</v>
      </c>
      <c r="B20" s="9"/>
      <c r="C20" s="9"/>
      <c r="D20" s="9"/>
      <c r="E20" s="9"/>
      <c r="F20" s="9"/>
      <c r="G20" s="9"/>
      <c r="H20" s="9"/>
      <c r="I20" s="120">
        <f>I21</f>
        <v>-314.38925314533969</v>
      </c>
      <c r="J20" s="129">
        <v>372</v>
      </c>
      <c r="K20" s="38">
        <f>J20+I20-L21</f>
        <v>46.610746854660306</v>
      </c>
      <c r="L20" s="3"/>
    </row>
    <row r="21" spans="1:12" x14ac:dyDescent="0.25">
      <c r="A21" s="3" t="s">
        <v>520</v>
      </c>
      <c r="B21" s="131">
        <v>1</v>
      </c>
      <c r="C21" s="3">
        <f>3402/1000*100</f>
        <v>340.2</v>
      </c>
      <c r="D21" s="3">
        <f>B21*C21*0.1</f>
        <v>34.020000000000003</v>
      </c>
      <c r="E21" s="3">
        <f>0.1*1.15</f>
        <v>0.11499999999999999</v>
      </c>
      <c r="F21" s="3">
        <f>E21/$E$77*$F$77</f>
        <v>194.29582847258533</v>
      </c>
      <c r="G21" s="3">
        <f>(C21)*$B$1+D21*$B$1+F21*$B$1</f>
        <v>314.38925314533969</v>
      </c>
      <c r="H21" s="122"/>
      <c r="I21" s="123">
        <f>H21-G21</f>
        <v>-314.38925314533969</v>
      </c>
      <c r="J21" s="6"/>
      <c r="K21" s="6"/>
      <c r="L21" s="3">
        <v>11</v>
      </c>
    </row>
    <row r="22" spans="1:12" x14ac:dyDescent="0.25">
      <c r="A22" s="9" t="s">
        <v>495</v>
      </c>
      <c r="B22" s="9"/>
      <c r="C22" s="9"/>
      <c r="D22" s="9"/>
      <c r="E22" s="9"/>
      <c r="F22" s="9"/>
      <c r="G22" s="9"/>
      <c r="H22" s="9"/>
      <c r="I22" s="120">
        <f>I23</f>
        <v>-314.38925314533969</v>
      </c>
      <c r="J22" s="129">
        <f>300+26</f>
        <v>326</v>
      </c>
      <c r="K22" s="38">
        <f>J22+I22-L23</f>
        <v>0.61074685466030587</v>
      </c>
      <c r="L22" s="3"/>
    </row>
    <row r="23" spans="1:12" x14ac:dyDescent="0.25">
      <c r="A23" s="3" t="s">
        <v>520</v>
      </c>
      <c r="B23" s="131">
        <v>1</v>
      </c>
      <c r="C23" s="3">
        <f>3402/1000*100</f>
        <v>340.2</v>
      </c>
      <c r="D23" s="3">
        <f>B23*C23*0.1</f>
        <v>34.020000000000003</v>
      </c>
      <c r="E23" s="3">
        <f>0.1*1.15</f>
        <v>0.11499999999999999</v>
      </c>
      <c r="F23" s="3">
        <f>E23/$E$77*$F$77</f>
        <v>194.29582847258533</v>
      </c>
      <c r="G23" s="3">
        <f>(C23)*$B$1+D23*$B$1+F23*$B$1</f>
        <v>314.38925314533969</v>
      </c>
      <c r="H23" s="122"/>
      <c r="I23" s="123">
        <f>H23-G23</f>
        <v>-314.38925314533969</v>
      </c>
      <c r="J23" s="6"/>
      <c r="K23" s="6"/>
      <c r="L23" s="3">
        <v>11</v>
      </c>
    </row>
    <row r="24" spans="1:12" x14ac:dyDescent="0.25">
      <c r="A24" s="9" t="s">
        <v>432</v>
      </c>
      <c r="B24" s="9"/>
      <c r="C24" s="9"/>
      <c r="D24" s="9"/>
      <c r="E24" s="9"/>
      <c r="F24" s="9"/>
      <c r="G24" s="9"/>
      <c r="H24" s="9"/>
      <c r="I24" s="120">
        <f>I25</f>
        <v>-628.77850629067939</v>
      </c>
      <c r="J24" s="129">
        <f>596+39</f>
        <v>635</v>
      </c>
      <c r="K24" s="38">
        <f>J24+I24-L25</f>
        <v>-4.7785062906793883</v>
      </c>
      <c r="L24" s="3"/>
    </row>
    <row r="25" spans="1:12" x14ac:dyDescent="0.25">
      <c r="A25" s="3" t="s">
        <v>521</v>
      </c>
      <c r="B25" s="131">
        <v>1</v>
      </c>
      <c r="C25" s="3">
        <f>3402/1000*200</f>
        <v>680.4</v>
      </c>
      <c r="D25" s="3">
        <f>B25*C25*0.1</f>
        <v>68.040000000000006</v>
      </c>
      <c r="E25" s="3">
        <f>0.2*1.15</f>
        <v>0.22999999999999998</v>
      </c>
      <c r="F25" s="3">
        <f>E25/$E$77*$F$77</f>
        <v>388.59165694517066</v>
      </c>
      <c r="G25" s="3">
        <f>(C25)*$B$1+D25*$B$1+F25*$B$1</f>
        <v>628.77850629067939</v>
      </c>
      <c r="H25" s="122"/>
      <c r="I25" s="123">
        <f>H25-G25</f>
        <v>-628.77850629067939</v>
      </c>
      <c r="J25" s="6"/>
      <c r="K25" s="6"/>
      <c r="L25" s="3">
        <v>11</v>
      </c>
    </row>
    <row r="26" spans="1:12" x14ac:dyDescent="0.25">
      <c r="A26" s="9" t="s">
        <v>522</v>
      </c>
      <c r="B26" s="9"/>
      <c r="C26" s="9"/>
      <c r="D26" s="84"/>
      <c r="E26" s="9"/>
      <c r="F26" s="10"/>
      <c r="G26" s="10"/>
      <c r="H26" s="122"/>
      <c r="I26" s="120">
        <f>SUM(I27)</f>
        <v>-628.77850629067939</v>
      </c>
      <c r="J26" s="38">
        <f>600+29+29</f>
        <v>658</v>
      </c>
      <c r="K26" s="38">
        <f>J26+I26</f>
        <v>29.221493709320612</v>
      </c>
      <c r="L26" s="3"/>
    </row>
    <row r="27" spans="1:12" x14ac:dyDescent="0.25">
      <c r="A27" s="3" t="s">
        <v>521</v>
      </c>
      <c r="B27" s="131">
        <v>1</v>
      </c>
      <c r="C27" s="3">
        <f>3402/1000*200</f>
        <v>680.4</v>
      </c>
      <c r="D27" s="3">
        <f>B27*C27*0.1</f>
        <v>68.040000000000006</v>
      </c>
      <c r="E27" s="3">
        <f>0.2*1.15</f>
        <v>0.22999999999999998</v>
      </c>
      <c r="F27" s="3">
        <f>E27/$E$77*$F$77</f>
        <v>388.59165694517066</v>
      </c>
      <c r="G27" s="3">
        <f>(C27)*$B$1+D27*$B$1+F27*$B$1</f>
        <v>628.77850629067939</v>
      </c>
      <c r="H27" s="122"/>
      <c r="I27" s="123">
        <f>H27-G27</f>
        <v>-628.77850629067939</v>
      </c>
      <c r="J27" s="6"/>
      <c r="K27" s="3"/>
      <c r="L27" s="3"/>
    </row>
    <row r="28" spans="1:12" x14ac:dyDescent="0.25">
      <c r="A28" s="9" t="s">
        <v>523</v>
      </c>
      <c r="B28" s="9"/>
      <c r="C28" s="9"/>
      <c r="D28" s="9"/>
      <c r="E28" s="9"/>
      <c r="F28" s="9"/>
      <c r="G28" s="9"/>
      <c r="H28" s="122"/>
      <c r="I28" s="120">
        <f>I29</f>
        <v>-628.77850629067939</v>
      </c>
      <c r="J28" s="43">
        <f>600+40</f>
        <v>640</v>
      </c>
      <c r="K28" s="38">
        <f>J28+I28-L29</f>
        <v>0.22149370932061174</v>
      </c>
      <c r="L28" s="3"/>
    </row>
    <row r="29" spans="1:12" x14ac:dyDescent="0.25">
      <c r="A29" s="3" t="s">
        <v>521</v>
      </c>
      <c r="B29" s="131">
        <v>1</v>
      </c>
      <c r="C29" s="3">
        <f>3402/1000*200</f>
        <v>680.4</v>
      </c>
      <c r="D29" s="3">
        <f>B29*C29*0.1</f>
        <v>68.040000000000006</v>
      </c>
      <c r="E29" s="3">
        <f>0.2*1.15</f>
        <v>0.22999999999999998</v>
      </c>
      <c r="F29" s="3">
        <f>E29/$E$77*$F$77</f>
        <v>388.59165694517066</v>
      </c>
      <c r="G29" s="3">
        <f>(C29)*$B$1+D29*$B$1+F29*$B$1</f>
        <v>628.77850629067939</v>
      </c>
      <c r="H29" s="122"/>
      <c r="I29" s="123">
        <f>H29-G29</f>
        <v>-628.77850629067939</v>
      </c>
      <c r="J29" s="6"/>
      <c r="K29" s="3"/>
      <c r="L29" s="3">
        <v>11</v>
      </c>
    </row>
    <row r="30" spans="1:12" x14ac:dyDescent="0.25">
      <c r="A30" s="9" t="s">
        <v>429</v>
      </c>
      <c r="B30" s="9"/>
      <c r="C30" s="9"/>
      <c r="D30" s="9"/>
      <c r="E30" s="9"/>
      <c r="F30" s="9"/>
      <c r="G30" s="9"/>
      <c r="H30" s="122"/>
      <c r="I30" s="120">
        <f>I31</f>
        <v>-628.77850629067939</v>
      </c>
      <c r="J30" s="43">
        <v>601</v>
      </c>
      <c r="K30" s="38">
        <f>J30+I30-L31</f>
        <v>-38.778506290679388</v>
      </c>
      <c r="L30" s="3"/>
    </row>
    <row r="31" spans="1:12" x14ac:dyDescent="0.25">
      <c r="A31" s="3" t="s">
        <v>521</v>
      </c>
      <c r="B31" s="131">
        <v>1</v>
      </c>
      <c r="C31" s="3">
        <f>3402/1000*200</f>
        <v>680.4</v>
      </c>
      <c r="D31" s="3">
        <f>B31*C31*0.1</f>
        <v>68.040000000000006</v>
      </c>
      <c r="E31" s="3">
        <f>0.2*1.15</f>
        <v>0.22999999999999998</v>
      </c>
      <c r="F31" s="3">
        <f>E31/$E$77*$F$77</f>
        <v>388.59165694517066</v>
      </c>
      <c r="G31" s="3">
        <f>(C31)*$B$1+D31*$B$1+F31*$B$1</f>
        <v>628.77850629067939</v>
      </c>
      <c r="H31" s="122"/>
      <c r="I31" s="123">
        <f>H31-G31</f>
        <v>-628.77850629067939</v>
      </c>
      <c r="J31" s="6"/>
      <c r="K31" s="3"/>
      <c r="L31" s="3">
        <v>11</v>
      </c>
    </row>
    <row r="32" spans="1:12" x14ac:dyDescent="0.25">
      <c r="A32" s="9" t="s">
        <v>524</v>
      </c>
      <c r="B32" s="9"/>
      <c r="C32" s="9"/>
      <c r="D32" s="9"/>
      <c r="E32" s="9"/>
      <c r="F32" s="9"/>
      <c r="G32" s="9"/>
      <c r="H32" s="122"/>
      <c r="I32" s="120">
        <f>I33</f>
        <v>-628.77850629067939</v>
      </c>
      <c r="J32" s="43">
        <f>600+40</f>
        <v>640</v>
      </c>
      <c r="K32" s="38">
        <f>J32+I32-L33</f>
        <v>0.22149370932061174</v>
      </c>
      <c r="L32" s="3"/>
    </row>
    <row r="33" spans="1:12" x14ac:dyDescent="0.25">
      <c r="A33" s="3" t="s">
        <v>521</v>
      </c>
      <c r="B33" s="131">
        <v>1</v>
      </c>
      <c r="C33" s="3">
        <f>3402/1000*200</f>
        <v>680.4</v>
      </c>
      <c r="D33" s="3">
        <f>B33*C33*0.1</f>
        <v>68.040000000000006</v>
      </c>
      <c r="E33" s="3">
        <f>0.2*1.15</f>
        <v>0.22999999999999998</v>
      </c>
      <c r="F33" s="3">
        <f>E33/$E$77*$F$77</f>
        <v>388.59165694517066</v>
      </c>
      <c r="G33" s="3">
        <f>(C33)*$B$1+D33*$B$1+F33*$B$1</f>
        <v>628.77850629067939</v>
      </c>
      <c r="H33" s="122"/>
      <c r="I33" s="123">
        <f>H33-G33</f>
        <v>-628.77850629067939</v>
      </c>
      <c r="J33" s="6"/>
      <c r="K33" s="3"/>
      <c r="L33" s="3">
        <v>11</v>
      </c>
    </row>
    <row r="34" spans="1:12" x14ac:dyDescent="0.25">
      <c r="A34" s="9" t="s">
        <v>525</v>
      </c>
      <c r="B34" s="9"/>
      <c r="C34" s="9"/>
      <c r="D34" s="9"/>
      <c r="E34" s="9"/>
      <c r="F34" s="9"/>
      <c r="G34" s="9"/>
      <c r="H34" s="9"/>
      <c r="I34" s="120">
        <f>I35</f>
        <v>-569.6517462906794</v>
      </c>
      <c r="J34" s="129">
        <f>538+43</f>
        <v>581</v>
      </c>
      <c r="K34" s="38">
        <f>J34+I34-L35</f>
        <v>0.34825370932060196</v>
      </c>
      <c r="L34" s="3"/>
    </row>
    <row r="35" spans="1:12" x14ac:dyDescent="0.25">
      <c r="A35" s="3" t="s">
        <v>526</v>
      </c>
      <c r="B35" s="131">
        <v>1</v>
      </c>
      <c r="C35" s="3">
        <f>2916/1000*200</f>
        <v>583.19999999999993</v>
      </c>
      <c r="D35" s="3">
        <f>B35*C35*0.1</f>
        <v>58.319999999999993</v>
      </c>
      <c r="E35" s="3">
        <f>0.2*1.15</f>
        <v>0.22999999999999998</v>
      </c>
      <c r="F35" s="3">
        <f>E35/$E$77*$F$77</f>
        <v>388.59165694517066</v>
      </c>
      <c r="G35" s="3">
        <f>(C35)*$B$1+D35*$B$1+F35*$B$1</f>
        <v>569.6517462906794</v>
      </c>
      <c r="H35" s="122"/>
      <c r="I35" s="123">
        <f>H35-G35</f>
        <v>-569.6517462906794</v>
      </c>
      <c r="J35" s="6"/>
      <c r="K35" s="6"/>
      <c r="L35" s="3">
        <v>11</v>
      </c>
    </row>
    <row r="36" spans="1:12" x14ac:dyDescent="0.25">
      <c r="A36" s="9" t="s">
        <v>527</v>
      </c>
      <c r="B36" s="9"/>
      <c r="C36" s="9"/>
      <c r="D36" s="9"/>
      <c r="E36" s="9"/>
      <c r="F36" s="9"/>
      <c r="G36" s="9"/>
      <c r="H36" s="9"/>
      <c r="I36" s="120">
        <f>I37+I38</f>
        <v>-2056.7801965123294</v>
      </c>
      <c r="J36" s="129">
        <f>1964+93</f>
        <v>2057</v>
      </c>
      <c r="K36" s="38">
        <f>J36+I36-L37-L38</f>
        <v>0.21980348767056057</v>
      </c>
      <c r="L36" s="3"/>
    </row>
    <row r="37" spans="1:12" x14ac:dyDescent="0.25">
      <c r="A37" s="98" t="s">
        <v>528</v>
      </c>
      <c r="B37" s="3">
        <v>1</v>
      </c>
      <c r="C37" s="3">
        <v>1170</v>
      </c>
      <c r="D37" s="3">
        <f>B37*C37*0.1</f>
        <v>117</v>
      </c>
      <c r="E37" s="3">
        <f>0.25*1.3</f>
        <v>0.32500000000000001</v>
      </c>
      <c r="F37" s="3">
        <f>E37/$E$77*$F$77</f>
        <v>549.09690655295856</v>
      </c>
      <c r="G37" s="3">
        <f>(C37)*$B$1+D37*$B$1+F37*$B$1</f>
        <v>1015.3615893237862</v>
      </c>
      <c r="H37" s="122"/>
      <c r="I37" s="123">
        <f>H37-G37</f>
        <v>-1015.3615893237862</v>
      </c>
      <c r="J37" s="6"/>
      <c r="K37" s="6"/>
      <c r="L37" s="3"/>
    </row>
    <row r="38" spans="1:12" x14ac:dyDescent="0.25">
      <c r="A38" s="98" t="s">
        <v>529</v>
      </c>
      <c r="B38" s="3">
        <v>1</v>
      </c>
      <c r="C38" s="3">
        <v>1113</v>
      </c>
      <c r="D38" s="3">
        <f>B38*C38*0.1</f>
        <v>111.30000000000001</v>
      </c>
      <c r="E38" s="3">
        <f>0.3*1.3</f>
        <v>0.39</v>
      </c>
      <c r="F38" s="3">
        <f>E38/$E$77*$F$77</f>
        <v>658.91628786355034</v>
      </c>
      <c r="G38" s="3">
        <f>(C38)*$B$1+D38*$B$1+F38*$B$1</f>
        <v>1041.4186071885433</v>
      </c>
      <c r="H38" s="122"/>
      <c r="I38" s="123">
        <f>H38-G38</f>
        <v>-1041.4186071885433</v>
      </c>
      <c r="J38" s="6"/>
      <c r="K38" s="6"/>
      <c r="L38" s="3"/>
    </row>
    <row r="39" spans="1:12" x14ac:dyDescent="0.25">
      <c r="A39" s="9" t="s">
        <v>530</v>
      </c>
      <c r="B39" s="9"/>
      <c r="C39" s="9"/>
      <c r="D39" s="9"/>
      <c r="E39" s="9"/>
      <c r="F39" s="9"/>
      <c r="G39" s="9"/>
      <c r="H39" s="9"/>
      <c r="I39" s="120">
        <f>I40+I41</f>
        <v>-2655.0242588961746</v>
      </c>
      <c r="J39" s="129">
        <f>2547+108</f>
        <v>2655</v>
      </c>
      <c r="K39" s="38">
        <f>J39+I39-L40-L41</f>
        <v>-2.4258896174615074E-2</v>
      </c>
      <c r="L39" s="3"/>
    </row>
    <row r="40" spans="1:12" x14ac:dyDescent="0.25">
      <c r="A40" s="112" t="s">
        <v>531</v>
      </c>
      <c r="B40" s="77">
        <v>2</v>
      </c>
      <c r="C40" s="3">
        <v>2198</v>
      </c>
      <c r="D40" s="3">
        <f>B40*C40*0.1</f>
        <v>439.6</v>
      </c>
      <c r="E40" s="3">
        <f>0.12*1.3*2</f>
        <v>0.312</v>
      </c>
      <c r="F40" s="3">
        <f>E40/$E$77*$F$77</f>
        <v>527.13303029084022</v>
      </c>
      <c r="G40" s="3">
        <f>(C40)*$B$1+D40*$B$1+F40*$B$1</f>
        <v>1750.0973657508348</v>
      </c>
      <c r="H40" s="122"/>
      <c r="I40" s="123">
        <f>H40-G40</f>
        <v>-1750.0973657508348</v>
      </c>
      <c r="J40" s="6"/>
      <c r="K40" s="6"/>
      <c r="L40" s="3"/>
    </row>
    <row r="41" spans="1:12" x14ac:dyDescent="0.25">
      <c r="A41" s="98" t="s">
        <v>532</v>
      </c>
      <c r="B41" s="3">
        <v>1</v>
      </c>
      <c r="C41" s="3">
        <v>1311</v>
      </c>
      <c r="D41" s="3">
        <f>B41*C41*0.1</f>
        <v>131.1</v>
      </c>
      <c r="E41" s="3">
        <f>0.1*1.15</f>
        <v>0.11499999999999999</v>
      </c>
      <c r="F41" s="3">
        <f>E41/$E$77*$F$77</f>
        <v>194.29582847258533</v>
      </c>
      <c r="G41" s="3">
        <f>(C41)*$B$1+D41*$B$1+F41*$B$1</f>
        <v>904.9268931453397</v>
      </c>
      <c r="H41" s="122"/>
      <c r="I41" s="123">
        <f>H41-G41</f>
        <v>-904.9268931453397</v>
      </c>
      <c r="J41" s="6"/>
      <c r="K41" s="6"/>
      <c r="L41" s="3"/>
    </row>
    <row r="42" spans="1:12" x14ac:dyDescent="0.25">
      <c r="A42" s="9" t="s">
        <v>13</v>
      </c>
      <c r="B42" s="9"/>
      <c r="C42" s="9"/>
      <c r="D42" s="9"/>
      <c r="E42" s="9"/>
      <c r="F42" s="9"/>
      <c r="G42" s="9"/>
      <c r="H42" s="9"/>
      <c r="I42" s="120">
        <f>I43+I44</f>
        <v>-2902.1773615229895</v>
      </c>
      <c r="J42" s="129">
        <f>2833+69</f>
        <v>2902</v>
      </c>
      <c r="K42" s="38">
        <f>J42+I42-L43-L44</f>
        <v>-0.17736152298948582</v>
      </c>
      <c r="L42" s="3"/>
    </row>
    <row r="43" spans="1:12" x14ac:dyDescent="0.25">
      <c r="A43" s="98" t="s">
        <v>533</v>
      </c>
      <c r="B43" s="3">
        <v>1</v>
      </c>
      <c r="C43" s="3">
        <v>1072</v>
      </c>
      <c r="D43" s="3">
        <f>B43*C43*0.1</f>
        <v>107.2</v>
      </c>
      <c r="E43" s="3">
        <f>0.12*1.3</f>
        <v>0.156</v>
      </c>
      <c r="F43" s="3">
        <f>E43/$E$77*$F$77</f>
        <v>263.56651514542011</v>
      </c>
      <c r="G43" s="3">
        <f>(C43)*$B$1+D43*$B$1+F43*$B$1</f>
        <v>797.84988287541739</v>
      </c>
      <c r="H43" s="122"/>
      <c r="I43" s="123">
        <f>H43-G43</f>
        <v>-797.84988287541739</v>
      </c>
      <c r="J43" s="6"/>
      <c r="K43" s="6"/>
      <c r="L43" s="3"/>
    </row>
    <row r="44" spans="1:12" x14ac:dyDescent="0.25">
      <c r="A44" s="3" t="s">
        <v>534</v>
      </c>
      <c r="B44" s="3">
        <v>1</v>
      </c>
      <c r="C44" s="3">
        <v>2461</v>
      </c>
      <c r="D44" s="3">
        <f>B44*C44*0.1</f>
        <v>246.10000000000002</v>
      </c>
      <c r="E44" s="3">
        <v>0.65</v>
      </c>
      <c r="F44" s="3">
        <f>E44/$E$77*$F$77</f>
        <v>1098.1938131059171</v>
      </c>
      <c r="G44" s="3">
        <f>(C44)*$B$1+D44*$B$1+F44*$B$1</f>
        <v>2104.3274786475722</v>
      </c>
      <c r="H44" s="122"/>
      <c r="I44" s="123">
        <f>H44-G44</f>
        <v>-2104.3274786475722</v>
      </c>
      <c r="J44" s="6"/>
      <c r="K44" s="6"/>
      <c r="L44" s="3"/>
    </row>
    <row r="45" spans="1:12" x14ac:dyDescent="0.25">
      <c r="A45" s="9" t="s">
        <v>535</v>
      </c>
      <c r="B45" s="9"/>
      <c r="C45" s="9"/>
      <c r="D45" s="9"/>
      <c r="E45" s="9"/>
      <c r="F45" s="9"/>
      <c r="G45" s="9"/>
      <c r="H45" s="9"/>
      <c r="I45" s="120">
        <f>I46+I47</f>
        <v>-884.52763943601917</v>
      </c>
      <c r="J45" s="129">
        <f>844+63</f>
        <v>907</v>
      </c>
      <c r="K45" s="38">
        <f>J45+I45-L46-L47</f>
        <v>0.47236056398082837</v>
      </c>
      <c r="L45" s="3"/>
    </row>
    <row r="46" spans="1:12" x14ac:dyDescent="0.25">
      <c r="A46" s="3" t="s">
        <v>520</v>
      </c>
      <c r="B46" s="131">
        <v>1</v>
      </c>
      <c r="C46" s="3">
        <f>3402/1000*100</f>
        <v>340.2</v>
      </c>
      <c r="D46" s="3">
        <f>B46*C46*0.1</f>
        <v>34.020000000000003</v>
      </c>
      <c r="E46" s="3">
        <f>0.1*1.15</f>
        <v>0.11499999999999999</v>
      </c>
      <c r="F46" s="3">
        <f>E46/$E$77*$F$77</f>
        <v>194.29582847258533</v>
      </c>
      <c r="G46" s="3">
        <f>(C46)*$B$1+D46*$B$1+F46*$B$1</f>
        <v>314.38925314533969</v>
      </c>
      <c r="H46" s="122"/>
      <c r="I46" s="123">
        <f>H46-G46</f>
        <v>-314.38925314533969</v>
      </c>
      <c r="J46" s="6"/>
      <c r="K46" s="6"/>
      <c r="L46" s="3">
        <v>11</v>
      </c>
    </row>
    <row r="47" spans="1:12" x14ac:dyDescent="0.25">
      <c r="A47" s="112" t="s">
        <v>519</v>
      </c>
      <c r="B47" s="131">
        <v>1</v>
      </c>
      <c r="C47" s="3">
        <f>2920/1000*200</f>
        <v>584</v>
      </c>
      <c r="D47" s="3">
        <f>B47*C47*0.1</f>
        <v>58.400000000000006</v>
      </c>
      <c r="E47" s="3">
        <f>0.2*1.15</f>
        <v>0.22999999999999998</v>
      </c>
      <c r="F47" s="3">
        <f>E47/$E$77*$F$77</f>
        <v>388.59165694517066</v>
      </c>
      <c r="G47" s="3">
        <f>(C47)*$B$1+D47*$B$1+F47*$B$1</f>
        <v>570.13838629067948</v>
      </c>
      <c r="H47" s="122"/>
      <c r="I47" s="123">
        <f>H47-G47</f>
        <v>-570.13838629067948</v>
      </c>
      <c r="J47" s="6"/>
      <c r="K47" s="6"/>
      <c r="L47" s="3">
        <v>11</v>
      </c>
    </row>
    <row r="48" spans="1:12" x14ac:dyDescent="0.25">
      <c r="A48" s="9" t="s">
        <v>536</v>
      </c>
      <c r="B48" s="9"/>
      <c r="C48" s="9"/>
      <c r="D48" s="9"/>
      <c r="E48" s="9"/>
      <c r="F48" s="9"/>
      <c r="G48" s="9"/>
      <c r="H48" s="9"/>
      <c r="I48" s="120">
        <f>I49+I50</f>
        <v>-1169.5968325813587</v>
      </c>
      <c r="J48" s="129">
        <f>1116+76</f>
        <v>1192</v>
      </c>
      <c r="K48" s="38">
        <f>J48+I48-L49-L50</f>
        <v>0.40316741864126016</v>
      </c>
      <c r="L48" s="3"/>
    </row>
    <row r="49" spans="1:12" x14ac:dyDescent="0.25">
      <c r="A49" s="3" t="s">
        <v>520</v>
      </c>
      <c r="B49" s="131">
        <v>1</v>
      </c>
      <c r="C49" s="3">
        <f>3402/1000*100</f>
        <v>340.2</v>
      </c>
      <c r="D49" s="3">
        <f>B49*C49*0.1</f>
        <v>34.020000000000003</v>
      </c>
      <c r="E49" s="3">
        <f>0.1*1.15</f>
        <v>0.11499999999999999</v>
      </c>
      <c r="F49" s="3">
        <f>E49/$E$77*$F$77</f>
        <v>194.29582847258533</v>
      </c>
      <c r="G49" s="3">
        <f>(C49)*$B$1+D49*$B$1+F49*$B$1</f>
        <v>314.38925314533969</v>
      </c>
      <c r="H49" s="122"/>
      <c r="I49" s="123">
        <f>H49-G49</f>
        <v>-314.38925314533969</v>
      </c>
      <c r="J49" s="6"/>
      <c r="K49" s="6"/>
      <c r="L49" s="3">
        <v>11</v>
      </c>
    </row>
    <row r="50" spans="1:12" x14ac:dyDescent="0.25">
      <c r="A50" s="112" t="s">
        <v>537</v>
      </c>
      <c r="B50" s="131">
        <v>1</v>
      </c>
      <c r="C50" s="3">
        <f>2920/1000*300</f>
        <v>876</v>
      </c>
      <c r="D50" s="3">
        <f>B50*C50*0.1</f>
        <v>87.600000000000009</v>
      </c>
      <c r="E50" s="3">
        <f>0.3*1.15</f>
        <v>0.34499999999999997</v>
      </c>
      <c r="F50" s="3">
        <f>E50/$E$77*$F$77</f>
        <v>582.88748541775601</v>
      </c>
      <c r="G50" s="3">
        <f>(C50)*$B$1+D50*$B$1+F50*$B$1</f>
        <v>855.20757943601916</v>
      </c>
      <c r="H50" s="122"/>
      <c r="I50" s="123">
        <f>H50-G50</f>
        <v>-855.20757943601916</v>
      </c>
      <c r="J50" s="6"/>
      <c r="K50" s="6"/>
      <c r="L50" s="3">
        <v>11</v>
      </c>
    </row>
    <row r="51" spans="1:12" x14ac:dyDescent="0.25">
      <c r="A51" s="9" t="s">
        <v>538</v>
      </c>
      <c r="B51" s="9"/>
      <c r="C51" s="9"/>
      <c r="D51" s="9"/>
      <c r="E51" s="9"/>
      <c r="F51" s="9"/>
      <c r="G51" s="9"/>
      <c r="H51" s="9"/>
      <c r="I51" s="120">
        <f>I52+I53</f>
        <v>-1709.4418788720382</v>
      </c>
      <c r="J51" s="129">
        <f>1630+90</f>
        <v>1720</v>
      </c>
      <c r="K51" s="38">
        <f>J51+I51-L52-L53</f>
        <v>-0.4418788720381599</v>
      </c>
      <c r="L51" s="3"/>
    </row>
    <row r="52" spans="1:12" x14ac:dyDescent="0.25">
      <c r="A52" s="112" t="s">
        <v>519</v>
      </c>
      <c r="B52" s="131">
        <v>1</v>
      </c>
      <c r="C52" s="3">
        <f>2920/1000*200</f>
        <v>584</v>
      </c>
      <c r="D52" s="3">
        <f>B52*C52*0.1</f>
        <v>58.400000000000006</v>
      </c>
      <c r="E52" s="3">
        <f>0.2*1.15</f>
        <v>0.22999999999999998</v>
      </c>
      <c r="F52" s="3">
        <f>E52/$E$77*$F$77</f>
        <v>388.59165694517066</v>
      </c>
      <c r="G52" s="3">
        <f>(C52)*$B$1+D52*$B$1+F52*$B$1</f>
        <v>570.13838629067948</v>
      </c>
      <c r="H52" s="122"/>
      <c r="I52" s="123">
        <f>H52-G52</f>
        <v>-570.13838629067948</v>
      </c>
      <c r="J52" s="6"/>
      <c r="K52" s="6"/>
      <c r="L52" s="3"/>
    </row>
    <row r="53" spans="1:12" x14ac:dyDescent="0.25">
      <c r="A53" s="3" t="s">
        <v>539</v>
      </c>
      <c r="B53" s="131">
        <v>1</v>
      </c>
      <c r="C53" s="3">
        <f>2916/1000*400</f>
        <v>1166.3999999999999</v>
      </c>
      <c r="D53" s="3">
        <f>B53*C53*0.1</f>
        <v>116.63999999999999</v>
      </c>
      <c r="E53" s="3">
        <f>0.4*1.15</f>
        <v>0.45999999999999996</v>
      </c>
      <c r="F53" s="3">
        <f>E53/$E$77*$F$77</f>
        <v>777.18331389034131</v>
      </c>
      <c r="G53" s="3">
        <f>(C53)*$B$1+D53*$B$1+F53*$B$1</f>
        <v>1139.3034925813588</v>
      </c>
      <c r="H53" s="122"/>
      <c r="I53" s="123">
        <f>H53-G53</f>
        <v>-1139.3034925813588</v>
      </c>
      <c r="J53" s="6"/>
      <c r="K53" s="6"/>
      <c r="L53" s="3">
        <v>11</v>
      </c>
    </row>
    <row r="54" spans="1:12" x14ac:dyDescent="0.25">
      <c r="A54" s="9" t="s">
        <v>540</v>
      </c>
      <c r="B54" s="9"/>
      <c r="C54" s="9"/>
      <c r="D54" s="9"/>
      <c r="E54" s="9"/>
      <c r="F54" s="9"/>
      <c r="G54" s="9"/>
      <c r="H54" s="9"/>
      <c r="I54" s="120">
        <f>I55+I56</f>
        <v>-569.89506629067944</v>
      </c>
      <c r="J54" s="129">
        <f>543+49</f>
        <v>592</v>
      </c>
      <c r="K54" s="38">
        <f>J54+I54-L55-L56</f>
        <v>0.10493370932056223</v>
      </c>
      <c r="L54" s="3"/>
    </row>
    <row r="55" spans="1:12" x14ac:dyDescent="0.25">
      <c r="A55" s="112" t="s">
        <v>541</v>
      </c>
      <c r="B55" s="131">
        <v>1</v>
      </c>
      <c r="C55" s="3">
        <f>2920/1000*100</f>
        <v>292</v>
      </c>
      <c r="D55" s="3">
        <f>B55*C55*0.1</f>
        <v>29.200000000000003</v>
      </c>
      <c r="E55" s="3">
        <f>0.1*1.15</f>
        <v>0.11499999999999999</v>
      </c>
      <c r="F55" s="3">
        <f>E55/$E$77*$F$77</f>
        <v>194.29582847258533</v>
      </c>
      <c r="G55" s="3">
        <f>(C55)*$B$1+D55*$B$1+F55*$B$1</f>
        <v>285.06919314533974</v>
      </c>
      <c r="H55" s="122"/>
      <c r="I55" s="123">
        <f>H55-G55</f>
        <v>-285.06919314533974</v>
      </c>
      <c r="J55" s="6"/>
      <c r="K55" s="6"/>
      <c r="L55" s="3">
        <v>11</v>
      </c>
    </row>
    <row r="56" spans="1:12" x14ac:dyDescent="0.25">
      <c r="A56" s="3" t="s">
        <v>542</v>
      </c>
      <c r="B56" s="131">
        <v>1</v>
      </c>
      <c r="C56" s="3">
        <f>2916/1000*100</f>
        <v>291.59999999999997</v>
      </c>
      <c r="D56" s="3">
        <f>B56*C56*0.1</f>
        <v>29.159999999999997</v>
      </c>
      <c r="E56" s="3">
        <f>0.1*1.15</f>
        <v>0.11499999999999999</v>
      </c>
      <c r="F56" s="3">
        <f>E56/$E$77*$F$77</f>
        <v>194.29582847258533</v>
      </c>
      <c r="G56" s="3">
        <f>(C56)*$B$1+D56*$B$1+F56*$B$1</f>
        <v>284.8258731453397</v>
      </c>
      <c r="H56" s="122"/>
      <c r="I56" s="123">
        <f>H56-G56</f>
        <v>-284.8258731453397</v>
      </c>
      <c r="J56" s="6"/>
      <c r="K56" s="6"/>
      <c r="L56" s="3">
        <v>11</v>
      </c>
    </row>
    <row r="57" spans="1:12" x14ac:dyDescent="0.25">
      <c r="A57" s="9" t="s">
        <v>480</v>
      </c>
      <c r="B57" s="9"/>
      <c r="C57" s="9"/>
      <c r="D57" s="9"/>
      <c r="E57" s="9"/>
      <c r="F57" s="9"/>
      <c r="G57" s="9"/>
      <c r="H57" s="9"/>
      <c r="I57" s="120">
        <f>SUM(I58:I60)</f>
        <v>-2293.4495051627177</v>
      </c>
      <c r="J57" s="129">
        <f>2188+129</f>
        <v>2317</v>
      </c>
      <c r="K57" s="38">
        <f>J57+I57-L58-L59-L60</f>
        <v>1.5504948372822582</v>
      </c>
      <c r="L57" s="3"/>
    </row>
    <row r="58" spans="1:12" x14ac:dyDescent="0.25">
      <c r="A58" s="112" t="s">
        <v>543</v>
      </c>
      <c r="B58" s="131">
        <v>1</v>
      </c>
      <c r="C58" s="3">
        <f>3144/1000*100</f>
        <v>314.40000000000003</v>
      </c>
      <c r="D58" s="3">
        <f>B58*C58*0.1</f>
        <v>31.440000000000005</v>
      </c>
      <c r="E58" s="3">
        <f>0.1*1.15</f>
        <v>0.11499999999999999</v>
      </c>
      <c r="F58" s="3">
        <f>E58/$E$77*$F$77</f>
        <v>194.29582847258533</v>
      </c>
      <c r="G58" s="3">
        <f>(C58)*$B$1+D58*$B$1+F58*$B$1</f>
        <v>298.69511314533975</v>
      </c>
      <c r="H58" s="122"/>
      <c r="I58" s="123">
        <f>H58-G58</f>
        <v>-298.69511314533975</v>
      </c>
      <c r="J58" s="6"/>
      <c r="K58" s="6"/>
      <c r="L58" s="3">
        <v>11</v>
      </c>
    </row>
    <row r="59" spans="1:12" x14ac:dyDescent="0.25">
      <c r="A59" s="112" t="s">
        <v>544</v>
      </c>
      <c r="B59" s="131">
        <v>1</v>
      </c>
      <c r="C59" s="3">
        <f>2920/1000*400</f>
        <v>1168</v>
      </c>
      <c r="D59" s="3">
        <f>B59*C59*0.1</f>
        <v>116.80000000000001</v>
      </c>
      <c r="E59" s="3">
        <f>0.4*1.15</f>
        <v>0.45999999999999996</v>
      </c>
      <c r="F59" s="3">
        <f>E59/$E$77*$F$77</f>
        <v>777.18331389034131</v>
      </c>
      <c r="G59" s="3">
        <f>(C59)*$B$1+D59*$B$1+F59*$B$1</f>
        <v>1140.276772581359</v>
      </c>
      <c r="H59" s="122"/>
      <c r="I59" s="123">
        <f>H59-G59</f>
        <v>-1140.276772581359</v>
      </c>
      <c r="J59" s="6"/>
      <c r="K59" s="6"/>
      <c r="L59" s="3"/>
    </row>
    <row r="60" spans="1:12" x14ac:dyDescent="0.25">
      <c r="A60" s="3" t="s">
        <v>545</v>
      </c>
      <c r="B60" s="131">
        <v>1</v>
      </c>
      <c r="C60" s="3">
        <f>2916/1000*300</f>
        <v>874.8</v>
      </c>
      <c r="D60" s="3">
        <f>B60*C60*0.1</f>
        <v>87.48</v>
      </c>
      <c r="E60" s="3">
        <f>0.3*1.15</f>
        <v>0.34499999999999997</v>
      </c>
      <c r="F60" s="3">
        <f>E60/$E$77*$F$77</f>
        <v>582.88748541775601</v>
      </c>
      <c r="G60" s="3">
        <f>(C60)*$B$1+D60*$B$1+F60*$B$1</f>
        <v>854.47761943601915</v>
      </c>
      <c r="H60" s="122"/>
      <c r="I60" s="123">
        <f>H60-G60</f>
        <v>-854.47761943601915</v>
      </c>
      <c r="J60" s="6"/>
      <c r="K60" s="6"/>
      <c r="L60" s="3">
        <v>11</v>
      </c>
    </row>
    <row r="61" spans="1:12" x14ac:dyDescent="0.25">
      <c r="A61" s="9" t="s">
        <v>549</v>
      </c>
      <c r="B61" s="9"/>
      <c r="C61" s="9"/>
      <c r="D61" s="9"/>
      <c r="E61" s="9"/>
      <c r="F61" s="9"/>
      <c r="G61" s="9"/>
      <c r="H61" s="9"/>
      <c r="I61" s="120">
        <f>SUM(I62:I64)</f>
        <v>-4810.3835171921637</v>
      </c>
      <c r="J61" s="129">
        <f>4009+586+215</f>
        <v>4810</v>
      </c>
      <c r="K61" s="38">
        <f>J61+I61-L62-L64</f>
        <v>-0.38351719216370839</v>
      </c>
      <c r="L61" s="3"/>
    </row>
    <row r="62" spans="1:12" x14ac:dyDescent="0.25">
      <c r="A62" s="3" t="s">
        <v>550</v>
      </c>
      <c r="B62" s="3">
        <v>1</v>
      </c>
      <c r="C62" s="3">
        <v>2359</v>
      </c>
      <c r="D62" s="3">
        <f>B62*C62*0.1</f>
        <v>235.9</v>
      </c>
      <c r="E62" s="3">
        <f>0.6*1.3</f>
        <v>0.78</v>
      </c>
      <c r="F62" s="3">
        <f>E62/$E$77*$F$77</f>
        <v>1317.8325757271007</v>
      </c>
      <c r="G62" s="3">
        <f>(C62)*$B$1+D62*$B$1+F62*$B$1</f>
        <v>2163.7411143770869</v>
      </c>
      <c r="H62" s="122"/>
      <c r="I62" s="123">
        <f>H62-G62</f>
        <v>-2163.7411143770869</v>
      </c>
      <c r="J62" s="6"/>
      <c r="K62" s="6"/>
      <c r="L62" s="3"/>
    </row>
    <row r="63" spans="1:12" x14ac:dyDescent="0.25">
      <c r="A63" s="3" t="s">
        <v>551</v>
      </c>
      <c r="B63" s="3">
        <v>1</v>
      </c>
      <c r="C63" s="3">
        <v>1215</v>
      </c>
      <c r="D63" s="3">
        <f>B63*C63*0.1</f>
        <v>121.5</v>
      </c>
      <c r="E63" s="3">
        <f>0.095*1.3</f>
        <v>0.12350000000000001</v>
      </c>
      <c r="F63" s="3">
        <f>E63/$E$77*$F$77</f>
        <v>208.65682449012428</v>
      </c>
      <c r="G63" s="3">
        <f>(C63)*$B$1+D63*$B$1+F63*$B$1</f>
        <v>854.47172394303891</v>
      </c>
      <c r="H63" s="122"/>
      <c r="I63" s="123">
        <f>H63-G63</f>
        <v>-854.47172394303891</v>
      </c>
      <c r="J63" s="6"/>
      <c r="K63" s="6"/>
      <c r="L63" s="3"/>
    </row>
    <row r="64" spans="1:12" x14ac:dyDescent="0.25">
      <c r="A64" s="98" t="s">
        <v>552</v>
      </c>
      <c r="B64" s="131">
        <v>1</v>
      </c>
      <c r="C64" s="3">
        <f>3144/1000*600</f>
        <v>1886.4</v>
      </c>
      <c r="D64" s="3">
        <f>B64*C64*0.1</f>
        <v>188.64000000000001</v>
      </c>
      <c r="E64" s="3">
        <f>0.6*1.15</f>
        <v>0.69</v>
      </c>
      <c r="F64" s="3">
        <f>E64/$E$77*$F$77</f>
        <v>1165.774970835512</v>
      </c>
      <c r="G64" s="3">
        <f>(C64)*$B$1+D64*$B$1+F64*$B$1</f>
        <v>1792.1706788720383</v>
      </c>
      <c r="H64" s="122"/>
      <c r="I64" s="123">
        <f>H64-G64</f>
        <v>-1792.1706788720383</v>
      </c>
      <c r="J64" s="6"/>
      <c r="K64" s="3"/>
      <c r="L64" s="3"/>
    </row>
    <row r="65" spans="1:13" x14ac:dyDescent="0.25">
      <c r="A65" s="9" t="s">
        <v>283</v>
      </c>
      <c r="B65" s="9"/>
      <c r="C65" s="9"/>
      <c r="D65" s="9"/>
      <c r="E65" s="9"/>
      <c r="F65" s="9"/>
      <c r="G65" s="9"/>
      <c r="H65" s="9"/>
      <c r="I65" s="120">
        <f>SUM(I66:I68)</f>
        <v>-5475.7320689786393</v>
      </c>
      <c r="J65" s="129">
        <f>5209+140</f>
        <v>5349</v>
      </c>
      <c r="K65" s="38">
        <f>J65+I65-L66</f>
        <v>-126.73206897863929</v>
      </c>
      <c r="L65" s="3"/>
    </row>
    <row r="66" spans="1:13" x14ac:dyDescent="0.25">
      <c r="A66" s="112" t="s">
        <v>553</v>
      </c>
      <c r="B66" s="3">
        <v>1</v>
      </c>
      <c r="C66" s="3">
        <v>1752</v>
      </c>
      <c r="D66" s="3">
        <f>B66*C66*0.1</f>
        <v>175.20000000000002</v>
      </c>
      <c r="E66" s="3">
        <f>0.1*1.3</f>
        <v>0.13</v>
      </c>
      <c r="F66" s="3">
        <f>E66/$E$77*$F$77</f>
        <v>219.63876262118342</v>
      </c>
      <c r="G66" s="3">
        <f>(C66)*$B$1+D66*$B$1+F66*$B$1</f>
        <v>1187.2018357295144</v>
      </c>
      <c r="H66" s="122"/>
      <c r="I66" s="123">
        <f>H66-G66</f>
        <v>-1187.2018357295144</v>
      </c>
      <c r="J66" s="6"/>
      <c r="K66" s="3"/>
      <c r="L66" s="3"/>
    </row>
    <row r="67" spans="1:13" x14ac:dyDescent="0.25">
      <c r="A67" s="3" t="s">
        <v>451</v>
      </c>
      <c r="B67" s="3">
        <v>1</v>
      </c>
      <c r="C67" s="3">
        <v>2751</v>
      </c>
      <c r="D67" s="3">
        <f>B67*C67*0.1</f>
        <v>275.10000000000002</v>
      </c>
      <c r="E67" s="3">
        <f>0.6*1.3</f>
        <v>0.78</v>
      </c>
      <c r="F67" s="3">
        <f>E67/$E$77*$F$77</f>
        <v>1317.8325757271007</v>
      </c>
      <c r="G67" s="3">
        <f>(C67)*$B$1+D67*$B$1+F67*$B$1</f>
        <v>2402.1947143770867</v>
      </c>
      <c r="H67" s="122"/>
      <c r="I67" s="123">
        <f>H67-G67</f>
        <v>-2402.1947143770867</v>
      </c>
      <c r="J67" s="6"/>
      <c r="K67" s="3"/>
      <c r="L67" s="3"/>
    </row>
    <row r="68" spans="1:13" x14ac:dyDescent="0.25">
      <c r="A68" s="3" t="s">
        <v>554</v>
      </c>
      <c r="B68" s="131">
        <v>1</v>
      </c>
      <c r="C68" s="3">
        <f>3402/1000*600</f>
        <v>2041.2</v>
      </c>
      <c r="D68" s="3">
        <f>B68*C68*0.1</f>
        <v>204.12</v>
      </c>
      <c r="E68" s="3">
        <f>0.6*1.15</f>
        <v>0.69</v>
      </c>
      <c r="F68" s="3">
        <f>E68/$E$77*$F$77</f>
        <v>1165.774970835512</v>
      </c>
      <c r="G68" s="3">
        <f>(C68)*$B$1+D68*$B$1+F68*$B$1</f>
        <v>1886.3355188720384</v>
      </c>
      <c r="H68" s="122"/>
      <c r="I68" s="123">
        <f>H68-G68</f>
        <v>-1886.3355188720384</v>
      </c>
      <c r="J68" s="6"/>
      <c r="K68" s="3"/>
      <c r="L68" s="3"/>
    </row>
    <row r="69" spans="1:13" x14ac:dyDescent="0.25">
      <c r="A69" s="9" t="s">
        <v>439</v>
      </c>
      <c r="B69" s="9"/>
      <c r="C69" s="9"/>
      <c r="D69" s="9"/>
      <c r="E69" s="9"/>
      <c r="F69" s="9"/>
      <c r="G69" s="9"/>
      <c r="H69" s="9"/>
      <c r="I69" s="120">
        <f>SUM(I70:I74)</f>
        <v>-3480.5593176346601</v>
      </c>
      <c r="J69" s="129">
        <f>2220+1100+169</f>
        <v>3489</v>
      </c>
      <c r="K69" s="38">
        <f>J69+I69-L70-L71-L72-L73-L74</f>
        <v>-10.059317634660147</v>
      </c>
      <c r="L69" s="3"/>
    </row>
    <row r="70" spans="1:13" x14ac:dyDescent="0.25">
      <c r="A70" s="3" t="s">
        <v>555</v>
      </c>
      <c r="B70" s="3">
        <v>1</v>
      </c>
      <c r="C70" s="3">
        <v>974</v>
      </c>
      <c r="D70" s="3">
        <f>B70*C70*0.1</f>
        <v>97.4</v>
      </c>
      <c r="E70" s="3">
        <f>0.12*1.3</f>
        <v>0.156</v>
      </c>
      <c r="F70" s="3">
        <f>E70/$E$77*$F$77</f>
        <v>263.56651514542011</v>
      </c>
      <c r="G70" s="3">
        <f>(C70)*$B$1+D70*$B$1+F70*$B$1</f>
        <v>738.23648287541744</v>
      </c>
      <c r="H70" s="122"/>
      <c r="I70" s="123">
        <f>H70-G70</f>
        <v>-738.23648287541744</v>
      </c>
      <c r="J70" s="6"/>
      <c r="K70" s="3"/>
      <c r="L70" s="3"/>
    </row>
    <row r="71" spans="1:13" x14ac:dyDescent="0.25">
      <c r="A71" s="3" t="s">
        <v>556</v>
      </c>
      <c r="B71" s="3">
        <v>1</v>
      </c>
      <c r="C71" s="3">
        <v>840</v>
      </c>
      <c r="D71" s="3">
        <f>B71*C71*0.1</f>
        <v>84</v>
      </c>
      <c r="E71" s="3">
        <f>0.13*1.3</f>
        <v>0.16900000000000001</v>
      </c>
      <c r="F71" s="3">
        <f>E71/$E$77*$F$77</f>
        <v>285.53039140753845</v>
      </c>
      <c r="G71" s="3">
        <f>(C71)*$B$1+D71*$B$1+F71*$B$1</f>
        <v>668.87030644836886</v>
      </c>
      <c r="H71" s="122"/>
      <c r="I71" s="123">
        <f>H71-G71</f>
        <v>-668.87030644836886</v>
      </c>
      <c r="J71" s="6"/>
      <c r="K71" s="3"/>
      <c r="L71" s="3"/>
    </row>
    <row r="72" spans="1:13" x14ac:dyDescent="0.25">
      <c r="A72" s="3" t="s">
        <v>513</v>
      </c>
      <c r="B72" s="3">
        <v>1</v>
      </c>
      <c r="C72" s="3">
        <v>1312</v>
      </c>
      <c r="D72" s="3">
        <f>B72*C72*0.1</f>
        <v>131.20000000000002</v>
      </c>
      <c r="E72" s="3">
        <f>0.1*1.3</f>
        <v>0.13</v>
      </c>
      <c r="F72" s="3">
        <f>E72/$E$77*$F$77</f>
        <v>219.63876262118342</v>
      </c>
      <c r="G72" s="3">
        <f>(C72)*$B$1+D72*$B$1+F72*$B$1</f>
        <v>919.54983572951448</v>
      </c>
      <c r="H72" s="122"/>
      <c r="I72" s="123">
        <f>H72-G72</f>
        <v>-919.54983572951448</v>
      </c>
      <c r="J72" s="6"/>
      <c r="K72" s="3"/>
      <c r="L72" s="3"/>
    </row>
    <row r="73" spans="1:13" x14ac:dyDescent="0.25">
      <c r="A73" s="112" t="s">
        <v>543</v>
      </c>
      <c r="B73" s="131">
        <v>1</v>
      </c>
      <c r="C73" s="3">
        <f>3144/1000*100</f>
        <v>314.40000000000003</v>
      </c>
      <c r="D73" s="3">
        <f>B73*C73*0.1</f>
        <v>31.440000000000005</v>
      </c>
      <c r="E73" s="3">
        <f>0.1*1.15</f>
        <v>0.11499999999999999</v>
      </c>
      <c r="F73" s="3">
        <f>E73/$E$77*$F$77</f>
        <v>194.29582847258533</v>
      </c>
      <c r="G73" s="3">
        <f>(C73)*$B$1+D73*$B$1+F73*$B$1</f>
        <v>298.69511314533975</v>
      </c>
      <c r="H73" s="122"/>
      <c r="I73" s="123">
        <f>H73-G73</f>
        <v>-298.69511314533975</v>
      </c>
      <c r="J73" s="6"/>
      <c r="K73" s="3"/>
      <c r="L73" s="3">
        <v>18.5</v>
      </c>
    </row>
    <row r="74" spans="1:13" x14ac:dyDescent="0.25">
      <c r="A74" s="112" t="s">
        <v>537</v>
      </c>
      <c r="B74" s="131">
        <v>1</v>
      </c>
      <c r="C74" s="3">
        <f>2920/1000*300</f>
        <v>876</v>
      </c>
      <c r="D74" s="3">
        <f>B74*C74*0.1</f>
        <v>87.600000000000009</v>
      </c>
      <c r="E74" s="3">
        <f>0.3*1.15</f>
        <v>0.34499999999999997</v>
      </c>
      <c r="F74" s="3">
        <f>E74/$E$77*$F$77</f>
        <v>582.88748541775601</v>
      </c>
      <c r="G74" s="3">
        <f>(C74)*$B$1+D74*$B$1+F74*$B$1</f>
        <v>855.20757943601916</v>
      </c>
      <c r="H74" s="122"/>
      <c r="I74" s="123">
        <f>H74-G74</f>
        <v>-855.20757943601916</v>
      </c>
      <c r="J74" s="6"/>
      <c r="K74" s="3"/>
      <c r="L74" s="3"/>
      <c r="M74" t="s">
        <v>560</v>
      </c>
    </row>
    <row r="75" spans="1:13" x14ac:dyDescent="0.25">
      <c r="A75" s="88"/>
      <c r="B75" s="9"/>
      <c r="C75" s="9"/>
      <c r="D75" s="84"/>
      <c r="E75" s="9"/>
      <c r="F75" s="9"/>
      <c r="G75" s="9"/>
      <c r="H75" s="9"/>
      <c r="I75" s="9"/>
      <c r="J75" s="129"/>
      <c r="K75" s="9"/>
      <c r="L75" s="3"/>
    </row>
    <row r="76" spans="1:13" x14ac:dyDescent="0.25">
      <c r="A76" s="112" t="s">
        <v>30</v>
      </c>
      <c r="B76" s="26"/>
      <c r="C76" s="3"/>
      <c r="D76" s="3"/>
      <c r="E76" s="3">
        <f>0.2*1.15</f>
        <v>0.22999999999999998</v>
      </c>
      <c r="F76" s="3">
        <f>E76/$E$77*$F$77</f>
        <v>388.59165694517066</v>
      </c>
      <c r="G76" s="3"/>
      <c r="H76" s="122"/>
      <c r="I76" s="123">
        <f>H76-G76</f>
        <v>0</v>
      </c>
      <c r="J76" s="6"/>
      <c r="K76" s="3"/>
      <c r="L76" s="3"/>
    </row>
    <row r="77" spans="1:13" x14ac:dyDescent="0.25">
      <c r="A77" s="99"/>
      <c r="B77" s="99"/>
      <c r="C77" s="99"/>
      <c r="D77" s="99"/>
      <c r="E77" s="99">
        <f>SUM(E4:E76)</f>
        <v>12.429500000000003</v>
      </c>
      <c r="F77" s="94">
        <v>21000</v>
      </c>
      <c r="G77" s="28">
        <f>F77/E77</f>
        <v>1689.5289432398724</v>
      </c>
      <c r="H77" s="122"/>
      <c r="I77" s="121"/>
      <c r="J77" s="28"/>
      <c r="K77" s="28"/>
      <c r="L77" s="3"/>
    </row>
    <row r="81" spans="1:12" x14ac:dyDescent="0.25">
      <c r="A81" s="9" t="s">
        <v>216</v>
      </c>
      <c r="B81" s="9"/>
      <c r="C81" s="9"/>
      <c r="D81" s="9"/>
      <c r="E81" s="9"/>
      <c r="F81" s="9"/>
      <c r="G81" s="9"/>
      <c r="H81" s="9"/>
      <c r="I81" s="120">
        <f>SUM(I82:I84)</f>
        <v>-4336.9367246470092</v>
      </c>
      <c r="J81" s="129">
        <v>3997</v>
      </c>
      <c r="K81" s="38"/>
      <c r="L81" s="3" t="s">
        <v>561</v>
      </c>
    </row>
    <row r="82" spans="1:12" x14ac:dyDescent="0.25">
      <c r="A82" s="112" t="s">
        <v>546</v>
      </c>
      <c r="B82" s="3">
        <v>1</v>
      </c>
      <c r="C82" s="3">
        <v>1035</v>
      </c>
      <c r="D82" s="3">
        <f>B82*C82*0.1</f>
        <v>103.5</v>
      </c>
      <c r="E82" s="3">
        <f>0.12*1.3*B82</f>
        <v>0.156</v>
      </c>
      <c r="F82" s="3">
        <f>E82/$E$77*$F$77</f>
        <v>263.56651514542011</v>
      </c>
      <c r="G82" s="3">
        <f>(C82)*$B$1+D82*$B$1+F82*$B$1</f>
        <v>775.34278287541736</v>
      </c>
      <c r="H82" s="122"/>
      <c r="I82" s="123">
        <f>H82-G82</f>
        <v>-775.34278287541736</v>
      </c>
      <c r="J82" s="6"/>
      <c r="K82" s="6"/>
      <c r="L82" s="3"/>
    </row>
    <row r="83" spans="1:12" x14ac:dyDescent="0.25">
      <c r="A83" s="3" t="s">
        <v>547</v>
      </c>
      <c r="B83" s="77">
        <v>3</v>
      </c>
      <c r="C83" s="3">
        <v>3105</v>
      </c>
      <c r="D83" s="3">
        <f>B83*C83*0.1</f>
        <v>931.5</v>
      </c>
      <c r="E83" s="3">
        <f>0.12*1.3*B83</f>
        <v>0.46799999999999997</v>
      </c>
      <c r="F83" s="3">
        <f>E83/$E$77*$F$77</f>
        <v>790.69954543626034</v>
      </c>
      <c r="G83" s="3">
        <f>(C83)*$B$1+D83*$B$1+F83*$B$1</f>
        <v>2669.4413486262524</v>
      </c>
      <c r="H83" s="122"/>
      <c r="I83" s="123">
        <f>H83-G83</f>
        <v>-2669.4413486262524</v>
      </c>
      <c r="J83" s="6"/>
      <c r="K83" s="6"/>
      <c r="L83" s="3"/>
    </row>
    <row r="84" spans="1:12" x14ac:dyDescent="0.25">
      <c r="A84" s="98" t="s">
        <v>548</v>
      </c>
      <c r="B84" s="3">
        <v>1</v>
      </c>
      <c r="C84" s="3">
        <v>1290</v>
      </c>
      <c r="D84" s="3">
        <f>B84*C84*0.1</f>
        <v>129</v>
      </c>
      <c r="E84" s="3">
        <f>0.1*1.15</f>
        <v>0.11499999999999999</v>
      </c>
      <c r="F84" s="3">
        <f>E84/$E$77*$F$77</f>
        <v>194.29582847258533</v>
      </c>
      <c r="G84" s="3">
        <f>(C84)*$B$1+D84*$B$1+F84*$B$1</f>
        <v>892.15259314533967</v>
      </c>
      <c r="H84" s="122"/>
      <c r="I84" s="123">
        <f>H84-G84</f>
        <v>-892.15259314533967</v>
      </c>
      <c r="J84" s="6"/>
      <c r="K84" s="3"/>
      <c r="L8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4"/>
  <sheetViews>
    <sheetView topLeftCell="A52" zoomScale="80" zoomScaleNormal="80" workbookViewId="0">
      <selection activeCell="J55" sqref="J55"/>
    </sheetView>
  </sheetViews>
  <sheetFormatPr defaultRowHeight="15" x14ac:dyDescent="0.25"/>
  <cols>
    <col min="1" max="1" width="57" customWidth="1"/>
    <col min="6" max="6" width="11.42578125" customWidth="1"/>
    <col min="9" max="9" width="12.7109375" customWidth="1"/>
    <col min="10" max="10" width="14.5703125" style="41" customWidth="1"/>
    <col min="11" max="11" width="12.5703125" customWidth="1"/>
    <col min="13" max="13" width="9.5703125" customWidth="1"/>
  </cols>
  <sheetData>
    <row r="1" spans="1:13" x14ac:dyDescent="0.25">
      <c r="A1" s="1" t="s">
        <v>5</v>
      </c>
      <c r="B1" s="45">
        <f>0.5788</f>
        <v>0.57879999999999998</v>
      </c>
      <c r="C1" s="1"/>
      <c r="I1" s="41"/>
      <c r="J1" s="45" t="s">
        <v>289</v>
      </c>
      <c r="K1" s="116">
        <v>43224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422</v>
      </c>
    </row>
    <row r="4" spans="1:13" x14ac:dyDescent="0.25">
      <c r="A4" s="9" t="s">
        <v>12</v>
      </c>
      <c r="B4" s="9"/>
      <c r="C4" s="9"/>
      <c r="D4" s="9"/>
      <c r="E4" s="9"/>
      <c r="F4" s="10"/>
      <c r="G4" s="10"/>
      <c r="H4" s="122"/>
      <c r="I4" s="120">
        <f>SUM(I5)</f>
        <v>-2107.2956925014241</v>
      </c>
      <c r="J4" s="38">
        <v>2116</v>
      </c>
      <c r="K4" s="38">
        <f>J4+I4</f>
        <v>8.7043074985758722</v>
      </c>
      <c r="L4" s="9"/>
    </row>
    <row r="5" spans="1:13" x14ac:dyDescent="0.25">
      <c r="A5" s="3" t="s">
        <v>562</v>
      </c>
      <c r="B5" s="3">
        <v>1</v>
      </c>
      <c r="C5" s="18">
        <v>2800</v>
      </c>
      <c r="D5" s="3">
        <f>B5*C5*0.1</f>
        <v>280</v>
      </c>
      <c r="E5" s="3">
        <f>0.022*12*1.3</f>
        <v>0.34320000000000001</v>
      </c>
      <c r="F5" s="3">
        <f>E5/$E$94*$F$94</f>
        <v>560.80112733487204</v>
      </c>
      <c r="G5" s="3">
        <f>(C5)*$B$1+D5*$B$1+F5*$B$1</f>
        <v>2107.2956925014241</v>
      </c>
      <c r="H5" s="122"/>
      <c r="I5" s="123">
        <f>H5-G5</f>
        <v>-2107.2956925014241</v>
      </c>
      <c r="J5" s="6"/>
      <c r="K5" s="3"/>
      <c r="L5" s="3"/>
    </row>
    <row r="6" spans="1:13" x14ac:dyDescent="0.25">
      <c r="A6" s="9" t="s">
        <v>563</v>
      </c>
      <c r="B6" s="9"/>
      <c r="C6" s="9"/>
      <c r="D6" s="9"/>
      <c r="E6" s="9"/>
      <c r="F6" s="9"/>
      <c r="G6" s="9"/>
      <c r="H6" s="9"/>
      <c r="I6" s="120">
        <f>I7</f>
        <v>-1826.0410760243453</v>
      </c>
      <c r="J6" s="129">
        <v>1830</v>
      </c>
      <c r="K6" s="38">
        <f>J6+I6</f>
        <v>3.9589239756546704</v>
      </c>
      <c r="L6" s="9"/>
    </row>
    <row r="7" spans="1:13" x14ac:dyDescent="0.25">
      <c r="A7" s="3" t="s">
        <v>564</v>
      </c>
      <c r="B7" s="3">
        <v>2</v>
      </c>
      <c r="C7" s="3">
        <v>2098</v>
      </c>
      <c r="D7" s="3">
        <f t="shared" ref="D7:D64" si="0">B7*C7*0.1</f>
        <v>419.6</v>
      </c>
      <c r="E7" s="3">
        <f>0.15*B7*1.3</f>
        <v>0.39</v>
      </c>
      <c r="F7" s="3">
        <f>E7/$E$94*$F$94</f>
        <v>637.27400833508193</v>
      </c>
      <c r="G7" s="3">
        <f t="shared" ref="G7:G64" si="1">(C7)*$B$1+D7*$B$1+F7*$B$1</f>
        <v>1826.0410760243453</v>
      </c>
      <c r="H7" s="122"/>
      <c r="I7" s="123">
        <f t="shared" ref="I7:I64" si="2">H7-G7</f>
        <v>-1826.0410760243453</v>
      </c>
      <c r="J7" s="6"/>
      <c r="K7" s="3"/>
      <c r="L7" s="3"/>
    </row>
    <row r="8" spans="1:13" x14ac:dyDescent="0.25">
      <c r="A8" s="9" t="s">
        <v>216</v>
      </c>
      <c r="B8" s="9"/>
      <c r="C8" s="9"/>
      <c r="D8" s="9"/>
      <c r="E8" s="9"/>
      <c r="F8" s="9"/>
      <c r="G8" s="9"/>
      <c r="H8" s="9"/>
      <c r="I8" s="120">
        <f>SUM(I9:I11)</f>
        <v>-3278.9847340569058</v>
      </c>
      <c r="J8" s="129">
        <v>3291</v>
      </c>
      <c r="K8" s="38">
        <f>J8+I8</f>
        <v>12.015265943094164</v>
      </c>
      <c r="L8" s="9"/>
    </row>
    <row r="9" spans="1:13" x14ac:dyDescent="0.25">
      <c r="A9" s="44" t="s">
        <v>565</v>
      </c>
      <c r="B9" s="26">
        <v>1</v>
      </c>
      <c r="C9" s="26">
        <v>941</v>
      </c>
      <c r="D9" s="3">
        <f t="shared" si="0"/>
        <v>94.100000000000009</v>
      </c>
      <c r="E9" s="26">
        <f>0.12*1.3*B9</f>
        <v>0.156</v>
      </c>
      <c r="F9" s="3">
        <f>E9/$E$94*$F$94</f>
        <v>254.90960333403274</v>
      </c>
      <c r="G9" s="3">
        <f t="shared" si="1"/>
        <v>746.65755840973816</v>
      </c>
      <c r="H9" s="122"/>
      <c r="I9" s="123">
        <f t="shared" si="2"/>
        <v>-746.65755840973816</v>
      </c>
      <c r="J9" s="6"/>
      <c r="K9" s="3"/>
      <c r="L9" s="3"/>
    </row>
    <row r="10" spans="1:13" x14ac:dyDescent="0.25">
      <c r="A10" s="26" t="s">
        <v>566</v>
      </c>
      <c r="B10" s="26">
        <v>2</v>
      </c>
      <c r="C10" s="26">
        <v>1882</v>
      </c>
      <c r="D10" s="3">
        <f t="shared" si="0"/>
        <v>376.40000000000003</v>
      </c>
      <c r="E10" s="26">
        <f>0.12*1.3*B10</f>
        <v>0.312</v>
      </c>
      <c r="F10" s="3">
        <f>E10/$E$94*$F$94</f>
        <v>509.81920666806548</v>
      </c>
      <c r="G10" s="3">
        <f t="shared" si="1"/>
        <v>1602.2452768194762</v>
      </c>
      <c r="H10" s="122"/>
      <c r="I10" s="123">
        <f t="shared" si="2"/>
        <v>-1602.2452768194762</v>
      </c>
      <c r="J10" s="6"/>
      <c r="K10" s="3"/>
      <c r="L10" s="3"/>
    </row>
    <row r="11" spans="1:13" x14ac:dyDescent="0.25">
      <c r="A11" s="44" t="s">
        <v>548</v>
      </c>
      <c r="B11" s="26">
        <v>1</v>
      </c>
      <c r="C11" s="26">
        <v>1290</v>
      </c>
      <c r="D11" s="3">
        <f t="shared" si="0"/>
        <v>129</v>
      </c>
      <c r="E11" s="26">
        <f>0.1*1.15</f>
        <v>0.11499999999999999</v>
      </c>
      <c r="F11" s="3">
        <f>E11/$E$94*$F$94</f>
        <v>187.91413066290872</v>
      </c>
      <c r="G11" s="3">
        <f t="shared" si="1"/>
        <v>930.08189882769148</v>
      </c>
      <c r="H11" s="122"/>
      <c r="I11" s="123">
        <f t="shared" si="2"/>
        <v>-930.08189882769148</v>
      </c>
      <c r="J11" s="6"/>
      <c r="K11" s="3"/>
      <c r="L11" s="3"/>
    </row>
    <row r="12" spans="1:13" x14ac:dyDescent="0.25">
      <c r="A12" s="9" t="s">
        <v>567</v>
      </c>
      <c r="B12" s="9"/>
      <c r="C12" s="9"/>
      <c r="D12" s="9"/>
      <c r="E12" s="9"/>
      <c r="F12" s="9"/>
      <c r="G12" s="9"/>
      <c r="H12" s="9"/>
      <c r="I12" s="120">
        <f>SUM(I13)</f>
        <v>-1333.7962833107661</v>
      </c>
      <c r="J12" s="129">
        <f>3917</f>
        <v>3917</v>
      </c>
      <c r="K12" s="38">
        <f>J12+I12</f>
        <v>2583.2037166892342</v>
      </c>
      <c r="L12" s="9"/>
    </row>
    <row r="13" spans="1:13" x14ac:dyDescent="0.25">
      <c r="A13" s="18" t="s">
        <v>570</v>
      </c>
      <c r="B13" s="131">
        <v>1</v>
      </c>
      <c r="C13" s="3">
        <v>1411.6</v>
      </c>
      <c r="D13" s="3">
        <f t="shared" si="0"/>
        <v>141.16</v>
      </c>
      <c r="E13" s="3">
        <f>0.4*1.15</f>
        <v>0.45999999999999996</v>
      </c>
      <c r="F13" s="3">
        <f>E13/$E$94*$F$94</f>
        <v>751.65652265163487</v>
      </c>
      <c r="G13" s="3">
        <f t="shared" si="1"/>
        <v>1333.7962833107661</v>
      </c>
      <c r="H13" s="122"/>
      <c r="I13" s="123">
        <f t="shared" si="2"/>
        <v>-1333.7962833107661</v>
      </c>
      <c r="J13" s="6"/>
      <c r="K13" s="3"/>
      <c r="L13" s="3"/>
      <c r="M13" t="s">
        <v>560</v>
      </c>
    </row>
    <row r="14" spans="1:13" x14ac:dyDescent="0.25">
      <c r="A14" s="9" t="s">
        <v>414</v>
      </c>
      <c r="B14" s="9"/>
      <c r="C14" s="9"/>
      <c r="D14" s="9"/>
      <c r="E14" s="9"/>
      <c r="F14" s="9"/>
      <c r="G14" s="9"/>
      <c r="H14" s="9"/>
      <c r="I14" s="120">
        <f>SUM(I15:I18)</f>
        <v>-3202.2606144035012</v>
      </c>
      <c r="J14" s="129">
        <v>3215</v>
      </c>
      <c r="K14" s="38">
        <f>J14+I14</f>
        <v>12.739385596498778</v>
      </c>
      <c r="L14" s="9"/>
    </row>
    <row r="15" spans="1:13" x14ac:dyDescent="0.25">
      <c r="A15" s="3" t="s">
        <v>500</v>
      </c>
      <c r="B15" s="3">
        <v>3</v>
      </c>
      <c r="C15" s="3">
        <v>567</v>
      </c>
      <c r="D15" s="3">
        <f t="shared" si="0"/>
        <v>170.10000000000002</v>
      </c>
      <c r="E15" s="3">
        <f>0.03*3</f>
        <v>0.09</v>
      </c>
      <c r="F15" s="3">
        <f>E15/$E$94*$F$94</f>
        <v>147.06323269271121</v>
      </c>
      <c r="G15" s="3">
        <f t="shared" si="1"/>
        <v>511.75367908254128</v>
      </c>
      <c r="H15" s="122"/>
      <c r="I15" s="123">
        <f t="shared" si="2"/>
        <v>-511.75367908254128</v>
      </c>
      <c r="J15" s="6"/>
      <c r="K15" s="3"/>
      <c r="L15" s="3"/>
    </row>
    <row r="16" spans="1:13" x14ac:dyDescent="0.25">
      <c r="A16" s="3" t="s">
        <v>501</v>
      </c>
      <c r="B16" s="3">
        <v>1</v>
      </c>
      <c r="C16" s="3">
        <v>100</v>
      </c>
      <c r="D16" s="3">
        <f t="shared" si="0"/>
        <v>10</v>
      </c>
      <c r="E16" s="3">
        <v>0.03</v>
      </c>
      <c r="F16" s="3">
        <f>E16/$E$94*$F$94</f>
        <v>49.021077564237061</v>
      </c>
      <c r="G16" s="3">
        <f t="shared" si="1"/>
        <v>92.041399694180399</v>
      </c>
      <c r="H16" s="122"/>
      <c r="I16" s="123">
        <f t="shared" si="2"/>
        <v>-92.041399694180399</v>
      </c>
      <c r="J16" s="6"/>
      <c r="K16" s="3"/>
      <c r="L16" s="3"/>
    </row>
    <row r="17" spans="1:12" x14ac:dyDescent="0.25">
      <c r="A17" s="3" t="s">
        <v>571</v>
      </c>
      <c r="B17" s="3">
        <v>1</v>
      </c>
      <c r="C17" s="3">
        <v>1722</v>
      </c>
      <c r="D17" s="3">
        <f t="shared" si="0"/>
        <v>172.20000000000002</v>
      </c>
      <c r="E17" s="3">
        <f>0.09*1.3</f>
        <v>0.11699999999999999</v>
      </c>
      <c r="F17" s="3">
        <f>E17/$E$94*$F$94</f>
        <v>191.18220250052457</v>
      </c>
      <c r="G17" s="3">
        <f t="shared" si="1"/>
        <v>1207.0192188073036</v>
      </c>
      <c r="H17" s="122"/>
      <c r="I17" s="123">
        <f t="shared" si="2"/>
        <v>-1207.0192188073036</v>
      </c>
      <c r="J17" s="6"/>
      <c r="K17" s="3"/>
      <c r="L17" s="3"/>
    </row>
    <row r="18" spans="1:12" x14ac:dyDescent="0.25">
      <c r="A18" s="132" t="s">
        <v>611</v>
      </c>
      <c r="B18" s="132">
        <v>1</v>
      </c>
      <c r="C18" s="3">
        <v>1722</v>
      </c>
      <c r="D18" s="3">
        <f t="shared" si="0"/>
        <v>172.20000000000002</v>
      </c>
      <c r="E18" s="3">
        <f>0.24*1.3</f>
        <v>0.312</v>
      </c>
      <c r="F18" s="3">
        <f>E18/$E$94*$F$94</f>
        <v>509.81920666806548</v>
      </c>
      <c r="G18" s="3">
        <f t="shared" si="1"/>
        <v>1391.4463168194761</v>
      </c>
      <c r="H18" s="122"/>
      <c r="I18" s="123">
        <f t="shared" si="2"/>
        <v>-1391.4463168194761</v>
      </c>
      <c r="J18" s="6"/>
      <c r="K18" s="3"/>
      <c r="L18" s="3"/>
    </row>
    <row r="19" spans="1:12" x14ac:dyDescent="0.25">
      <c r="A19" s="9" t="s">
        <v>530</v>
      </c>
      <c r="B19" s="9"/>
      <c r="C19" s="9"/>
      <c r="D19" s="9"/>
      <c r="E19" s="9"/>
      <c r="F19" s="9"/>
      <c r="G19" s="9"/>
      <c r="H19" s="9"/>
      <c r="I19" s="120">
        <f>I20</f>
        <v>-1821.7262368194761</v>
      </c>
      <c r="J19" s="129">
        <v>1829</v>
      </c>
      <c r="K19" s="38">
        <f>J19+I19</f>
        <v>7.2737631805239289</v>
      </c>
      <c r="L19" s="9"/>
    </row>
    <row r="20" spans="1:12" x14ac:dyDescent="0.25">
      <c r="A20" s="98" t="s">
        <v>572</v>
      </c>
      <c r="B20" s="132">
        <v>2</v>
      </c>
      <c r="C20" s="3">
        <v>2198</v>
      </c>
      <c r="D20" s="3">
        <f t="shared" si="0"/>
        <v>439.6</v>
      </c>
      <c r="E20" s="26">
        <f>0.12*1.3*B20</f>
        <v>0.312</v>
      </c>
      <c r="F20" s="3">
        <f>E20/$E$94*$F$94</f>
        <v>509.81920666806548</v>
      </c>
      <c r="G20" s="3">
        <f t="shared" si="1"/>
        <v>1821.7262368194761</v>
      </c>
      <c r="H20" s="122"/>
      <c r="I20" s="123">
        <f t="shared" si="2"/>
        <v>-1821.7262368194761</v>
      </c>
      <c r="J20" s="6"/>
      <c r="K20" s="3"/>
      <c r="L20" s="3"/>
    </row>
    <row r="21" spans="1:12" x14ac:dyDescent="0.25">
      <c r="A21" s="9" t="s">
        <v>573</v>
      </c>
      <c r="B21" s="9"/>
      <c r="C21" s="9"/>
      <c r="D21" s="9"/>
      <c r="E21" s="9"/>
      <c r="F21" s="9"/>
      <c r="G21" s="9"/>
      <c r="H21" s="9"/>
      <c r="I21" s="120">
        <f>I22</f>
        <v>-1215.2120180121728</v>
      </c>
      <c r="J21" s="129">
        <v>1220</v>
      </c>
      <c r="K21" s="38">
        <f>J21+I21</f>
        <v>4.7879819878271519</v>
      </c>
      <c r="L21" s="9"/>
    </row>
    <row r="22" spans="1:12" x14ac:dyDescent="0.25">
      <c r="A22" s="98" t="s">
        <v>574</v>
      </c>
      <c r="B22" s="3">
        <v>1</v>
      </c>
      <c r="C22" s="3">
        <v>1619</v>
      </c>
      <c r="D22" s="3">
        <f t="shared" si="0"/>
        <v>161.9</v>
      </c>
      <c r="E22" s="3">
        <f>0.15*1.3</f>
        <v>0.19500000000000001</v>
      </c>
      <c r="F22" s="3">
        <f>E22/$E$94*$F$94</f>
        <v>318.63700416754097</v>
      </c>
      <c r="G22" s="3">
        <f t="shared" si="1"/>
        <v>1215.2120180121728</v>
      </c>
      <c r="H22" s="122"/>
      <c r="I22" s="123">
        <f t="shared" si="2"/>
        <v>-1215.2120180121728</v>
      </c>
      <c r="J22" s="6"/>
      <c r="K22" s="3"/>
      <c r="L22" s="3"/>
    </row>
    <row r="23" spans="1:12" x14ac:dyDescent="0.25">
      <c r="A23" s="9" t="s">
        <v>575</v>
      </c>
      <c r="B23" s="9"/>
      <c r="C23" s="9"/>
      <c r="D23" s="9"/>
      <c r="E23" s="9"/>
      <c r="F23" s="9"/>
      <c r="G23" s="9"/>
      <c r="H23" s="9"/>
      <c r="I23" s="120">
        <f>SUM(I24:I26)</f>
        <v>-1642.7331741384578</v>
      </c>
      <c r="J23" s="129">
        <f>1436+240</f>
        <v>1676</v>
      </c>
      <c r="K23" s="38">
        <f>J23+I23-L24-L25-L26</f>
        <v>0.26682586154220189</v>
      </c>
      <c r="L23" s="9"/>
    </row>
    <row r="24" spans="1:12" x14ac:dyDescent="0.25">
      <c r="A24" s="3" t="s">
        <v>576</v>
      </c>
      <c r="B24" s="131">
        <v>1</v>
      </c>
      <c r="C24" s="3">
        <v>1058.7</v>
      </c>
      <c r="D24" s="3">
        <f t="shared" si="0"/>
        <v>105.87</v>
      </c>
      <c r="E24" s="3">
        <f>0.3*1.15</f>
        <v>0.34499999999999997</v>
      </c>
      <c r="F24" s="3">
        <f>E24/$E$94*$F$94</f>
        <v>563.74239198872624</v>
      </c>
      <c r="G24" s="3">
        <f t="shared" si="1"/>
        <v>1000.3472124830748</v>
      </c>
      <c r="H24" s="122"/>
      <c r="I24" s="123">
        <f t="shared" si="2"/>
        <v>-1000.3472124830748</v>
      </c>
      <c r="J24" s="6"/>
      <c r="K24" s="3"/>
      <c r="L24" s="3">
        <v>11</v>
      </c>
    </row>
    <row r="25" spans="1:12" x14ac:dyDescent="0.25">
      <c r="A25" s="3" t="s">
        <v>577</v>
      </c>
      <c r="B25" s="131">
        <v>1</v>
      </c>
      <c r="C25" s="3">
        <v>352.9</v>
      </c>
      <c r="D25" s="3">
        <f t="shared" si="0"/>
        <v>35.29</v>
      </c>
      <c r="E25" s="3">
        <f>0.1*1.15</f>
        <v>0.11499999999999999</v>
      </c>
      <c r="F25" s="3">
        <f>E25/$E$94*$F$94</f>
        <v>187.91413066290872</v>
      </c>
      <c r="G25" s="3">
        <f t="shared" si="1"/>
        <v>333.44907082769151</v>
      </c>
      <c r="H25" s="122"/>
      <c r="I25" s="123">
        <f t="shared" si="2"/>
        <v>-333.44907082769151</v>
      </c>
      <c r="J25" s="6"/>
      <c r="K25" s="3"/>
      <c r="L25" s="3">
        <v>11</v>
      </c>
    </row>
    <row r="26" spans="1:12" x14ac:dyDescent="0.25">
      <c r="A26" s="3" t="s">
        <v>543</v>
      </c>
      <c r="B26" s="131">
        <v>1</v>
      </c>
      <c r="C26" s="3">
        <v>314.40000000000003</v>
      </c>
      <c r="D26" s="3">
        <f t="shared" si="0"/>
        <v>31.440000000000005</v>
      </c>
      <c r="E26" s="3">
        <f>0.1*1.15</f>
        <v>0.11499999999999999</v>
      </c>
      <c r="F26" s="3">
        <f>E26/$E$94*$F$94</f>
        <v>187.91413066290872</v>
      </c>
      <c r="G26" s="3">
        <f t="shared" si="1"/>
        <v>308.93689082769157</v>
      </c>
      <c r="H26" s="122"/>
      <c r="I26" s="123">
        <f t="shared" si="2"/>
        <v>-308.93689082769157</v>
      </c>
      <c r="J26" s="6"/>
      <c r="K26" s="3"/>
      <c r="L26" s="3">
        <v>11</v>
      </c>
    </row>
    <row r="27" spans="1:12" x14ac:dyDescent="0.25">
      <c r="A27" s="9" t="s">
        <v>578</v>
      </c>
      <c r="B27" s="9"/>
      <c r="C27" s="9"/>
      <c r="D27" s="9"/>
      <c r="E27" s="9"/>
      <c r="F27" s="9"/>
      <c r="G27" s="9"/>
      <c r="H27" s="9"/>
      <c r="I27" s="120">
        <f>I28</f>
        <v>-666.89814165538303</v>
      </c>
      <c r="J27" s="129">
        <v>685</v>
      </c>
      <c r="K27" s="38">
        <f>J27+I27-L28</f>
        <v>7.1018583446169714</v>
      </c>
      <c r="L27" s="9"/>
    </row>
    <row r="28" spans="1:12" x14ac:dyDescent="0.25">
      <c r="A28" s="3" t="s">
        <v>579</v>
      </c>
      <c r="B28" s="131">
        <v>1</v>
      </c>
      <c r="C28" s="3">
        <v>705.8</v>
      </c>
      <c r="D28" s="3">
        <f t="shared" si="0"/>
        <v>70.58</v>
      </c>
      <c r="E28" s="3">
        <f>0.2*1.15</f>
        <v>0.22999999999999998</v>
      </c>
      <c r="F28" s="3">
        <f>E28/$E$94*$F$94</f>
        <v>375.82826132581744</v>
      </c>
      <c r="G28" s="3">
        <f t="shared" si="1"/>
        <v>666.89814165538303</v>
      </c>
      <c r="H28" s="122"/>
      <c r="I28" s="123">
        <f t="shared" si="2"/>
        <v>-666.89814165538303</v>
      </c>
      <c r="J28" s="6"/>
      <c r="K28" s="3"/>
      <c r="L28" s="3">
        <v>11</v>
      </c>
    </row>
    <row r="29" spans="1:12" x14ac:dyDescent="0.25">
      <c r="A29" s="9" t="s">
        <v>580</v>
      </c>
      <c r="B29" s="9"/>
      <c r="C29" s="9"/>
      <c r="D29" s="9"/>
      <c r="E29" s="9"/>
      <c r="F29" s="9"/>
      <c r="G29" s="9"/>
      <c r="H29" s="9"/>
      <c r="I29" s="120">
        <f>SUM(I30:I32)</f>
        <v>-1063.8598803107661</v>
      </c>
      <c r="J29" s="129">
        <f>1057+40</f>
        <v>1097</v>
      </c>
      <c r="K29" s="38">
        <f>J29+I29-L30-L31-L32</f>
        <v>0.1401196892338703</v>
      </c>
      <c r="L29" s="9"/>
    </row>
    <row r="30" spans="1:12" x14ac:dyDescent="0.25">
      <c r="A30" s="3" t="s">
        <v>543</v>
      </c>
      <c r="B30" s="131">
        <v>1</v>
      </c>
      <c r="C30" s="3">
        <v>314.40000000000003</v>
      </c>
      <c r="D30" s="3">
        <f t="shared" si="0"/>
        <v>31.440000000000005</v>
      </c>
      <c r="E30" s="3">
        <f>0.1*1.15</f>
        <v>0.11499999999999999</v>
      </c>
      <c r="F30" s="3">
        <f>E30/$E$94*$F$94</f>
        <v>187.91413066290872</v>
      </c>
      <c r="G30" s="3">
        <f t="shared" si="1"/>
        <v>308.93689082769157</v>
      </c>
      <c r="H30" s="122"/>
      <c r="I30" s="123">
        <f t="shared" si="2"/>
        <v>-308.93689082769157</v>
      </c>
      <c r="J30" s="6"/>
      <c r="K30" s="3"/>
      <c r="L30" s="3">
        <v>11</v>
      </c>
    </row>
    <row r="31" spans="1:12" x14ac:dyDescent="0.25">
      <c r="A31" s="3" t="s">
        <v>542</v>
      </c>
      <c r="B31" s="131">
        <v>1</v>
      </c>
      <c r="C31" s="3">
        <v>291.59999999999997</v>
      </c>
      <c r="D31" s="3">
        <f t="shared" si="0"/>
        <v>29.159999999999997</v>
      </c>
      <c r="E31" s="3">
        <f>0.1*1.15</f>
        <v>0.11499999999999999</v>
      </c>
      <c r="F31" s="3">
        <f>E31/$E$94*$F$94</f>
        <v>187.91413066290872</v>
      </c>
      <c r="G31" s="3">
        <f t="shared" si="1"/>
        <v>294.42058682769152</v>
      </c>
      <c r="H31" s="122"/>
      <c r="I31" s="123">
        <f t="shared" si="2"/>
        <v>-294.42058682769152</v>
      </c>
      <c r="J31" s="6"/>
      <c r="K31" s="3"/>
      <c r="L31" s="3">
        <v>11</v>
      </c>
    </row>
    <row r="32" spans="1:12" x14ac:dyDescent="0.25">
      <c r="A32" s="3" t="s">
        <v>581</v>
      </c>
      <c r="B32" s="131">
        <v>1</v>
      </c>
      <c r="C32" s="3">
        <v>381.625</v>
      </c>
      <c r="D32" s="3">
        <f t="shared" si="0"/>
        <v>38.162500000000001</v>
      </c>
      <c r="E32" s="3">
        <f>0.2*1.15</f>
        <v>0.22999999999999998</v>
      </c>
      <c r="F32" s="3">
        <f>E32/$E$94*$F$94</f>
        <v>375.82826132581744</v>
      </c>
      <c r="G32" s="3">
        <f t="shared" si="1"/>
        <v>460.50240265538309</v>
      </c>
      <c r="H32" s="122"/>
      <c r="I32" s="123">
        <f t="shared" si="2"/>
        <v>-460.50240265538309</v>
      </c>
      <c r="J32" s="6"/>
      <c r="K32" s="3"/>
      <c r="L32" s="3">
        <v>11</v>
      </c>
    </row>
    <row r="33" spans="1:13" x14ac:dyDescent="0.25">
      <c r="A33" s="9" t="s">
        <v>442</v>
      </c>
      <c r="B33" s="9"/>
      <c r="C33" s="9"/>
      <c r="D33" s="9"/>
      <c r="E33" s="9"/>
      <c r="F33" s="9"/>
      <c r="G33" s="9"/>
      <c r="H33" s="9"/>
      <c r="I33" s="120">
        <f>I34+I35</f>
        <v>-559.93590165538308</v>
      </c>
      <c r="J33" s="129">
        <f>566+25</f>
        <v>591</v>
      </c>
      <c r="K33" s="38">
        <f>J33+I33-L34-L35</f>
        <v>9.064098344616923</v>
      </c>
      <c r="L33" s="9"/>
    </row>
    <row r="34" spans="1:13" x14ac:dyDescent="0.25">
      <c r="A34" s="3" t="s">
        <v>543</v>
      </c>
      <c r="B34" s="131">
        <v>1</v>
      </c>
      <c r="C34" s="3">
        <v>314.40000000000003</v>
      </c>
      <c r="D34" s="3">
        <f t="shared" si="0"/>
        <v>31.440000000000005</v>
      </c>
      <c r="E34" s="3">
        <f>0.1*1.15</f>
        <v>0.11499999999999999</v>
      </c>
      <c r="F34" s="3">
        <f>E34/$E$94*$F$94</f>
        <v>187.91413066290872</v>
      </c>
      <c r="G34" s="3">
        <f t="shared" si="1"/>
        <v>308.93689082769157</v>
      </c>
      <c r="H34" s="122"/>
      <c r="I34" s="123">
        <f t="shared" si="2"/>
        <v>-308.93689082769157</v>
      </c>
      <c r="J34" s="6"/>
      <c r="K34" s="3"/>
      <c r="L34" s="3">
        <v>11</v>
      </c>
    </row>
    <row r="35" spans="1:13" x14ac:dyDescent="0.25">
      <c r="A35" s="3" t="s">
        <v>582</v>
      </c>
      <c r="B35" s="131">
        <v>1</v>
      </c>
      <c r="C35" s="3">
        <v>223.4</v>
      </c>
      <c r="D35" s="3">
        <f t="shared" si="0"/>
        <v>22.340000000000003</v>
      </c>
      <c r="E35" s="3">
        <f>0.1*1.15</f>
        <v>0.11499999999999999</v>
      </c>
      <c r="F35" s="3">
        <f>E35/$E$94*$F$94</f>
        <v>187.91413066290872</v>
      </c>
      <c r="G35" s="3">
        <f t="shared" si="1"/>
        <v>250.99901082769156</v>
      </c>
      <c r="H35" s="122"/>
      <c r="I35" s="123">
        <f t="shared" si="2"/>
        <v>-250.99901082769156</v>
      </c>
      <c r="J35" s="6"/>
      <c r="K35" s="3"/>
      <c r="L35" s="3">
        <v>11</v>
      </c>
    </row>
    <row r="36" spans="1:13" x14ac:dyDescent="0.25">
      <c r="A36" s="9" t="s">
        <v>583</v>
      </c>
      <c r="B36" s="9"/>
      <c r="C36" s="9"/>
      <c r="D36" s="9"/>
      <c r="E36" s="9"/>
      <c r="F36" s="9"/>
      <c r="G36" s="9"/>
      <c r="H36" s="9"/>
      <c r="I36" s="120">
        <f>SUM(I37:I39)</f>
        <v>-898.03273648307459</v>
      </c>
      <c r="J36" s="129">
        <f>894+37</f>
        <v>931</v>
      </c>
      <c r="K36" s="38">
        <f>J36+I36-L37-L38-L39</f>
        <v>-3.2736483074586431E-2</v>
      </c>
      <c r="L36" s="9"/>
    </row>
    <row r="37" spans="1:13" x14ac:dyDescent="0.25">
      <c r="A37" s="3" t="s">
        <v>543</v>
      </c>
      <c r="B37" s="131">
        <v>1</v>
      </c>
      <c r="C37" s="3">
        <v>314.40000000000003</v>
      </c>
      <c r="D37" s="3">
        <f t="shared" si="0"/>
        <v>31.440000000000005</v>
      </c>
      <c r="E37" s="3">
        <f>0.1*1.15</f>
        <v>0.11499999999999999</v>
      </c>
      <c r="F37" s="3">
        <f>E37/$E$94*$F$94</f>
        <v>187.91413066290872</v>
      </c>
      <c r="G37" s="3">
        <f t="shared" si="1"/>
        <v>308.93689082769157</v>
      </c>
      <c r="H37" s="122"/>
      <c r="I37" s="123">
        <f t="shared" si="2"/>
        <v>-308.93689082769157</v>
      </c>
      <c r="J37" s="6"/>
      <c r="K37" s="3"/>
      <c r="L37" s="3">
        <v>11</v>
      </c>
    </row>
    <row r="38" spans="1:13" x14ac:dyDescent="0.25">
      <c r="A38" s="3" t="s">
        <v>541</v>
      </c>
      <c r="B38" s="131">
        <v>1</v>
      </c>
      <c r="C38" s="3">
        <v>292</v>
      </c>
      <c r="D38" s="3">
        <f t="shared" si="0"/>
        <v>29.200000000000003</v>
      </c>
      <c r="E38" s="3">
        <f>0.1*1.15</f>
        <v>0.11499999999999999</v>
      </c>
      <c r="F38" s="3">
        <f>E38/$E$94*$F$94</f>
        <v>187.91413066290872</v>
      </c>
      <c r="G38" s="3">
        <f t="shared" si="1"/>
        <v>294.67525882769155</v>
      </c>
      <c r="H38" s="122"/>
      <c r="I38" s="123">
        <f t="shared" si="2"/>
        <v>-294.67525882769155</v>
      </c>
      <c r="J38" s="6"/>
      <c r="K38" s="3"/>
      <c r="L38" s="3">
        <v>11</v>
      </c>
    </row>
    <row r="39" spans="1:13" x14ac:dyDescent="0.25">
      <c r="A39" s="3" t="s">
        <v>542</v>
      </c>
      <c r="B39" s="131">
        <v>1</v>
      </c>
      <c r="C39" s="3">
        <v>291.59999999999997</v>
      </c>
      <c r="D39" s="3">
        <f t="shared" si="0"/>
        <v>29.159999999999997</v>
      </c>
      <c r="E39" s="3">
        <f>0.1*1.15</f>
        <v>0.11499999999999999</v>
      </c>
      <c r="F39" s="3">
        <f>E39/$E$94*$F$94</f>
        <v>187.91413066290872</v>
      </c>
      <c r="G39" s="3">
        <f t="shared" si="1"/>
        <v>294.42058682769152</v>
      </c>
      <c r="H39" s="122"/>
      <c r="I39" s="123">
        <f t="shared" si="2"/>
        <v>-294.42058682769152</v>
      </c>
      <c r="J39" s="6"/>
      <c r="K39" s="3"/>
      <c r="L39" s="3">
        <v>11</v>
      </c>
    </row>
    <row r="40" spans="1:13" x14ac:dyDescent="0.25">
      <c r="A40" s="9" t="s">
        <v>584</v>
      </c>
      <c r="B40" s="9"/>
      <c r="C40" s="9"/>
      <c r="D40" s="9"/>
      <c r="E40" s="9"/>
      <c r="F40" s="9"/>
      <c r="G40" s="9"/>
      <c r="H40" s="9"/>
      <c r="I40" s="120">
        <f>I41</f>
        <v>-308.93689082769157</v>
      </c>
      <c r="J40" s="129">
        <f>308+12</f>
        <v>320</v>
      </c>
      <c r="K40" s="38">
        <f>J40+I40-L41</f>
        <v>6.3109172308429606E-2</v>
      </c>
      <c r="L40" s="9"/>
    </row>
    <row r="41" spans="1:13" x14ac:dyDescent="0.25">
      <c r="A41" s="3" t="s">
        <v>543</v>
      </c>
      <c r="B41" s="131">
        <v>1</v>
      </c>
      <c r="C41" s="3">
        <v>314.40000000000003</v>
      </c>
      <c r="D41" s="3">
        <f t="shared" si="0"/>
        <v>31.440000000000005</v>
      </c>
      <c r="E41" s="3">
        <f>0.1*1.15</f>
        <v>0.11499999999999999</v>
      </c>
      <c r="F41" s="3">
        <f>E41/$E$94*$F$94</f>
        <v>187.91413066290872</v>
      </c>
      <c r="G41" s="3">
        <f t="shared" si="1"/>
        <v>308.93689082769157</v>
      </c>
      <c r="H41" s="122"/>
      <c r="I41" s="123">
        <f t="shared" si="2"/>
        <v>-308.93689082769157</v>
      </c>
      <c r="J41" s="6"/>
      <c r="K41" s="3"/>
      <c r="L41" s="3">
        <v>11</v>
      </c>
    </row>
    <row r="42" spans="1:13" x14ac:dyDescent="0.25">
      <c r="A42" s="9" t="s">
        <v>586</v>
      </c>
      <c r="B42" s="9"/>
      <c r="C42" s="9"/>
      <c r="D42" s="9"/>
      <c r="E42" s="9"/>
      <c r="F42" s="9"/>
      <c r="G42" s="9"/>
      <c r="H42" s="9"/>
      <c r="I42" s="120">
        <f>SUM(I43:I46)</f>
        <v>-2127.7197606215323</v>
      </c>
      <c r="J42" s="129">
        <f>2098+15+36</f>
        <v>2149</v>
      </c>
      <c r="K42" s="38">
        <f>J42+I42-L44-L45</f>
        <v>-0.71976062153225939</v>
      </c>
      <c r="L42" s="9"/>
    </row>
    <row r="43" spans="1:13" x14ac:dyDescent="0.25">
      <c r="A43" s="3" t="s">
        <v>587</v>
      </c>
      <c r="B43" s="131">
        <v>1</v>
      </c>
      <c r="C43" s="3">
        <v>628.80000000000007</v>
      </c>
      <c r="D43" s="3">
        <f t="shared" si="0"/>
        <v>62.88000000000001</v>
      </c>
      <c r="E43" s="3">
        <f>0.2*1.15</f>
        <v>0.22999999999999998</v>
      </c>
      <c r="F43" s="3">
        <f>E43/$E$94*$F$94</f>
        <v>375.82826132581744</v>
      </c>
      <c r="G43" s="3">
        <f t="shared" si="1"/>
        <v>617.87378165538314</v>
      </c>
      <c r="H43" s="122"/>
      <c r="I43" s="123">
        <f t="shared" si="2"/>
        <v>-617.87378165538314</v>
      </c>
      <c r="J43" s="6"/>
      <c r="K43" s="3"/>
      <c r="L43" s="3"/>
      <c r="M43" t="s">
        <v>560</v>
      </c>
    </row>
    <row r="44" spans="1:13" x14ac:dyDescent="0.25">
      <c r="A44" s="3" t="s">
        <v>542</v>
      </c>
      <c r="B44" s="131">
        <v>1</v>
      </c>
      <c r="C44" s="3">
        <v>291.59999999999997</v>
      </c>
      <c r="D44" s="3">
        <f t="shared" si="0"/>
        <v>29.159999999999997</v>
      </c>
      <c r="E44" s="3">
        <f>0.1*1.15</f>
        <v>0.11499999999999999</v>
      </c>
      <c r="F44" s="3">
        <f>E44/$E$94*$F$94</f>
        <v>187.91413066290872</v>
      </c>
      <c r="G44" s="3">
        <f t="shared" si="1"/>
        <v>294.42058682769152</v>
      </c>
      <c r="H44" s="122"/>
      <c r="I44" s="123">
        <f t="shared" si="2"/>
        <v>-294.42058682769152</v>
      </c>
      <c r="J44" s="6"/>
      <c r="K44" s="3"/>
      <c r="L44" s="3">
        <v>11</v>
      </c>
    </row>
    <row r="45" spans="1:13" x14ac:dyDescent="0.25">
      <c r="A45" s="3" t="s">
        <v>542</v>
      </c>
      <c r="B45" s="131">
        <v>1</v>
      </c>
      <c r="C45" s="3">
        <v>291.59999999999997</v>
      </c>
      <c r="D45" s="3">
        <f t="shared" si="0"/>
        <v>29.159999999999997</v>
      </c>
      <c r="E45" s="3">
        <f>0.1*1.15</f>
        <v>0.11499999999999999</v>
      </c>
      <c r="F45" s="3">
        <f>E45/$E$94*$F$94</f>
        <v>187.91413066290872</v>
      </c>
      <c r="G45" s="3">
        <f t="shared" si="1"/>
        <v>294.42058682769152</v>
      </c>
      <c r="H45" s="122"/>
      <c r="I45" s="123">
        <f t="shared" si="2"/>
        <v>-294.42058682769152</v>
      </c>
      <c r="J45" s="6"/>
      <c r="K45" s="3"/>
      <c r="L45" s="3">
        <v>11</v>
      </c>
    </row>
    <row r="46" spans="1:13" x14ac:dyDescent="0.25">
      <c r="A46" s="3" t="s">
        <v>588</v>
      </c>
      <c r="B46" s="131">
        <v>1</v>
      </c>
      <c r="C46" s="100">
        <f>3053/1600*400</f>
        <v>763.25</v>
      </c>
      <c r="D46" s="3">
        <f t="shared" si="0"/>
        <v>76.325000000000003</v>
      </c>
      <c r="E46" s="3">
        <f>0.4*1.15</f>
        <v>0.45999999999999996</v>
      </c>
      <c r="F46" s="3">
        <f>E46/$E$94*$F$94</f>
        <v>751.65652265163487</v>
      </c>
      <c r="G46" s="3">
        <f>(C46)*$B$1+D46*$B$1+F46*$B$1</f>
        <v>921.00480531076619</v>
      </c>
      <c r="H46" s="122"/>
      <c r="I46" s="123">
        <f t="shared" si="2"/>
        <v>-921.00480531076619</v>
      </c>
      <c r="J46" s="6"/>
      <c r="K46" s="3"/>
      <c r="L46" s="3"/>
      <c r="M46" t="s">
        <v>560</v>
      </c>
    </row>
    <row r="47" spans="1:13" x14ac:dyDescent="0.25">
      <c r="A47" s="9" t="s">
        <v>589</v>
      </c>
      <c r="B47" s="9"/>
      <c r="C47" s="9"/>
      <c r="D47" s="9"/>
      <c r="E47" s="9"/>
      <c r="F47" s="9"/>
      <c r="G47" s="9"/>
      <c r="H47" s="9"/>
      <c r="I47" s="120">
        <f>SUM(I48:I49)</f>
        <v>-2814.7490694492244</v>
      </c>
      <c r="J47" s="129">
        <f>2803+23</f>
        <v>2826</v>
      </c>
      <c r="K47" s="38">
        <f>J47+I47-L48</f>
        <v>0.25093055077559256</v>
      </c>
      <c r="L47" s="9"/>
    </row>
    <row r="48" spans="1:13" x14ac:dyDescent="0.25">
      <c r="A48" s="3" t="s">
        <v>587</v>
      </c>
      <c r="B48" s="131">
        <v>1</v>
      </c>
      <c r="C48" s="3">
        <v>628.80000000000007</v>
      </c>
      <c r="D48" s="3">
        <f t="shared" si="0"/>
        <v>62.88000000000001</v>
      </c>
      <c r="E48" s="3">
        <f>0.2*1.15</f>
        <v>0.22999999999999998</v>
      </c>
      <c r="F48" s="3">
        <f>E48/$E$94*$F$94</f>
        <v>375.82826132581744</v>
      </c>
      <c r="G48" s="3">
        <f t="shared" si="1"/>
        <v>617.87378165538314</v>
      </c>
      <c r="H48" s="122"/>
      <c r="I48" s="123">
        <f t="shared" si="2"/>
        <v>-617.87378165538314</v>
      </c>
      <c r="J48" s="6"/>
      <c r="K48" s="3"/>
      <c r="L48" s="3">
        <v>11</v>
      </c>
    </row>
    <row r="49" spans="1:13" x14ac:dyDescent="0.25">
      <c r="A49" s="3" t="s">
        <v>590</v>
      </c>
      <c r="B49" s="131">
        <v>1</v>
      </c>
      <c r="C49" s="3">
        <v>2254.7000000000003</v>
      </c>
      <c r="D49" s="3">
        <f t="shared" si="0"/>
        <v>225.47000000000003</v>
      </c>
      <c r="E49" s="3">
        <f>0.7*1.15</f>
        <v>0.80499999999999994</v>
      </c>
      <c r="F49" s="3">
        <f>E49/$E$94*$F$94</f>
        <v>1315.3989146403612</v>
      </c>
      <c r="G49" s="3">
        <f t="shared" si="1"/>
        <v>2196.8752877938414</v>
      </c>
      <c r="H49" s="122"/>
      <c r="I49" s="123">
        <f t="shared" si="2"/>
        <v>-2196.8752877938414</v>
      </c>
      <c r="J49" s="6"/>
      <c r="K49" s="3"/>
      <c r="L49" s="3"/>
      <c r="M49" t="s">
        <v>560</v>
      </c>
    </row>
    <row r="50" spans="1:13" x14ac:dyDescent="0.25">
      <c r="A50" s="9" t="s">
        <v>591</v>
      </c>
      <c r="B50" s="9"/>
      <c r="C50" s="9"/>
      <c r="D50" s="9"/>
      <c r="E50" s="9"/>
      <c r="F50" s="9"/>
      <c r="G50" s="9"/>
      <c r="H50" s="9"/>
      <c r="I50" s="120">
        <f>I51</f>
        <v>-1178.7010353107662</v>
      </c>
      <c r="J50" s="129">
        <f>1173+5</f>
        <v>1178</v>
      </c>
      <c r="K50" s="38">
        <f>J50+I50</f>
        <v>-0.70103531076620129</v>
      </c>
      <c r="L50" s="9"/>
    </row>
    <row r="51" spans="1:13" x14ac:dyDescent="0.25">
      <c r="A51" s="3" t="s">
        <v>544</v>
      </c>
      <c r="B51" s="131">
        <v>1</v>
      </c>
      <c r="C51" s="3">
        <v>1168</v>
      </c>
      <c r="D51" s="3">
        <f t="shared" si="0"/>
        <v>116.80000000000001</v>
      </c>
      <c r="E51" s="3">
        <f>0.4*1.15</f>
        <v>0.45999999999999996</v>
      </c>
      <c r="F51" s="3">
        <f>E51/$E$94*$F$94</f>
        <v>751.65652265163487</v>
      </c>
      <c r="G51" s="3">
        <f t="shared" si="1"/>
        <v>1178.7010353107662</v>
      </c>
      <c r="H51" s="122"/>
      <c r="I51" s="123">
        <f t="shared" si="2"/>
        <v>-1178.7010353107662</v>
      </c>
      <c r="J51" s="6"/>
      <c r="K51" s="3"/>
      <c r="L51" s="3"/>
      <c r="M51" t="s">
        <v>560</v>
      </c>
    </row>
    <row r="52" spans="1:13" x14ac:dyDescent="0.25">
      <c r="A52" s="9" t="s">
        <v>68</v>
      </c>
      <c r="B52" s="9"/>
      <c r="C52" s="9"/>
      <c r="D52" s="9"/>
      <c r="E52" s="9"/>
      <c r="F52" s="9"/>
      <c r="G52" s="9"/>
      <c r="H52" s="9"/>
      <c r="I52" s="120">
        <f>I53</f>
        <v>-884.02577648307465</v>
      </c>
      <c r="J52" s="129">
        <f>880+8</f>
        <v>888</v>
      </c>
      <c r="K52" s="38">
        <f>J52+I52-L53</f>
        <v>-7.025776483074651</v>
      </c>
      <c r="L52" s="9"/>
    </row>
    <row r="53" spans="1:13" x14ac:dyDescent="0.25">
      <c r="A53" s="3" t="s">
        <v>537</v>
      </c>
      <c r="B53" s="131">
        <v>1</v>
      </c>
      <c r="C53" s="3">
        <v>876</v>
      </c>
      <c r="D53" s="3">
        <f t="shared" si="0"/>
        <v>87.600000000000009</v>
      </c>
      <c r="E53" s="3">
        <f>0.3*1.15</f>
        <v>0.34499999999999997</v>
      </c>
      <c r="F53" s="3">
        <f>E53/$E$94*$F$94</f>
        <v>563.74239198872624</v>
      </c>
      <c r="G53" s="3">
        <f t="shared" si="1"/>
        <v>884.02577648307465</v>
      </c>
      <c r="H53" s="122"/>
      <c r="I53" s="123">
        <f t="shared" si="2"/>
        <v>-884.02577648307465</v>
      </c>
      <c r="J53" s="6"/>
      <c r="K53" s="3"/>
      <c r="L53" s="3">
        <v>11</v>
      </c>
    </row>
    <row r="54" spans="1:13" x14ac:dyDescent="0.25">
      <c r="A54" s="9" t="s">
        <v>436</v>
      </c>
      <c r="B54" s="9"/>
      <c r="C54" s="9"/>
      <c r="D54" s="9"/>
      <c r="E54" s="9"/>
      <c r="F54" s="9"/>
      <c r="G54" s="9"/>
      <c r="H54" s="9"/>
      <c r="I54" s="120">
        <f>I55+I56</f>
        <v>-1049.8529203107662</v>
      </c>
      <c r="J54" s="129">
        <f>891+168</f>
        <v>1059</v>
      </c>
      <c r="K54" s="38">
        <f>J54+I54-L55-L56</f>
        <v>-12.852920310766194</v>
      </c>
      <c r="L54" s="9"/>
    </row>
    <row r="55" spans="1:13" x14ac:dyDescent="0.25">
      <c r="A55" s="3" t="s">
        <v>519</v>
      </c>
      <c r="B55" s="131">
        <v>1</v>
      </c>
      <c r="C55" s="3">
        <v>584</v>
      </c>
      <c r="D55" s="3">
        <f t="shared" si="0"/>
        <v>58.400000000000006</v>
      </c>
      <c r="E55" s="3">
        <f>0.2*1.15</f>
        <v>0.22999999999999998</v>
      </c>
      <c r="F55" s="3">
        <f>E55/$E$94*$F$94</f>
        <v>375.82826132581744</v>
      </c>
      <c r="G55" s="3">
        <f t="shared" si="1"/>
        <v>589.3505176553831</v>
      </c>
      <c r="H55" s="122"/>
      <c r="I55" s="123">
        <f t="shared" si="2"/>
        <v>-589.3505176553831</v>
      </c>
      <c r="J55" s="6"/>
      <c r="K55" s="3"/>
      <c r="L55" s="3">
        <v>11</v>
      </c>
    </row>
    <row r="56" spans="1:13" x14ac:dyDescent="0.25">
      <c r="A56" s="3" t="s">
        <v>581</v>
      </c>
      <c r="B56" s="131">
        <v>1</v>
      </c>
      <c r="C56" s="3">
        <v>381.625</v>
      </c>
      <c r="D56" s="3">
        <f>B56*C56*0.1</f>
        <v>38.162500000000001</v>
      </c>
      <c r="E56" s="3">
        <f>0.2*1.15</f>
        <v>0.22999999999999998</v>
      </c>
      <c r="F56" s="3">
        <f>E56/$E$94*$F$94</f>
        <v>375.82826132581744</v>
      </c>
      <c r="G56" s="3">
        <f>(C56)*$B$1+D56*$B$1+F56*$B$1</f>
        <v>460.50240265538309</v>
      </c>
      <c r="H56" s="122"/>
      <c r="I56" s="123">
        <f>H56-G56</f>
        <v>-460.50240265538309</v>
      </c>
      <c r="J56" s="6"/>
      <c r="K56" s="3"/>
      <c r="L56" s="3">
        <v>11</v>
      </c>
    </row>
    <row r="57" spans="1:13" x14ac:dyDescent="0.25">
      <c r="A57" s="9" t="s">
        <v>378</v>
      </c>
      <c r="B57" s="9"/>
      <c r="C57" s="9"/>
      <c r="D57" s="9"/>
      <c r="E57" s="9"/>
      <c r="F57" s="9"/>
      <c r="G57" s="9"/>
      <c r="H57" s="9"/>
      <c r="I57" s="120">
        <f>SUM(I58:I60)</f>
        <v>-2022.4244423219498</v>
      </c>
      <c r="J57" s="129">
        <f>1982+11</f>
        <v>1993</v>
      </c>
      <c r="K57" s="38">
        <f>J57+I57-L58</f>
        <v>-40.424442321949755</v>
      </c>
      <c r="L57" s="9"/>
    </row>
    <row r="58" spans="1:13" x14ac:dyDescent="0.25">
      <c r="A58" s="3" t="s">
        <v>592</v>
      </c>
      <c r="B58" s="131">
        <v>1</v>
      </c>
      <c r="C58" s="3">
        <v>322.10000000000002</v>
      </c>
      <c r="D58" s="3">
        <f t="shared" si="0"/>
        <v>32.21</v>
      </c>
      <c r="E58" s="3">
        <f>0.1*1.15</f>
        <v>0.11499999999999999</v>
      </c>
      <c r="F58" s="3">
        <f>E58/$E$94*$F$94</f>
        <v>187.91413066290872</v>
      </c>
      <c r="G58" s="3">
        <f t="shared" si="1"/>
        <v>313.83932682769154</v>
      </c>
      <c r="H58" s="122"/>
      <c r="I58" s="123">
        <f t="shared" si="2"/>
        <v>-313.83932682769154</v>
      </c>
      <c r="J58" s="6"/>
      <c r="K58" s="3"/>
      <c r="L58" s="3">
        <v>11</v>
      </c>
    </row>
    <row r="59" spans="1:13" x14ac:dyDescent="0.25">
      <c r="A59" s="133" t="s">
        <v>593</v>
      </c>
      <c r="B59" s="3">
        <v>1</v>
      </c>
      <c r="C59" s="3">
        <v>896</v>
      </c>
      <c r="D59" s="3">
        <f t="shared" si="0"/>
        <v>89.600000000000009</v>
      </c>
      <c r="E59" s="3">
        <f>0.14*1.3</f>
        <v>0.18200000000000002</v>
      </c>
      <c r="F59" s="3">
        <f>E59/$E$94*$F$94</f>
        <v>297.39453722303824</v>
      </c>
      <c r="G59" s="3">
        <f t="shared" si="1"/>
        <v>742.59723814469453</v>
      </c>
      <c r="H59" s="122"/>
      <c r="I59" s="123">
        <f t="shared" si="2"/>
        <v>-742.59723814469453</v>
      </c>
      <c r="J59" s="6"/>
      <c r="K59" s="3"/>
      <c r="L59" s="3"/>
    </row>
    <row r="60" spans="1:13" x14ac:dyDescent="0.25">
      <c r="A60" s="133" t="s">
        <v>594</v>
      </c>
      <c r="B60" s="3">
        <v>1</v>
      </c>
      <c r="C60" s="3">
        <v>1131</v>
      </c>
      <c r="D60" s="3">
        <f t="shared" si="0"/>
        <v>113.10000000000001</v>
      </c>
      <c r="E60" s="3">
        <f>0.2*1.3</f>
        <v>0.26</v>
      </c>
      <c r="F60" s="3">
        <f>E60/$E$94*$F$94</f>
        <v>424.84933889005458</v>
      </c>
      <c r="G60" s="3">
        <f t="shared" si="1"/>
        <v>965.98787734956352</v>
      </c>
      <c r="H60" s="122"/>
      <c r="I60" s="123">
        <f t="shared" si="2"/>
        <v>-965.98787734956352</v>
      </c>
      <c r="J60" s="6"/>
      <c r="K60" s="3"/>
      <c r="L60" s="3"/>
    </row>
    <row r="61" spans="1:13" x14ac:dyDescent="0.25">
      <c r="A61" s="9" t="s">
        <v>595</v>
      </c>
      <c r="B61" s="9"/>
      <c r="C61" s="9"/>
      <c r="D61" s="9"/>
      <c r="E61" s="9"/>
      <c r="F61" s="9"/>
      <c r="G61" s="9"/>
      <c r="H61" s="9"/>
      <c r="I61" s="120">
        <f>I62</f>
        <v>-627.67865365538307</v>
      </c>
      <c r="J61" s="129">
        <f>625+14</f>
        <v>639</v>
      </c>
      <c r="K61" s="38">
        <f>J61+I61-L62</f>
        <v>0.32134634461692713</v>
      </c>
      <c r="L61" s="9"/>
    </row>
    <row r="62" spans="1:13" x14ac:dyDescent="0.25">
      <c r="A62" s="3" t="s">
        <v>596</v>
      </c>
      <c r="B62" s="131">
        <v>1</v>
      </c>
      <c r="C62" s="3">
        <v>644.20000000000005</v>
      </c>
      <c r="D62" s="3">
        <f t="shared" si="0"/>
        <v>64.42</v>
      </c>
      <c r="E62" s="3">
        <f>0.2*1.15</f>
        <v>0.22999999999999998</v>
      </c>
      <c r="F62" s="3">
        <f>E62/$E$94*$F$94</f>
        <v>375.82826132581744</v>
      </c>
      <c r="G62" s="3">
        <f t="shared" si="1"/>
        <v>627.67865365538307</v>
      </c>
      <c r="H62" s="122"/>
      <c r="I62" s="123">
        <f t="shared" si="2"/>
        <v>-627.67865365538307</v>
      </c>
      <c r="J62" s="6"/>
      <c r="K62" s="3"/>
      <c r="L62" s="3">
        <v>11</v>
      </c>
    </row>
    <row r="63" spans="1:13" x14ac:dyDescent="0.25">
      <c r="A63" s="9" t="s">
        <v>597</v>
      </c>
      <c r="B63" s="9"/>
      <c r="C63" s="9"/>
      <c r="D63" s="9"/>
      <c r="E63" s="9"/>
      <c r="F63" s="9"/>
      <c r="G63" s="9"/>
      <c r="H63" s="9"/>
      <c r="I63" s="120">
        <f>I64</f>
        <v>-501.99802165538313</v>
      </c>
      <c r="J63" s="129">
        <v>499</v>
      </c>
      <c r="K63" s="38">
        <f>J63+I63-L64</f>
        <v>-13.998021655383127</v>
      </c>
      <c r="L63" s="9"/>
    </row>
    <row r="64" spans="1:13" x14ac:dyDescent="0.25">
      <c r="A64" s="3" t="s">
        <v>598</v>
      </c>
      <c r="B64" s="131">
        <v>1</v>
      </c>
      <c r="C64" s="3">
        <v>446.8</v>
      </c>
      <c r="D64" s="3">
        <f t="shared" si="0"/>
        <v>44.680000000000007</v>
      </c>
      <c r="E64" s="3">
        <f>0.2*1.15</f>
        <v>0.22999999999999998</v>
      </c>
      <c r="F64" s="3">
        <f>E64/$E$94*$F$94</f>
        <v>375.82826132581744</v>
      </c>
      <c r="G64" s="3">
        <f t="shared" si="1"/>
        <v>501.99802165538313</v>
      </c>
      <c r="H64" s="122"/>
      <c r="I64" s="123">
        <f t="shared" si="2"/>
        <v>-501.99802165538313</v>
      </c>
      <c r="J64" s="6"/>
      <c r="K64" s="3"/>
      <c r="L64" s="3">
        <v>11</v>
      </c>
    </row>
    <row r="65" spans="1:13" x14ac:dyDescent="0.25">
      <c r="A65" s="9" t="s">
        <v>392</v>
      </c>
      <c r="B65" s="9"/>
      <c r="C65" s="9"/>
      <c r="D65" s="9"/>
      <c r="E65" s="9"/>
      <c r="F65" s="9"/>
      <c r="G65" s="9"/>
      <c r="H65" s="9"/>
      <c r="I65" s="120">
        <f>I66+I67</f>
        <v>-1844.128609170029</v>
      </c>
      <c r="J65" s="129">
        <f>1826+18</f>
        <v>1844</v>
      </c>
      <c r="K65" s="38">
        <f>J65+I65-L66</f>
        <v>-11.128609170028994</v>
      </c>
      <c r="L65" s="9"/>
    </row>
    <row r="66" spans="1:13" x14ac:dyDescent="0.25">
      <c r="A66" s="3" t="s">
        <v>599</v>
      </c>
      <c r="B66" s="131">
        <v>1</v>
      </c>
      <c r="C66" s="3">
        <v>670.2</v>
      </c>
      <c r="D66" s="3">
        <f t="shared" ref="D66:D93" si="3">B66*C66*0.1</f>
        <v>67.02000000000001</v>
      </c>
      <c r="E66" s="3">
        <f>0.3*1.15</f>
        <v>0.34499999999999997</v>
      </c>
      <c r="F66" s="3">
        <f>E66/$E$94*$F$94</f>
        <v>563.74239198872624</v>
      </c>
      <c r="G66" s="3">
        <f t="shared" ref="G66:G93" si="4">(C66)*$B$1+D66*$B$1+F66*$B$1</f>
        <v>752.99703248307469</v>
      </c>
      <c r="H66" s="122"/>
      <c r="I66" s="123">
        <f t="shared" ref="I66:I93" si="5">H66-G66</f>
        <v>-752.99703248307469</v>
      </c>
      <c r="J66" s="6"/>
      <c r="K66" s="3"/>
      <c r="L66" s="3">
        <v>11</v>
      </c>
    </row>
    <row r="67" spans="1:13" x14ac:dyDescent="0.25">
      <c r="A67" s="133" t="s">
        <v>600</v>
      </c>
      <c r="B67" s="3">
        <v>1</v>
      </c>
      <c r="C67" s="3">
        <v>1231</v>
      </c>
      <c r="D67" s="3">
        <f t="shared" si="3"/>
        <v>123.10000000000001</v>
      </c>
      <c r="E67" s="3">
        <f>0.25*1.3</f>
        <v>0.32500000000000001</v>
      </c>
      <c r="F67" s="3">
        <f>E67/$E$94*$F$94</f>
        <v>531.06167361256814</v>
      </c>
      <c r="G67" s="3">
        <f t="shared" si="4"/>
        <v>1091.1315766869543</v>
      </c>
      <c r="H67" s="122"/>
      <c r="I67" s="123">
        <f t="shared" si="5"/>
        <v>-1091.1315766869543</v>
      </c>
      <c r="J67" s="6"/>
      <c r="K67" s="3"/>
      <c r="L67" s="3"/>
    </row>
    <row r="68" spans="1:13" x14ac:dyDescent="0.25">
      <c r="A68" s="9" t="s">
        <v>585</v>
      </c>
      <c r="B68" s="9"/>
      <c r="C68" s="9"/>
      <c r="D68" s="9"/>
      <c r="E68" s="9"/>
      <c r="F68" s="9"/>
      <c r="G68" s="9"/>
      <c r="H68" s="9"/>
      <c r="I68" s="120">
        <f>SUM(I69:I71)</f>
        <v>-1901.7741077938408</v>
      </c>
      <c r="J68" s="129">
        <f>1890+34</f>
        <v>1924</v>
      </c>
      <c r="K68" s="38">
        <f>J68+I68-L69-L71</f>
        <v>0.22589220615918748</v>
      </c>
      <c r="L68" s="9"/>
    </row>
    <row r="69" spans="1:13" x14ac:dyDescent="0.25">
      <c r="A69" s="3" t="s">
        <v>543</v>
      </c>
      <c r="B69" s="131">
        <v>1</v>
      </c>
      <c r="C69" s="3">
        <v>314.40000000000003</v>
      </c>
      <c r="D69" s="3">
        <f>B69*C69*0.1</f>
        <v>31.440000000000005</v>
      </c>
      <c r="E69" s="3">
        <f>0.1*1.15</f>
        <v>0.11499999999999999</v>
      </c>
      <c r="F69" s="3">
        <f>E69/$E$94*$F$94</f>
        <v>187.91413066290872</v>
      </c>
      <c r="G69" s="3">
        <f>(C69)*$B$1+D69*$B$1+F69*$B$1</f>
        <v>308.93689082769157</v>
      </c>
      <c r="H69" s="122"/>
      <c r="I69" s="123">
        <f>H69-G69</f>
        <v>-308.93689082769157</v>
      </c>
      <c r="J69" s="6"/>
      <c r="K69" s="3"/>
      <c r="L69" s="3">
        <v>11</v>
      </c>
    </row>
    <row r="70" spans="1:13" x14ac:dyDescent="0.25">
      <c r="A70" s="3" t="s">
        <v>601</v>
      </c>
      <c r="B70" s="131">
        <v>1</v>
      </c>
      <c r="C70" s="3">
        <v>893.6</v>
      </c>
      <c r="D70" s="3">
        <f t="shared" si="3"/>
        <v>89.360000000000014</v>
      </c>
      <c r="E70" s="3">
        <f>0.4*1.15</f>
        <v>0.45999999999999996</v>
      </c>
      <c r="F70" s="3">
        <f>E70/$E$94*$F$94</f>
        <v>751.65652265163487</v>
      </c>
      <c r="G70" s="3">
        <f t="shared" si="4"/>
        <v>1003.9960433107663</v>
      </c>
      <c r="H70" s="122"/>
      <c r="I70" s="123">
        <f t="shared" si="5"/>
        <v>-1003.9960433107663</v>
      </c>
      <c r="J70" s="6"/>
      <c r="K70" s="3"/>
      <c r="L70" s="3"/>
      <c r="M70" t="s">
        <v>560</v>
      </c>
    </row>
    <row r="71" spans="1:13" x14ac:dyDescent="0.25">
      <c r="A71" s="3" t="s">
        <v>526</v>
      </c>
      <c r="B71" s="131">
        <v>1</v>
      </c>
      <c r="C71" s="3">
        <v>583.19999999999993</v>
      </c>
      <c r="D71" s="3">
        <f t="shared" si="3"/>
        <v>58.319999999999993</v>
      </c>
      <c r="E71" s="3">
        <f>0.2*1.15</f>
        <v>0.22999999999999998</v>
      </c>
      <c r="F71" s="3">
        <f>E71/$E$94*$F$94</f>
        <v>375.82826132581744</v>
      </c>
      <c r="G71" s="3">
        <f t="shared" si="4"/>
        <v>588.84117365538305</v>
      </c>
      <c r="H71" s="122"/>
      <c r="I71" s="123">
        <f t="shared" si="5"/>
        <v>-588.84117365538305</v>
      </c>
      <c r="J71" s="6"/>
      <c r="K71" s="3"/>
      <c r="L71" s="3">
        <v>11</v>
      </c>
    </row>
    <row r="72" spans="1:13" x14ac:dyDescent="0.25">
      <c r="A72" s="9" t="s">
        <v>398</v>
      </c>
      <c r="B72" s="9"/>
      <c r="C72" s="9"/>
      <c r="D72" s="9"/>
      <c r="E72" s="9"/>
      <c r="F72" s="9"/>
      <c r="G72" s="9"/>
      <c r="H72" s="9"/>
      <c r="I72" s="120">
        <f>I73+I74</f>
        <v>-1685.8669036471676</v>
      </c>
      <c r="J72" s="129">
        <f>1687+9</f>
        <v>1696</v>
      </c>
      <c r="K72" s="38">
        <f>J72+I72-L73</f>
        <v>-0.86690364716764634</v>
      </c>
      <c r="L72" s="9"/>
    </row>
    <row r="73" spans="1:13" x14ac:dyDescent="0.25">
      <c r="A73" s="3" t="s">
        <v>542</v>
      </c>
      <c r="B73" s="131">
        <v>1</v>
      </c>
      <c r="C73" s="3">
        <v>291.59999999999997</v>
      </c>
      <c r="D73" s="3">
        <f t="shared" si="3"/>
        <v>29.159999999999997</v>
      </c>
      <c r="E73" s="3">
        <f>0.1*1.15</f>
        <v>0.11499999999999999</v>
      </c>
      <c r="F73" s="3">
        <f>E73/$E$94*$F$94</f>
        <v>187.91413066290872</v>
      </c>
      <c r="G73" s="3">
        <f t="shared" si="4"/>
        <v>294.42058682769152</v>
      </c>
      <c r="H73" s="122"/>
      <c r="I73" s="123">
        <f t="shared" si="5"/>
        <v>-294.42058682769152</v>
      </c>
      <c r="J73" s="6"/>
      <c r="K73" s="3"/>
      <c r="L73" s="3">
        <v>11</v>
      </c>
    </row>
    <row r="74" spans="1:13" x14ac:dyDescent="0.25">
      <c r="A74" s="98" t="s">
        <v>602</v>
      </c>
      <c r="B74" s="3">
        <v>1</v>
      </c>
      <c r="C74" s="3">
        <v>1722</v>
      </c>
      <c r="D74" s="3">
        <f t="shared" si="3"/>
        <v>172.20000000000002</v>
      </c>
      <c r="E74" s="3">
        <f>0.24*1.3</f>
        <v>0.312</v>
      </c>
      <c r="F74" s="3">
        <f>E74/$E$94*$F$94</f>
        <v>509.81920666806548</v>
      </c>
      <c r="G74" s="3">
        <f t="shared" si="4"/>
        <v>1391.4463168194761</v>
      </c>
      <c r="H74" s="122"/>
      <c r="I74" s="123">
        <f t="shared" si="5"/>
        <v>-1391.4463168194761</v>
      </c>
      <c r="J74" s="6"/>
      <c r="K74" s="3"/>
      <c r="L74" s="3"/>
    </row>
    <row r="75" spans="1:13" x14ac:dyDescent="0.25">
      <c r="A75" s="9" t="s">
        <v>603</v>
      </c>
      <c r="B75" s="9"/>
      <c r="C75" s="9"/>
      <c r="D75" s="9"/>
      <c r="E75" s="9"/>
      <c r="F75" s="9"/>
      <c r="G75" s="9"/>
      <c r="H75" s="9"/>
      <c r="I75" s="120">
        <f>I76</f>
        <v>-883.2617604830748</v>
      </c>
      <c r="J75" s="129">
        <f>879+15</f>
        <v>894</v>
      </c>
      <c r="K75" s="38">
        <f>J75+I75-L76</f>
        <v>-0.26176048307479505</v>
      </c>
      <c r="L75" s="9"/>
      <c r="M75" t="s">
        <v>560</v>
      </c>
    </row>
    <row r="76" spans="1:13" x14ac:dyDescent="0.25">
      <c r="A76" s="3" t="s">
        <v>545</v>
      </c>
      <c r="B76" s="131">
        <v>1</v>
      </c>
      <c r="C76" s="3">
        <v>874.8</v>
      </c>
      <c r="D76" s="3">
        <f t="shared" si="3"/>
        <v>87.48</v>
      </c>
      <c r="E76" s="3">
        <f>0.3*1.15</f>
        <v>0.34499999999999997</v>
      </c>
      <c r="F76" s="3">
        <f>E76/$E$94*$F$94</f>
        <v>563.74239198872624</v>
      </c>
      <c r="G76" s="3">
        <f t="shared" si="4"/>
        <v>883.2617604830748</v>
      </c>
      <c r="H76" s="122"/>
      <c r="I76" s="123">
        <f t="shared" si="5"/>
        <v>-883.2617604830748</v>
      </c>
      <c r="J76" s="6"/>
      <c r="K76" s="3"/>
      <c r="L76" s="3">
        <v>11</v>
      </c>
    </row>
    <row r="77" spans="1:13" x14ac:dyDescent="0.25">
      <c r="A77" s="9" t="s">
        <v>604</v>
      </c>
      <c r="B77" s="9"/>
      <c r="C77" s="9"/>
      <c r="D77" s="9"/>
      <c r="E77" s="9"/>
      <c r="F77" s="9"/>
      <c r="G77" s="9"/>
      <c r="H77" s="9"/>
      <c r="I77" s="120">
        <f>I78+I79</f>
        <v>-524.67178815538307</v>
      </c>
      <c r="J77" s="129">
        <v>514</v>
      </c>
      <c r="K77" s="38">
        <f>J77+I77-L78-L79</f>
        <v>-32.671788155383069</v>
      </c>
      <c r="L77" s="9"/>
    </row>
    <row r="78" spans="1:13" x14ac:dyDescent="0.25">
      <c r="A78" s="3" t="s">
        <v>542</v>
      </c>
      <c r="B78" s="131">
        <v>1</v>
      </c>
      <c r="C78" s="3">
        <v>291.59999999999997</v>
      </c>
      <c r="D78" s="3">
        <f t="shared" si="3"/>
        <v>29.159999999999997</v>
      </c>
      <c r="E78" s="3">
        <f>0.1*1.15</f>
        <v>0.11499999999999999</v>
      </c>
      <c r="F78" s="3">
        <f>E78/$E$94*$F$94</f>
        <v>187.91413066290872</v>
      </c>
      <c r="G78" s="3">
        <f t="shared" si="4"/>
        <v>294.42058682769152</v>
      </c>
      <c r="H78" s="122"/>
      <c r="I78" s="123">
        <f t="shared" si="5"/>
        <v>-294.42058682769152</v>
      </c>
      <c r="J78" s="6"/>
      <c r="K78" s="3"/>
      <c r="L78" s="3">
        <v>11</v>
      </c>
    </row>
    <row r="79" spans="1:13" x14ac:dyDescent="0.25">
      <c r="A79" s="3" t="s">
        <v>605</v>
      </c>
      <c r="B79" s="131">
        <v>1</v>
      </c>
      <c r="C79" s="3">
        <v>190.8125</v>
      </c>
      <c r="D79" s="3">
        <f t="shared" si="3"/>
        <v>19.081250000000001</v>
      </c>
      <c r="E79" s="3">
        <f>0.1*1.15</f>
        <v>0.11499999999999999</v>
      </c>
      <c r="F79" s="3">
        <f>E79/$E$94*$F$94</f>
        <v>187.91413066290872</v>
      </c>
      <c r="G79" s="3">
        <f t="shared" si="4"/>
        <v>230.25120132769155</v>
      </c>
      <c r="H79" s="122"/>
      <c r="I79" s="123">
        <f t="shared" si="5"/>
        <v>-230.25120132769155</v>
      </c>
      <c r="J79" s="6"/>
      <c r="K79" s="3"/>
      <c r="L79" s="3">
        <v>11</v>
      </c>
    </row>
    <row r="80" spans="1:13" x14ac:dyDescent="0.25">
      <c r="A80" s="9" t="s">
        <v>606</v>
      </c>
      <c r="B80" s="9"/>
      <c r="C80" s="9"/>
      <c r="D80" s="9"/>
      <c r="E80" s="9"/>
      <c r="F80" s="9"/>
      <c r="G80" s="9"/>
      <c r="H80" s="9"/>
      <c r="I80" s="120">
        <f>I81</f>
        <v>-588.84117365538305</v>
      </c>
      <c r="J80" s="129">
        <f>586+14</f>
        <v>600</v>
      </c>
      <c r="K80" s="38">
        <f>J80+I80-L81</f>
        <v>0.15882634461695488</v>
      </c>
      <c r="L80" s="9"/>
    </row>
    <row r="81" spans="1:13" x14ac:dyDescent="0.25">
      <c r="A81" s="3" t="s">
        <v>526</v>
      </c>
      <c r="B81" s="131">
        <v>1</v>
      </c>
      <c r="C81" s="3">
        <v>583.19999999999993</v>
      </c>
      <c r="D81" s="3">
        <f t="shared" si="3"/>
        <v>58.319999999999993</v>
      </c>
      <c r="E81" s="3">
        <f>0.2*1.15</f>
        <v>0.22999999999999998</v>
      </c>
      <c r="F81" s="3">
        <f>E81/$E$94*$F$94</f>
        <v>375.82826132581744</v>
      </c>
      <c r="G81" s="3">
        <f t="shared" si="4"/>
        <v>588.84117365538305</v>
      </c>
      <c r="H81" s="122"/>
      <c r="I81" s="123">
        <f t="shared" si="5"/>
        <v>-588.84117365538305</v>
      </c>
      <c r="J81" s="6"/>
      <c r="K81" s="3"/>
      <c r="L81" s="3">
        <v>11</v>
      </c>
    </row>
    <row r="82" spans="1:13" x14ac:dyDescent="0.25">
      <c r="A82" s="9" t="s">
        <v>607</v>
      </c>
      <c r="B82" s="9"/>
      <c r="C82" s="9"/>
      <c r="D82" s="9"/>
      <c r="E82" s="9"/>
      <c r="F82" s="9"/>
      <c r="G82" s="9"/>
      <c r="H82" s="9"/>
      <c r="I82" s="120">
        <f>I83</f>
        <v>-883.2617604830748</v>
      </c>
      <c r="J82" s="129">
        <f>879+4</f>
        <v>883</v>
      </c>
      <c r="K82" s="38">
        <f>J82+I82</f>
        <v>-0.26176048307479505</v>
      </c>
      <c r="L82" s="9"/>
    </row>
    <row r="83" spans="1:13" x14ac:dyDescent="0.25">
      <c r="A83" s="3" t="s">
        <v>545</v>
      </c>
      <c r="B83" s="131">
        <v>1</v>
      </c>
      <c r="C83" s="3">
        <v>874.8</v>
      </c>
      <c r="D83" s="3">
        <f t="shared" si="3"/>
        <v>87.48</v>
      </c>
      <c r="E83" s="3">
        <f>0.3*1.15</f>
        <v>0.34499999999999997</v>
      </c>
      <c r="F83" s="3">
        <f>E83/$E$94*$F$94</f>
        <v>563.74239198872624</v>
      </c>
      <c r="G83" s="3">
        <f t="shared" si="4"/>
        <v>883.2617604830748</v>
      </c>
      <c r="H83" s="122"/>
      <c r="I83" s="123">
        <f t="shared" si="5"/>
        <v>-883.2617604830748</v>
      </c>
      <c r="J83" s="6"/>
      <c r="K83" s="3"/>
      <c r="L83" s="3"/>
      <c r="M83" t="s">
        <v>560</v>
      </c>
    </row>
    <row r="84" spans="1:13" x14ac:dyDescent="0.25">
      <c r="A84" s="9" t="s">
        <v>608</v>
      </c>
      <c r="B84" s="9"/>
      <c r="C84" s="9"/>
      <c r="D84" s="9"/>
      <c r="E84" s="9"/>
      <c r="F84" s="9"/>
      <c r="G84" s="9"/>
      <c r="H84" s="9"/>
      <c r="I84" s="120">
        <f>I85</f>
        <v>-588.84117365538305</v>
      </c>
      <c r="J84" s="129">
        <f>586+14</f>
        <v>600</v>
      </c>
      <c r="K84" s="38">
        <f>J84+I84-L85</f>
        <v>0.15882634461695488</v>
      </c>
      <c r="L84" s="9"/>
    </row>
    <row r="85" spans="1:13" x14ac:dyDescent="0.25">
      <c r="A85" s="3" t="s">
        <v>526</v>
      </c>
      <c r="B85" s="131">
        <v>1</v>
      </c>
      <c r="C85" s="3">
        <v>583.19999999999993</v>
      </c>
      <c r="D85" s="3">
        <f t="shared" si="3"/>
        <v>58.319999999999993</v>
      </c>
      <c r="E85" s="3">
        <f>0.2*1.15</f>
        <v>0.22999999999999998</v>
      </c>
      <c r="F85" s="3">
        <f>E85/$E$94*$F$94</f>
        <v>375.82826132581744</v>
      </c>
      <c r="G85" s="3">
        <f t="shared" si="4"/>
        <v>588.84117365538305</v>
      </c>
      <c r="H85" s="122"/>
      <c r="I85" s="123">
        <f t="shared" si="5"/>
        <v>-588.84117365538305</v>
      </c>
      <c r="J85" s="6"/>
      <c r="K85" s="3"/>
      <c r="L85" s="3">
        <v>11</v>
      </c>
    </row>
    <row r="86" spans="1:13" x14ac:dyDescent="0.25">
      <c r="A86" s="9" t="s">
        <v>609</v>
      </c>
      <c r="B86" s="9"/>
      <c r="C86" s="9"/>
      <c r="D86" s="9"/>
      <c r="E86" s="9"/>
      <c r="F86" s="9"/>
      <c r="G86" s="9"/>
      <c r="H86" s="9"/>
      <c r="I86" s="120">
        <f>I87</f>
        <v>-588.84117365538305</v>
      </c>
      <c r="J86" s="129">
        <f>586+14</f>
        <v>600</v>
      </c>
      <c r="K86" s="38">
        <f>J86+I86-L87</f>
        <v>0.15882634461695488</v>
      </c>
      <c r="L86" s="9"/>
    </row>
    <row r="87" spans="1:13" x14ac:dyDescent="0.25">
      <c r="A87" s="3" t="s">
        <v>526</v>
      </c>
      <c r="B87" s="131">
        <v>1</v>
      </c>
      <c r="C87" s="3">
        <v>583.19999999999993</v>
      </c>
      <c r="D87" s="3">
        <f t="shared" si="3"/>
        <v>58.319999999999993</v>
      </c>
      <c r="E87" s="3">
        <f>0.2*1.15</f>
        <v>0.22999999999999998</v>
      </c>
      <c r="F87" s="3">
        <f>E87/$E$94*$F$94</f>
        <v>375.82826132581744</v>
      </c>
      <c r="G87" s="3">
        <f t="shared" si="4"/>
        <v>588.84117365538305</v>
      </c>
      <c r="H87" s="122"/>
      <c r="I87" s="123">
        <f t="shared" si="5"/>
        <v>-588.84117365538305</v>
      </c>
      <c r="J87" s="6"/>
      <c r="K87" s="3"/>
      <c r="L87" s="3">
        <v>11</v>
      </c>
    </row>
    <row r="88" spans="1:13" x14ac:dyDescent="0.25">
      <c r="A88" s="9" t="s">
        <v>351</v>
      </c>
      <c r="B88" s="9"/>
      <c r="C88" s="9"/>
      <c r="D88" s="9"/>
      <c r="E88" s="9"/>
      <c r="F88" s="9"/>
      <c r="G88" s="9"/>
      <c r="H88" s="9"/>
      <c r="I88" s="120">
        <f>I89</f>
        <v>-921.00480531076619</v>
      </c>
      <c r="J88" s="129">
        <f>912+24</f>
        <v>936</v>
      </c>
      <c r="K88" s="38">
        <f>J88+I88-L89</f>
        <v>-7.0048053107661872</v>
      </c>
      <c r="L88" s="9"/>
    </row>
    <row r="89" spans="1:13" x14ac:dyDescent="0.25">
      <c r="A89" s="3" t="s">
        <v>588</v>
      </c>
      <c r="B89" s="131">
        <v>1</v>
      </c>
      <c r="C89" s="100">
        <f>3053/1600*400</f>
        <v>763.25</v>
      </c>
      <c r="D89" s="3">
        <f t="shared" si="3"/>
        <v>76.325000000000003</v>
      </c>
      <c r="E89" s="3">
        <f>0.4*1.15</f>
        <v>0.45999999999999996</v>
      </c>
      <c r="F89" s="3">
        <f>E89/$E$94*$F$94</f>
        <v>751.65652265163487</v>
      </c>
      <c r="G89" s="3">
        <f t="shared" si="4"/>
        <v>921.00480531076619</v>
      </c>
      <c r="H89" s="122"/>
      <c r="I89" s="123">
        <f t="shared" si="5"/>
        <v>-921.00480531076619</v>
      </c>
      <c r="J89" s="6"/>
      <c r="K89" s="3"/>
      <c r="L89" s="3">
        <v>22</v>
      </c>
    </row>
    <row r="90" spans="1:13" x14ac:dyDescent="0.25">
      <c r="A90" s="9" t="s">
        <v>439</v>
      </c>
      <c r="B90" s="9"/>
      <c r="C90" s="9"/>
      <c r="D90" s="9"/>
      <c r="E90" s="9"/>
      <c r="F90" s="9"/>
      <c r="G90" s="9"/>
      <c r="H90" s="9"/>
      <c r="I90" s="120">
        <f>I91</f>
        <v>-460.50240265538309</v>
      </c>
      <c r="J90" s="129">
        <f>331+140</f>
        <v>471</v>
      </c>
      <c r="K90" s="38">
        <f>J90+I90-L91</f>
        <v>-0.50240265538309359</v>
      </c>
      <c r="L90" s="9"/>
    </row>
    <row r="91" spans="1:13" x14ac:dyDescent="0.25">
      <c r="A91" s="3" t="s">
        <v>581</v>
      </c>
      <c r="B91" s="131">
        <v>1</v>
      </c>
      <c r="C91" s="3">
        <v>381.625</v>
      </c>
      <c r="D91" s="3">
        <f t="shared" si="3"/>
        <v>38.162500000000001</v>
      </c>
      <c r="E91" s="3">
        <f>0.2*1.15</f>
        <v>0.22999999999999998</v>
      </c>
      <c r="F91" s="3">
        <f>E91/$E$94*$F$94</f>
        <v>375.82826132581744</v>
      </c>
      <c r="G91" s="3">
        <f t="shared" si="4"/>
        <v>460.50240265538309</v>
      </c>
      <c r="H91" s="122"/>
      <c r="I91" s="123">
        <f t="shared" si="5"/>
        <v>-460.50240265538309</v>
      </c>
      <c r="J91" s="6"/>
      <c r="K91" s="3"/>
      <c r="L91" s="3">
        <v>11</v>
      </c>
    </row>
    <row r="92" spans="1:13" x14ac:dyDescent="0.25">
      <c r="A92" s="9" t="s">
        <v>610</v>
      </c>
      <c r="B92" s="9"/>
      <c r="C92" s="9"/>
      <c r="D92" s="9"/>
      <c r="E92" s="9"/>
      <c r="F92" s="9"/>
      <c r="G92" s="9"/>
      <c r="H92" s="9"/>
      <c r="I92" s="120">
        <f>I93</f>
        <v>-230.25120132769155</v>
      </c>
      <c r="J92" s="129">
        <f>228+13</f>
        <v>241</v>
      </c>
      <c r="K92" s="38">
        <f>J92+I92-L93</f>
        <v>-0.25120132769154679</v>
      </c>
      <c r="L92" s="9"/>
    </row>
    <row r="93" spans="1:13" x14ac:dyDescent="0.25">
      <c r="A93" s="3" t="s">
        <v>605</v>
      </c>
      <c r="B93" s="131">
        <v>1</v>
      </c>
      <c r="C93" s="3">
        <v>190.8125</v>
      </c>
      <c r="D93" s="3">
        <f t="shared" si="3"/>
        <v>19.081250000000001</v>
      </c>
      <c r="E93" s="3">
        <f>0.1*1.15</f>
        <v>0.11499999999999999</v>
      </c>
      <c r="F93" s="3">
        <f>E93/$E$94*$F$94</f>
        <v>187.91413066290872</v>
      </c>
      <c r="G93" s="3">
        <f t="shared" si="4"/>
        <v>230.25120132769155</v>
      </c>
      <c r="H93" s="122"/>
      <c r="I93" s="123">
        <f t="shared" si="5"/>
        <v>-230.25120132769155</v>
      </c>
      <c r="J93" s="6"/>
      <c r="K93" s="3"/>
      <c r="L93" s="3">
        <v>11</v>
      </c>
    </row>
    <row r="94" spans="1:13" x14ac:dyDescent="0.25">
      <c r="A94" s="99"/>
      <c r="B94" s="99"/>
      <c r="C94" s="99"/>
      <c r="D94" s="99"/>
      <c r="E94" s="99">
        <f>SUM(E4:E93)</f>
        <v>13.341200000000009</v>
      </c>
      <c r="F94" s="94">
        <v>21800</v>
      </c>
      <c r="G94" s="28">
        <f>F94/E94</f>
        <v>1634.0359188079021</v>
      </c>
      <c r="H94" s="122"/>
      <c r="I94" s="121"/>
      <c r="J94" s="28"/>
      <c r="K94" s="28"/>
      <c r="L94" s="28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topLeftCell="A31" zoomScale="80" zoomScaleNormal="80" workbookViewId="0">
      <selection activeCell="A60" sqref="A60"/>
    </sheetView>
  </sheetViews>
  <sheetFormatPr defaultRowHeight="15" x14ac:dyDescent="0.25"/>
  <cols>
    <col min="1" max="1" width="43.7109375" customWidth="1"/>
    <col min="5" max="5" width="16.28515625" customWidth="1"/>
    <col min="6" max="6" width="12.140625" customWidth="1"/>
    <col min="11" max="11" width="13" customWidth="1"/>
  </cols>
  <sheetData>
    <row r="1" spans="1:13" x14ac:dyDescent="0.25">
      <c r="A1" s="1" t="s">
        <v>5</v>
      </c>
      <c r="B1" s="45">
        <f>0.5835</f>
        <v>0.58350000000000002</v>
      </c>
      <c r="C1" s="1"/>
      <c r="I1" s="41"/>
      <c r="J1" s="45" t="s">
        <v>289</v>
      </c>
      <c r="K1" s="116">
        <v>43245</v>
      </c>
    </row>
    <row r="2" spans="1:13" ht="21" x14ac:dyDescent="0.35">
      <c r="A2" s="8" t="s">
        <v>267</v>
      </c>
      <c r="B2" s="41"/>
      <c r="I2" s="41"/>
      <c r="J2" s="41"/>
      <c r="K2" s="37"/>
    </row>
    <row r="3" spans="1:13" ht="45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422</v>
      </c>
    </row>
    <row r="4" spans="1:13" x14ac:dyDescent="0.25">
      <c r="A4" s="9" t="s">
        <v>30</v>
      </c>
      <c r="B4" s="9"/>
      <c r="C4" s="9"/>
      <c r="D4" s="9"/>
      <c r="E4" s="9"/>
      <c r="F4" s="9"/>
      <c r="G4" s="9"/>
      <c r="H4" s="9"/>
      <c r="I4" s="120"/>
      <c r="J4" s="9"/>
      <c r="K4" s="38"/>
      <c r="L4" s="9"/>
    </row>
    <row r="5" spans="1:13" x14ac:dyDescent="0.25">
      <c r="A5" s="18" t="s">
        <v>605</v>
      </c>
      <c r="B5" s="132"/>
      <c r="C5" s="3"/>
      <c r="D5" s="3"/>
      <c r="E5" s="3">
        <f>0.1*1.15</f>
        <v>0.11499999999999999</v>
      </c>
      <c r="F5" s="3">
        <f>E5/$E$80*$F$80</f>
        <v>179.49324324324317</v>
      </c>
      <c r="G5" s="3">
        <f t="shared" ref="G5:G65" si="0">(C5)*$B$1+D5*$B$1+F5*$B$1</f>
        <v>104.73430743243239</v>
      </c>
      <c r="H5" s="122"/>
      <c r="I5" s="123"/>
      <c r="J5" s="6"/>
      <c r="K5" s="6"/>
      <c r="L5" s="6"/>
    </row>
    <row r="6" spans="1:13" x14ac:dyDescent="0.25">
      <c r="A6" s="9" t="s">
        <v>615</v>
      </c>
      <c r="B6" s="9"/>
      <c r="C6" s="9"/>
      <c r="D6" s="9"/>
      <c r="E6" s="9"/>
      <c r="F6" s="9"/>
      <c r="G6" s="9"/>
      <c r="H6" s="9"/>
      <c r="I6" s="120">
        <f>I7</f>
        <v>-693.06789527027024</v>
      </c>
      <c r="J6" s="9">
        <v>692</v>
      </c>
      <c r="K6" s="38">
        <f>J6+I6</f>
        <v>-1.0678952702702418</v>
      </c>
      <c r="L6" s="9"/>
    </row>
    <row r="7" spans="1:13" x14ac:dyDescent="0.25">
      <c r="A7" s="91" t="s">
        <v>616</v>
      </c>
      <c r="B7" s="3">
        <v>1</v>
      </c>
      <c r="C7" s="3">
        <v>840</v>
      </c>
      <c r="D7" s="3">
        <f t="shared" ref="D7:D65" si="1">B7*C7*0.1</f>
        <v>84</v>
      </c>
      <c r="E7" s="3">
        <f>0.13*1.3</f>
        <v>0.16900000000000001</v>
      </c>
      <c r="F7" s="3">
        <f>E7/$E$80*$F$80</f>
        <v>263.77702702702697</v>
      </c>
      <c r="G7" s="3">
        <f t="shared" si="0"/>
        <v>693.06789527027024</v>
      </c>
      <c r="H7" s="122"/>
      <c r="I7" s="123">
        <f t="shared" ref="I7:I65" si="2">H7-G7</f>
        <v>-693.06789527027024</v>
      </c>
      <c r="J7" s="6"/>
      <c r="K7" s="6"/>
      <c r="L7" s="6"/>
    </row>
    <row r="8" spans="1:13" x14ac:dyDescent="0.25">
      <c r="A8" s="9" t="s">
        <v>13</v>
      </c>
      <c r="B8" s="9"/>
      <c r="C8" s="9"/>
      <c r="D8" s="9"/>
      <c r="E8" s="9"/>
      <c r="F8" s="9"/>
      <c r="G8" s="9"/>
      <c r="H8" s="9"/>
      <c r="I8" s="120">
        <f>I9</f>
        <v>-1887.0736945945946</v>
      </c>
      <c r="J8" s="9">
        <v>1889</v>
      </c>
      <c r="K8" s="38">
        <f>J8+I8</f>
        <v>1.926305405405401</v>
      </c>
      <c r="L8" s="9"/>
    </row>
    <row r="9" spans="1:13" ht="24" x14ac:dyDescent="0.25">
      <c r="A9" s="91" t="s">
        <v>617</v>
      </c>
      <c r="B9" s="26">
        <v>1</v>
      </c>
      <c r="C9" s="3">
        <v>1961</v>
      </c>
      <c r="D9" s="3">
        <f t="shared" si="1"/>
        <v>196.10000000000002</v>
      </c>
      <c r="E9" s="3">
        <f>0.6*1.15</f>
        <v>0.69</v>
      </c>
      <c r="F9" s="3">
        <f>E9/$E$80*$F$80</f>
        <v>1076.9594594594591</v>
      </c>
      <c r="G9" s="3">
        <f t="shared" si="0"/>
        <v>1887.0736945945946</v>
      </c>
      <c r="H9" s="122"/>
      <c r="I9" s="123">
        <f t="shared" si="2"/>
        <v>-1887.0736945945946</v>
      </c>
      <c r="J9" s="6"/>
      <c r="K9" s="6"/>
      <c r="L9" s="6"/>
    </row>
    <row r="10" spans="1:13" x14ac:dyDescent="0.25">
      <c r="A10" s="9" t="s">
        <v>410</v>
      </c>
      <c r="B10" s="9"/>
      <c r="C10" s="9"/>
      <c r="D10" s="9"/>
      <c r="E10" s="9"/>
      <c r="F10" s="9"/>
      <c r="G10" s="9"/>
      <c r="H10" s="9"/>
      <c r="I10" s="120">
        <f>I11</f>
        <v>-1321.465066216216</v>
      </c>
      <c r="J10" s="9">
        <v>1324</v>
      </c>
      <c r="K10" s="38">
        <f>J10+I10</f>
        <v>2.5349337837840267</v>
      </c>
      <c r="L10" s="9"/>
    </row>
    <row r="11" spans="1:13" ht="24" x14ac:dyDescent="0.25">
      <c r="A11" s="91" t="s">
        <v>618</v>
      </c>
      <c r="B11" s="3">
        <v>1</v>
      </c>
      <c r="C11" s="26">
        <v>1321</v>
      </c>
      <c r="D11" s="3">
        <f t="shared" si="1"/>
        <v>132.1</v>
      </c>
      <c r="E11" s="3">
        <f>0.4*1.3</f>
        <v>0.52</v>
      </c>
      <c r="F11" s="3">
        <f>E11/$E$80*$F$80</f>
        <v>811.62162162162133</v>
      </c>
      <c r="G11" s="3">
        <f t="shared" si="0"/>
        <v>1321.465066216216</v>
      </c>
      <c r="H11" s="122"/>
      <c r="I11" s="123">
        <f t="shared" si="2"/>
        <v>-1321.465066216216</v>
      </c>
      <c r="J11" s="6"/>
      <c r="K11" s="6"/>
      <c r="L11" s="6"/>
    </row>
    <row r="12" spans="1:13" x14ac:dyDescent="0.25">
      <c r="A12" s="9" t="s">
        <v>563</v>
      </c>
      <c r="B12" s="9"/>
      <c r="C12" s="9"/>
      <c r="D12" s="9"/>
      <c r="E12" s="9"/>
      <c r="F12" s="9"/>
      <c r="G12" s="9"/>
      <c r="H12" s="9"/>
      <c r="I12" s="120">
        <f>I13</f>
        <v>-900.69422716216218</v>
      </c>
      <c r="J12" s="9">
        <f>857</f>
        <v>857</v>
      </c>
      <c r="K12" s="38">
        <f>J12+I12+40</f>
        <v>-3.6942271621621785</v>
      </c>
      <c r="L12" s="9"/>
    </row>
    <row r="13" spans="1:13" x14ac:dyDescent="0.25">
      <c r="A13" s="18" t="s">
        <v>619</v>
      </c>
      <c r="B13" s="132">
        <v>1</v>
      </c>
      <c r="C13" s="3">
        <f>2833/1000*300</f>
        <v>849.90000000000009</v>
      </c>
      <c r="D13" s="3">
        <f t="shared" si="1"/>
        <v>84.990000000000009</v>
      </c>
      <c r="E13" s="100">
        <f>0.3*1.3</f>
        <v>0.39</v>
      </c>
      <c r="F13" s="3">
        <f>E13/$E$80*$F$80</f>
        <v>608.71621621621614</v>
      </c>
      <c r="G13" s="3">
        <f t="shared" si="0"/>
        <v>900.69422716216218</v>
      </c>
      <c r="H13" s="122"/>
      <c r="I13" s="123">
        <f t="shared" si="2"/>
        <v>-900.69422716216218</v>
      </c>
      <c r="J13" s="6"/>
      <c r="K13" s="6"/>
      <c r="L13" s="6"/>
      <c r="M13" t="s">
        <v>560</v>
      </c>
    </row>
    <row r="14" spans="1:13" x14ac:dyDescent="0.25">
      <c r="A14" s="9" t="s">
        <v>458</v>
      </c>
      <c r="B14" s="9"/>
      <c r="C14" s="9"/>
      <c r="D14" s="9"/>
      <c r="E14" s="9"/>
      <c r="F14" s="9"/>
      <c r="G14" s="9"/>
      <c r="H14" s="9"/>
      <c r="I14" s="120">
        <f>I15</f>
        <v>-600.46281810810797</v>
      </c>
      <c r="J14" s="9">
        <v>564</v>
      </c>
      <c r="K14" s="38">
        <f>J14+I14-L15+38</f>
        <v>-9.4628181081079674</v>
      </c>
      <c r="L14" s="9"/>
    </row>
    <row r="15" spans="1:13" x14ac:dyDescent="0.25">
      <c r="A15" s="18" t="s">
        <v>620</v>
      </c>
      <c r="B15" s="132">
        <v>1</v>
      </c>
      <c r="C15" s="3">
        <f>2833/1000*200</f>
        <v>566.6</v>
      </c>
      <c r="D15" s="3">
        <f t="shared" si="1"/>
        <v>56.660000000000004</v>
      </c>
      <c r="E15" s="100">
        <f>0.2*1.3</f>
        <v>0.26</v>
      </c>
      <c r="F15" s="3">
        <f>E15/$E$80*$F$80</f>
        <v>405.81081081081066</v>
      </c>
      <c r="G15" s="3">
        <f t="shared" si="0"/>
        <v>600.46281810810797</v>
      </c>
      <c r="H15" s="122"/>
      <c r="I15" s="123">
        <f t="shared" si="2"/>
        <v>-600.46281810810797</v>
      </c>
      <c r="J15" s="6"/>
      <c r="K15" s="6"/>
      <c r="L15" s="6">
        <v>11</v>
      </c>
    </row>
    <row r="16" spans="1:13" x14ac:dyDescent="0.25">
      <c r="A16" s="9" t="s">
        <v>493</v>
      </c>
      <c r="B16" s="9"/>
      <c r="C16" s="9"/>
      <c r="D16" s="9"/>
      <c r="E16" s="9"/>
      <c r="F16" s="9"/>
      <c r="G16" s="9"/>
      <c r="H16" s="9"/>
      <c r="I16" s="120">
        <f>I17</f>
        <v>-600.46281810810797</v>
      </c>
      <c r="J16" s="9">
        <v>574</v>
      </c>
      <c r="K16" s="38">
        <f>J16+I16-L17+37</f>
        <v>-0.46281810810796742</v>
      </c>
      <c r="L16" s="9"/>
    </row>
    <row r="17" spans="1:12" x14ac:dyDescent="0.25">
      <c r="A17" s="18" t="s">
        <v>620</v>
      </c>
      <c r="B17" s="132">
        <v>1</v>
      </c>
      <c r="C17" s="3">
        <f>2833/1000*200</f>
        <v>566.6</v>
      </c>
      <c r="D17" s="3">
        <f t="shared" si="1"/>
        <v>56.660000000000004</v>
      </c>
      <c r="E17" s="100">
        <f>0.2*1.3</f>
        <v>0.26</v>
      </c>
      <c r="F17" s="3">
        <f>E17/$E$80*$F$80</f>
        <v>405.81081081081066</v>
      </c>
      <c r="G17" s="3">
        <f t="shared" si="0"/>
        <v>600.46281810810797</v>
      </c>
      <c r="H17" s="122"/>
      <c r="I17" s="123">
        <f t="shared" si="2"/>
        <v>-600.46281810810797</v>
      </c>
      <c r="J17" s="6"/>
      <c r="K17" s="6"/>
      <c r="L17" s="6">
        <v>11</v>
      </c>
    </row>
    <row r="18" spans="1:12" x14ac:dyDescent="0.25">
      <c r="A18" s="9" t="s">
        <v>621</v>
      </c>
      <c r="B18" s="9"/>
      <c r="C18" s="9"/>
      <c r="D18" s="9"/>
      <c r="E18" s="9"/>
      <c r="F18" s="9"/>
      <c r="G18" s="9"/>
      <c r="H18" s="9"/>
      <c r="I18" s="120">
        <f>I19</f>
        <v>-300.23140905405398</v>
      </c>
      <c r="J18" s="9">
        <v>287</v>
      </c>
      <c r="K18" s="38">
        <f>J18+I18-L19</f>
        <v>-24.231409054053984</v>
      </c>
      <c r="L18" s="9"/>
    </row>
    <row r="19" spans="1:12" x14ac:dyDescent="0.25">
      <c r="A19" s="18" t="s">
        <v>622</v>
      </c>
      <c r="B19" s="132">
        <v>1</v>
      </c>
      <c r="C19" s="3">
        <f>2833/1000*100</f>
        <v>283.3</v>
      </c>
      <c r="D19" s="3">
        <f t="shared" si="1"/>
        <v>28.330000000000002</v>
      </c>
      <c r="E19" s="100">
        <f>0.1*1.3</f>
        <v>0.13</v>
      </c>
      <c r="F19" s="3">
        <f>E19/$E$80*$F$80</f>
        <v>202.90540540540533</v>
      </c>
      <c r="G19" s="3">
        <f t="shared" si="0"/>
        <v>300.23140905405398</v>
      </c>
      <c r="H19" s="122"/>
      <c r="I19" s="123">
        <f t="shared" si="2"/>
        <v>-300.23140905405398</v>
      </c>
      <c r="J19" s="6"/>
      <c r="K19" s="6"/>
      <c r="L19" s="6">
        <v>11</v>
      </c>
    </row>
    <row r="20" spans="1:12" x14ac:dyDescent="0.25">
      <c r="A20" s="9" t="s">
        <v>608</v>
      </c>
      <c r="B20" s="9"/>
      <c r="C20" s="9"/>
      <c r="D20" s="9"/>
      <c r="E20" s="9"/>
      <c r="F20" s="9"/>
      <c r="G20" s="9"/>
      <c r="H20" s="9"/>
      <c r="I20" s="120">
        <f>I21</f>
        <v>-454.41462111486476</v>
      </c>
      <c r="J20" s="9">
        <v>457</v>
      </c>
      <c r="K20" s="38">
        <f>J20+I20-L21+8</f>
        <v>-0.41462111486475806</v>
      </c>
      <c r="L20" s="9"/>
    </row>
    <row r="21" spans="1:12" x14ac:dyDescent="0.25">
      <c r="A21" s="18" t="s">
        <v>581</v>
      </c>
      <c r="B21" s="132">
        <v>1</v>
      </c>
      <c r="C21" s="3">
        <f>3053/1600*200</f>
        <v>381.625</v>
      </c>
      <c r="D21" s="3">
        <f t="shared" si="1"/>
        <v>38.162500000000001</v>
      </c>
      <c r="E21" s="3">
        <f>0.2*1.15</f>
        <v>0.22999999999999998</v>
      </c>
      <c r="F21" s="3">
        <f>E21/$E$80*$F$80</f>
        <v>358.98648648648634</v>
      </c>
      <c r="G21" s="3">
        <f t="shared" si="0"/>
        <v>454.41462111486476</v>
      </c>
      <c r="H21" s="122"/>
      <c r="I21" s="123">
        <f t="shared" si="2"/>
        <v>-454.41462111486476</v>
      </c>
      <c r="J21" s="6"/>
      <c r="K21" s="6"/>
      <c r="L21" s="6">
        <v>11</v>
      </c>
    </row>
    <row r="22" spans="1:12" x14ac:dyDescent="0.25">
      <c r="A22" s="9" t="s">
        <v>604</v>
      </c>
      <c r="B22" s="9"/>
      <c r="C22" s="9"/>
      <c r="D22" s="9"/>
      <c r="E22" s="9"/>
      <c r="F22" s="9"/>
      <c r="G22" s="9"/>
      <c r="H22" s="9"/>
      <c r="I22" s="120">
        <f>I23</f>
        <v>-250.52595028957526</v>
      </c>
      <c r="J22" s="135">
        <v>547</v>
      </c>
      <c r="K22" s="38">
        <f>J22+I22-L23</f>
        <v>285.47404971042477</v>
      </c>
      <c r="L22" s="9"/>
    </row>
    <row r="23" spans="1:12" ht="24" x14ac:dyDescent="0.25">
      <c r="A23" s="91" t="s">
        <v>624</v>
      </c>
      <c r="B23" s="132">
        <v>1</v>
      </c>
      <c r="C23" s="100">
        <f>2226/980*100</f>
        <v>227.14285714285714</v>
      </c>
      <c r="D23" s="3">
        <f t="shared" si="1"/>
        <v>22.714285714285715</v>
      </c>
      <c r="E23" s="3">
        <f>0.1*1.15</f>
        <v>0.11499999999999999</v>
      </c>
      <c r="F23" s="3">
        <f>E23/$E$80*$F$80</f>
        <v>179.49324324324317</v>
      </c>
      <c r="G23" s="3">
        <f t="shared" si="0"/>
        <v>250.52595028957526</v>
      </c>
      <c r="H23" s="122"/>
      <c r="I23" s="123">
        <f t="shared" si="2"/>
        <v>-250.52595028957526</v>
      </c>
      <c r="J23" s="6"/>
      <c r="K23" s="6"/>
      <c r="L23" s="6">
        <v>11</v>
      </c>
    </row>
    <row r="24" spans="1:12" x14ac:dyDescent="0.25">
      <c r="A24" s="9" t="s">
        <v>606</v>
      </c>
      <c r="B24" s="9"/>
      <c r="C24" s="9"/>
      <c r="D24" s="9"/>
      <c r="E24" s="9"/>
      <c r="F24" s="9"/>
      <c r="G24" s="9"/>
      <c r="H24" s="9"/>
      <c r="I24" s="120">
        <f>I25+I26</f>
        <v>-542.68045772200765</v>
      </c>
      <c r="J24" s="9">
        <f>540</f>
        <v>540</v>
      </c>
      <c r="K24" s="38">
        <f>J24+I24-L25-L26+25</f>
        <v>0.31954227799235468</v>
      </c>
      <c r="L24" s="9"/>
    </row>
    <row r="25" spans="1:12" ht="30" x14ac:dyDescent="0.25">
      <c r="A25" s="18" t="s">
        <v>541</v>
      </c>
      <c r="B25" s="132">
        <v>1</v>
      </c>
      <c r="C25" s="3">
        <f>2920/1000*100</f>
        <v>292</v>
      </c>
      <c r="D25" s="3">
        <f t="shared" si="1"/>
        <v>29.200000000000003</v>
      </c>
      <c r="E25" s="3">
        <f>0.1*1.15</f>
        <v>0.11499999999999999</v>
      </c>
      <c r="F25" s="3">
        <f>E25/$E$80*$F$80</f>
        <v>179.49324324324317</v>
      </c>
      <c r="G25" s="3">
        <f t="shared" si="0"/>
        <v>292.15450743243241</v>
      </c>
      <c r="H25" s="122"/>
      <c r="I25" s="123">
        <f t="shared" si="2"/>
        <v>-292.15450743243241</v>
      </c>
      <c r="J25" s="6"/>
      <c r="K25" s="6"/>
      <c r="L25" s="6">
        <v>11</v>
      </c>
    </row>
    <row r="26" spans="1:12" ht="24" x14ac:dyDescent="0.25">
      <c r="A26" s="91" t="s">
        <v>624</v>
      </c>
      <c r="B26" s="132">
        <v>1</v>
      </c>
      <c r="C26" s="100">
        <f>2226/980*100</f>
        <v>227.14285714285714</v>
      </c>
      <c r="D26" s="3">
        <f t="shared" si="1"/>
        <v>22.714285714285715</v>
      </c>
      <c r="E26" s="3">
        <f>0.1*1.15</f>
        <v>0.11499999999999999</v>
      </c>
      <c r="F26" s="3">
        <f>E26/$E$80*$F$80</f>
        <v>179.49324324324317</v>
      </c>
      <c r="G26" s="3">
        <f t="shared" si="0"/>
        <v>250.52595028957526</v>
      </c>
      <c r="H26" s="122"/>
      <c r="I26" s="123">
        <f t="shared" si="2"/>
        <v>-250.52595028957526</v>
      </c>
      <c r="J26" s="6"/>
      <c r="K26" s="6"/>
      <c r="L26" s="6">
        <v>11</v>
      </c>
    </row>
    <row r="27" spans="1:12" x14ac:dyDescent="0.25">
      <c r="A27" s="9" t="s">
        <v>625</v>
      </c>
      <c r="B27" s="9"/>
      <c r="C27" s="9"/>
      <c r="D27" s="9"/>
      <c r="E27" s="9"/>
      <c r="F27" s="9"/>
      <c r="G27" s="9"/>
      <c r="H27" s="9"/>
      <c r="I27" s="120">
        <f>I28</f>
        <v>-292.15450743243241</v>
      </c>
      <c r="J27" s="9">
        <v>293</v>
      </c>
      <c r="K27" s="38">
        <f>J27+I27-L28+10</f>
        <v>-0.1545074324324105</v>
      </c>
      <c r="L27" s="9"/>
    </row>
    <row r="28" spans="1:12" ht="30" x14ac:dyDescent="0.25">
      <c r="A28" s="18" t="s">
        <v>541</v>
      </c>
      <c r="B28" s="132">
        <v>1</v>
      </c>
      <c r="C28" s="3">
        <f>2920/1000*100</f>
        <v>292</v>
      </c>
      <c r="D28" s="3">
        <f t="shared" si="1"/>
        <v>29.200000000000003</v>
      </c>
      <c r="E28" s="3">
        <f>0.1*1.15</f>
        <v>0.11499999999999999</v>
      </c>
      <c r="F28" s="3">
        <f>E28/$E$80*$F$80</f>
        <v>179.49324324324317</v>
      </c>
      <c r="G28" s="3">
        <f t="shared" si="0"/>
        <v>292.15450743243241</v>
      </c>
      <c r="H28" s="122"/>
      <c r="I28" s="123">
        <f t="shared" si="2"/>
        <v>-292.15450743243241</v>
      </c>
      <c r="J28" s="6"/>
      <c r="K28" s="6"/>
      <c r="L28" s="6">
        <v>11</v>
      </c>
    </row>
    <row r="29" spans="1:12" x14ac:dyDescent="0.25">
      <c r="A29" s="9" t="s">
        <v>378</v>
      </c>
      <c r="B29" s="9"/>
      <c r="C29" s="9"/>
      <c r="D29" s="9"/>
      <c r="E29" s="9"/>
      <c r="F29" s="9"/>
      <c r="G29" s="9"/>
      <c r="H29" s="9"/>
      <c r="I29" s="120">
        <f>I30</f>
        <v>-292.15450743243241</v>
      </c>
      <c r="J29" s="9">
        <v>293</v>
      </c>
      <c r="K29" s="38">
        <f>J29+I29-L30+11</f>
        <v>0.8454925675675895</v>
      </c>
      <c r="L29" s="9"/>
    </row>
    <row r="30" spans="1:12" ht="30" x14ac:dyDescent="0.25">
      <c r="A30" s="18" t="s">
        <v>541</v>
      </c>
      <c r="B30" s="132">
        <v>1</v>
      </c>
      <c r="C30" s="3">
        <f>2920/1000*100</f>
        <v>292</v>
      </c>
      <c r="D30" s="3">
        <f t="shared" si="1"/>
        <v>29.200000000000003</v>
      </c>
      <c r="E30" s="3">
        <f>0.1*1.15</f>
        <v>0.11499999999999999</v>
      </c>
      <c r="F30" s="3">
        <f>E30/$E$80*$F$80</f>
        <v>179.49324324324317</v>
      </c>
      <c r="G30" s="3">
        <f t="shared" si="0"/>
        <v>292.15450743243241</v>
      </c>
      <c r="H30" s="122"/>
      <c r="I30" s="123">
        <f t="shared" si="2"/>
        <v>-292.15450743243241</v>
      </c>
      <c r="J30" s="6"/>
      <c r="K30" s="6"/>
      <c r="L30" s="6">
        <v>11</v>
      </c>
    </row>
    <row r="31" spans="1:12" x14ac:dyDescent="0.25">
      <c r="A31" s="9" t="s">
        <v>626</v>
      </c>
      <c r="B31" s="9"/>
      <c r="C31" s="9"/>
      <c r="D31" s="9"/>
      <c r="E31" s="9"/>
      <c r="F31" s="9"/>
      <c r="G31" s="9"/>
      <c r="H31" s="9"/>
      <c r="I31" s="120">
        <f>I32</f>
        <v>-584.30901486486482</v>
      </c>
      <c r="J31" s="9">
        <v>585</v>
      </c>
      <c r="K31" s="38">
        <f>J31+I31-L32+10</f>
        <v>-0.30901486486482099</v>
      </c>
      <c r="L31" s="9"/>
    </row>
    <row r="32" spans="1:12" ht="30" x14ac:dyDescent="0.25">
      <c r="A32" s="18" t="s">
        <v>519</v>
      </c>
      <c r="B32" s="132">
        <v>1</v>
      </c>
      <c r="C32" s="3">
        <f>2920/1000*200</f>
        <v>584</v>
      </c>
      <c r="D32" s="3">
        <f t="shared" si="1"/>
        <v>58.400000000000006</v>
      </c>
      <c r="E32" s="3">
        <f>0.2*1.15</f>
        <v>0.22999999999999998</v>
      </c>
      <c r="F32" s="3">
        <f>E32/$E$80*$F$80</f>
        <v>358.98648648648634</v>
      </c>
      <c r="G32" s="3">
        <f t="shared" si="0"/>
        <v>584.30901486486482</v>
      </c>
      <c r="H32" s="122"/>
      <c r="I32" s="123">
        <f t="shared" si="2"/>
        <v>-584.30901486486482</v>
      </c>
      <c r="J32" s="6"/>
      <c r="K32" s="6"/>
      <c r="L32" s="6">
        <v>11</v>
      </c>
    </row>
    <row r="33" spans="1:13" x14ac:dyDescent="0.25">
      <c r="A33" s="9" t="s">
        <v>627</v>
      </c>
      <c r="B33" s="9"/>
      <c r="C33" s="9"/>
      <c r="D33" s="9"/>
      <c r="E33" s="9"/>
      <c r="F33" s="9"/>
      <c r="G33" s="9"/>
      <c r="H33" s="9"/>
      <c r="I33" s="120">
        <f>I34</f>
        <v>-876.46352229729723</v>
      </c>
      <c r="J33" s="9">
        <v>878</v>
      </c>
      <c r="K33" s="38">
        <f>J33+I33</f>
        <v>1.5364777027027685</v>
      </c>
      <c r="L33" s="9"/>
    </row>
    <row r="34" spans="1:13" ht="30" x14ac:dyDescent="0.25">
      <c r="A34" s="18" t="s">
        <v>537</v>
      </c>
      <c r="B34" s="132">
        <v>1</v>
      </c>
      <c r="C34" s="3">
        <f>2920/1000*300</f>
        <v>876</v>
      </c>
      <c r="D34" s="3">
        <f t="shared" si="1"/>
        <v>87.600000000000009</v>
      </c>
      <c r="E34" s="3">
        <f>0.3*1.15</f>
        <v>0.34499999999999997</v>
      </c>
      <c r="F34" s="3">
        <f>E34/$E$80*$F$80</f>
        <v>538.47972972972957</v>
      </c>
      <c r="G34" s="3">
        <f t="shared" si="0"/>
        <v>876.46352229729723</v>
      </c>
      <c r="H34" s="122"/>
      <c r="I34" s="123">
        <f t="shared" si="2"/>
        <v>-876.46352229729723</v>
      </c>
      <c r="J34" s="6"/>
      <c r="K34" s="6"/>
      <c r="L34" s="6"/>
      <c r="M34" t="s">
        <v>560</v>
      </c>
    </row>
    <row r="35" spans="1:13" x14ac:dyDescent="0.25">
      <c r="A35" s="9" t="s">
        <v>623</v>
      </c>
      <c r="B35" s="9"/>
      <c r="C35" s="9"/>
      <c r="D35" s="9"/>
      <c r="E35" s="9"/>
      <c r="F35" s="9"/>
      <c r="G35" s="9"/>
      <c r="H35" s="9"/>
      <c r="I35" s="120">
        <f>I36+I37</f>
        <v>-1100.5979759797297</v>
      </c>
      <c r="J35" s="9">
        <v>1103</v>
      </c>
      <c r="K35" s="38">
        <f>J35+I35-L36-L37+20</f>
        <v>0.40202402027034623</v>
      </c>
      <c r="L35" s="9"/>
    </row>
    <row r="36" spans="1:13" x14ac:dyDescent="0.25">
      <c r="A36" s="18" t="s">
        <v>628</v>
      </c>
      <c r="B36" s="132">
        <v>1</v>
      </c>
      <c r="C36" s="3">
        <f>3402/1000*200</f>
        <v>680.4</v>
      </c>
      <c r="D36" s="3">
        <f t="shared" si="1"/>
        <v>68.040000000000006</v>
      </c>
      <c r="E36" s="3">
        <f>0.2*1.15</f>
        <v>0.22999999999999998</v>
      </c>
      <c r="F36" s="3">
        <f>E36/$E$80*$F$80</f>
        <v>358.98648648648634</v>
      </c>
      <c r="G36" s="3">
        <f t="shared" si="0"/>
        <v>646.18335486486478</v>
      </c>
      <c r="H36" s="122"/>
      <c r="I36" s="123">
        <f t="shared" si="2"/>
        <v>-646.18335486486478</v>
      </c>
      <c r="J36" s="6"/>
      <c r="K36" s="6"/>
      <c r="L36" s="6">
        <v>11</v>
      </c>
    </row>
    <row r="37" spans="1:13" x14ac:dyDescent="0.25">
      <c r="A37" s="18" t="s">
        <v>581</v>
      </c>
      <c r="B37" s="132">
        <v>1</v>
      </c>
      <c r="C37" s="3">
        <f>3053/1600*200</f>
        <v>381.625</v>
      </c>
      <c r="D37" s="3">
        <f>B37*C37*0.1</f>
        <v>38.162500000000001</v>
      </c>
      <c r="E37" s="3">
        <f>0.2*1.15</f>
        <v>0.22999999999999998</v>
      </c>
      <c r="F37" s="3">
        <f>E37/$E$80*$F$80</f>
        <v>358.98648648648634</v>
      </c>
      <c r="G37" s="3">
        <f>(C37)*$B$1+D37*$B$1+F37*$B$1</f>
        <v>454.41462111486476</v>
      </c>
      <c r="H37" s="122"/>
      <c r="I37" s="123">
        <f>H37-G37</f>
        <v>-454.41462111486476</v>
      </c>
      <c r="J37" s="6"/>
      <c r="K37" s="6"/>
      <c r="L37" s="6">
        <v>11</v>
      </c>
    </row>
    <row r="38" spans="1:13" x14ac:dyDescent="0.25">
      <c r="A38" s="9" t="s">
        <v>326</v>
      </c>
      <c r="B38" s="9"/>
      <c r="C38" s="9"/>
      <c r="D38" s="9"/>
      <c r="E38" s="9"/>
      <c r="F38" s="9"/>
      <c r="G38" s="9"/>
      <c r="H38" s="9"/>
      <c r="I38" s="120">
        <f>I39</f>
        <v>-1459.4888371621621</v>
      </c>
      <c r="J38" s="9">
        <v>1462</v>
      </c>
      <c r="K38" s="38">
        <f>J38+I38-L39+19</f>
        <v>-0.48883716216209905</v>
      </c>
      <c r="L38" s="9"/>
    </row>
    <row r="39" spans="1:13" ht="30" x14ac:dyDescent="0.25">
      <c r="A39" s="18" t="s">
        <v>629</v>
      </c>
      <c r="B39" s="132">
        <v>1</v>
      </c>
      <c r="C39" s="3">
        <f>2916/1000*500</f>
        <v>1458</v>
      </c>
      <c r="D39" s="3">
        <f t="shared" si="1"/>
        <v>145.80000000000001</v>
      </c>
      <c r="E39" s="3">
        <f>0.5*1.15</f>
        <v>0.57499999999999996</v>
      </c>
      <c r="F39" s="3">
        <f>E39/$E$80*$F$80</f>
        <v>897.46621621621591</v>
      </c>
      <c r="G39" s="3">
        <f t="shared" si="0"/>
        <v>1459.4888371621621</v>
      </c>
      <c r="H39" s="122"/>
      <c r="I39" s="123">
        <f t="shared" si="2"/>
        <v>-1459.4888371621621</v>
      </c>
      <c r="J39" s="6"/>
      <c r="K39" s="6"/>
      <c r="L39" s="6">
        <v>22</v>
      </c>
    </row>
    <row r="40" spans="1:13" x14ac:dyDescent="0.25">
      <c r="A40" s="9" t="s">
        <v>630</v>
      </c>
      <c r="B40" s="9"/>
      <c r="C40" s="9"/>
      <c r="D40" s="9"/>
      <c r="E40" s="9"/>
      <c r="F40" s="9"/>
      <c r="G40" s="9"/>
      <c r="H40" s="9"/>
      <c r="I40" s="120">
        <f>I41</f>
        <v>-250.52595028957526</v>
      </c>
      <c r="J40" s="9">
        <v>248</v>
      </c>
      <c r="K40" s="38">
        <f>J40+I40-L41+14</f>
        <v>0.47404971042473676</v>
      </c>
      <c r="L40" s="9"/>
    </row>
    <row r="41" spans="1:13" ht="24" x14ac:dyDescent="0.25">
      <c r="A41" s="91" t="s">
        <v>624</v>
      </c>
      <c r="B41" s="132">
        <v>1</v>
      </c>
      <c r="C41" s="100">
        <f>2226/980*100</f>
        <v>227.14285714285714</v>
      </c>
      <c r="D41" s="3">
        <f t="shared" si="1"/>
        <v>22.714285714285715</v>
      </c>
      <c r="E41" s="3">
        <f>0.1*1.15</f>
        <v>0.11499999999999999</v>
      </c>
      <c r="F41" s="3">
        <f>E41/$E$80*$F$80</f>
        <v>179.49324324324317</v>
      </c>
      <c r="G41" s="3">
        <f t="shared" si="0"/>
        <v>250.52595028957526</v>
      </c>
      <c r="H41" s="122"/>
      <c r="I41" s="123">
        <f t="shared" si="2"/>
        <v>-250.52595028957526</v>
      </c>
      <c r="J41" s="6"/>
      <c r="K41" s="6"/>
      <c r="L41" s="6">
        <v>11</v>
      </c>
    </row>
    <row r="42" spans="1:13" x14ac:dyDescent="0.25">
      <c r="A42" s="9" t="s">
        <v>398</v>
      </c>
      <c r="B42" s="9"/>
      <c r="C42" s="9"/>
      <c r="D42" s="9"/>
      <c r="E42" s="9"/>
      <c r="F42" s="9"/>
      <c r="G42" s="9"/>
      <c r="H42" s="9"/>
      <c r="I42" s="120">
        <f>I43+I44</f>
        <v>-550.75735934362922</v>
      </c>
      <c r="J42" s="9">
        <v>805</v>
      </c>
      <c r="K42" s="38">
        <f>J42+I42-L43-L44</f>
        <v>232.24264065637078</v>
      </c>
      <c r="L42" s="9"/>
    </row>
    <row r="43" spans="1:13" x14ac:dyDescent="0.25">
      <c r="A43" s="18" t="s">
        <v>622</v>
      </c>
      <c r="B43" s="132">
        <v>1</v>
      </c>
      <c r="C43" s="3">
        <f>2833/1000*100</f>
        <v>283.3</v>
      </c>
      <c r="D43" s="3">
        <f t="shared" si="1"/>
        <v>28.330000000000002</v>
      </c>
      <c r="E43" s="100">
        <f>0.1*1.3</f>
        <v>0.13</v>
      </c>
      <c r="F43" s="3">
        <f>E43/$E$80*$F$80</f>
        <v>202.90540540540533</v>
      </c>
      <c r="G43" s="3">
        <f t="shared" si="0"/>
        <v>300.23140905405398</v>
      </c>
      <c r="H43" s="122"/>
      <c r="I43" s="123">
        <f t="shared" si="2"/>
        <v>-300.23140905405398</v>
      </c>
      <c r="J43" s="6"/>
      <c r="K43" s="6"/>
      <c r="L43" s="6">
        <v>11</v>
      </c>
    </row>
    <row r="44" spans="1:13" ht="24" x14ac:dyDescent="0.25">
      <c r="A44" s="91" t="s">
        <v>624</v>
      </c>
      <c r="B44" s="132">
        <v>1</v>
      </c>
      <c r="C44" s="100">
        <f>2226/980*100</f>
        <v>227.14285714285714</v>
      </c>
      <c r="D44" s="3">
        <f t="shared" si="1"/>
        <v>22.714285714285715</v>
      </c>
      <c r="E44" s="3">
        <f>0.1*1.15</f>
        <v>0.11499999999999999</v>
      </c>
      <c r="F44" s="3">
        <f>E44/$E$80*$F$80</f>
        <v>179.49324324324317</v>
      </c>
      <c r="G44" s="3">
        <f t="shared" si="0"/>
        <v>250.52595028957526</v>
      </c>
      <c r="H44" s="122"/>
      <c r="I44" s="123">
        <f t="shared" si="2"/>
        <v>-250.52595028957526</v>
      </c>
      <c r="J44" s="6"/>
      <c r="K44" s="6"/>
      <c r="L44" s="6">
        <v>11</v>
      </c>
    </row>
    <row r="45" spans="1:13" x14ac:dyDescent="0.25">
      <c r="A45" s="9" t="s">
        <v>631</v>
      </c>
      <c r="B45" s="9"/>
      <c r="C45" s="9"/>
      <c r="D45" s="9"/>
      <c r="E45" s="9"/>
      <c r="F45" s="9"/>
      <c r="G45" s="9"/>
      <c r="H45" s="9"/>
      <c r="I45" s="120">
        <f>I46+I47</f>
        <v>-1444.6762278185327</v>
      </c>
      <c r="J45" s="9">
        <v>1440</v>
      </c>
      <c r="K45" s="38">
        <f>J45+I45-L46-L47+27</f>
        <v>0.32377218146734776</v>
      </c>
      <c r="L45" s="9"/>
    </row>
    <row r="46" spans="1:13" ht="30" x14ac:dyDescent="0.25">
      <c r="A46" s="18" t="s">
        <v>576</v>
      </c>
      <c r="B46" s="132">
        <v>1</v>
      </c>
      <c r="C46" s="3">
        <f>3529/1000*300</f>
        <v>1058.7</v>
      </c>
      <c r="D46" s="3">
        <f t="shared" si="1"/>
        <v>105.87</v>
      </c>
      <c r="E46" s="3">
        <f>0.3*1.15</f>
        <v>0.34499999999999997</v>
      </c>
      <c r="F46" s="3">
        <f>E46/$E$80*$F$80</f>
        <v>538.47972972972957</v>
      </c>
      <c r="G46" s="3">
        <f t="shared" si="0"/>
        <v>993.72951729729721</v>
      </c>
      <c r="H46" s="122"/>
      <c r="I46" s="123">
        <f t="shared" si="2"/>
        <v>-993.72951729729721</v>
      </c>
      <c r="J46" s="6"/>
      <c r="K46" s="6"/>
      <c r="L46" s="6">
        <v>11</v>
      </c>
    </row>
    <row r="47" spans="1:13" ht="24" x14ac:dyDescent="0.25">
      <c r="A47" s="91" t="s">
        <v>632</v>
      </c>
      <c r="B47" s="132">
        <v>1</v>
      </c>
      <c r="C47" s="100">
        <f>2226/980*180</f>
        <v>408.85714285714283</v>
      </c>
      <c r="D47" s="3">
        <f t="shared" si="1"/>
        <v>40.885714285714286</v>
      </c>
      <c r="E47" s="3">
        <f>0.18*1.15</f>
        <v>0.20699999999999999</v>
      </c>
      <c r="F47" s="3">
        <f>E47/$E$80*$F$80</f>
        <v>323.08783783783775</v>
      </c>
      <c r="G47" s="3">
        <f t="shared" si="0"/>
        <v>450.94671052123545</v>
      </c>
      <c r="H47" s="122"/>
      <c r="I47" s="123">
        <f t="shared" si="2"/>
        <v>-450.94671052123545</v>
      </c>
      <c r="J47" s="6"/>
      <c r="K47" s="6"/>
      <c r="L47" s="6">
        <v>11</v>
      </c>
    </row>
    <row r="48" spans="1:13" x14ac:dyDescent="0.25">
      <c r="A48" s="9" t="s">
        <v>633</v>
      </c>
      <c r="B48" s="9"/>
      <c r="C48" s="9"/>
      <c r="D48" s="9"/>
      <c r="E48" s="9"/>
      <c r="F48" s="9"/>
      <c r="G48" s="9"/>
      <c r="H48" s="9"/>
      <c r="I48" s="120">
        <f>I49+I50</f>
        <v>-955.46652169401523</v>
      </c>
      <c r="J48" s="9">
        <v>952</v>
      </c>
      <c r="K48" s="38">
        <f>J48+I48-L50+14</f>
        <v>-0.46652169401522769</v>
      </c>
      <c r="L48" s="9"/>
    </row>
    <row r="49" spans="1:13" x14ac:dyDescent="0.25">
      <c r="A49" s="18" t="s">
        <v>581</v>
      </c>
      <c r="B49" s="132">
        <v>1</v>
      </c>
      <c r="C49" s="3">
        <f>3053/1600*200</f>
        <v>381.625</v>
      </c>
      <c r="D49" s="3">
        <f t="shared" si="1"/>
        <v>38.162500000000001</v>
      </c>
      <c r="E49" s="3">
        <f>0.2*1.15</f>
        <v>0.22999999999999998</v>
      </c>
      <c r="F49" s="3">
        <f>E49/$E$80*$F$80</f>
        <v>358.98648648648634</v>
      </c>
      <c r="G49" s="3">
        <f t="shared" si="0"/>
        <v>454.41462111486476</v>
      </c>
      <c r="H49" s="122"/>
      <c r="I49" s="123">
        <f t="shared" si="2"/>
        <v>-454.41462111486476</v>
      </c>
      <c r="J49" s="6"/>
      <c r="K49" s="6"/>
      <c r="L49" s="6"/>
    </row>
    <row r="50" spans="1:13" ht="24" x14ac:dyDescent="0.25">
      <c r="A50" s="91" t="s">
        <v>634</v>
      </c>
      <c r="B50" s="132">
        <v>1</v>
      </c>
      <c r="C50" s="100">
        <f>2226/980*200</f>
        <v>454.28571428571428</v>
      </c>
      <c r="D50" s="3">
        <f t="shared" si="1"/>
        <v>45.428571428571431</v>
      </c>
      <c r="E50" s="3">
        <f>0.2*1.15</f>
        <v>0.22999999999999998</v>
      </c>
      <c r="F50" s="3">
        <f>E50/$E$80*$F$80</f>
        <v>358.98648648648634</v>
      </c>
      <c r="G50" s="3">
        <f t="shared" si="0"/>
        <v>501.05190057915053</v>
      </c>
      <c r="H50" s="122"/>
      <c r="I50" s="123">
        <f t="shared" si="2"/>
        <v>-501.05190057915053</v>
      </c>
      <c r="J50" s="6"/>
      <c r="K50" s="6"/>
      <c r="L50" s="6">
        <v>11</v>
      </c>
    </row>
    <row r="51" spans="1:13" x14ac:dyDescent="0.25">
      <c r="A51" s="9" t="s">
        <v>597</v>
      </c>
      <c r="B51" s="9"/>
      <c r="C51" s="9"/>
      <c r="D51" s="9"/>
      <c r="E51" s="9"/>
      <c r="F51" s="9"/>
      <c r="G51" s="9"/>
      <c r="H51" s="9"/>
      <c r="I51" s="120">
        <f>I52+I53</f>
        <v>-1147.2352554440154</v>
      </c>
      <c r="J51" s="9">
        <v>1142</v>
      </c>
      <c r="K51" s="38">
        <f>J51+I51-L52+69</f>
        <v>52.764744555984635</v>
      </c>
      <c r="L51" s="9"/>
    </row>
    <row r="52" spans="1:13" x14ac:dyDescent="0.25">
      <c r="A52" s="18" t="s">
        <v>628</v>
      </c>
      <c r="B52" s="132">
        <v>1</v>
      </c>
      <c r="C52" s="3">
        <f>3402/1000*200</f>
        <v>680.4</v>
      </c>
      <c r="D52" s="3">
        <f t="shared" si="1"/>
        <v>68.040000000000006</v>
      </c>
      <c r="E52" s="3">
        <f>0.2*1.15</f>
        <v>0.22999999999999998</v>
      </c>
      <c r="F52" s="3">
        <f>E52/$E$80*$F$80</f>
        <v>358.98648648648634</v>
      </c>
      <c r="G52" s="3">
        <f t="shared" si="0"/>
        <v>646.18335486486478</v>
      </c>
      <c r="H52" s="122"/>
      <c r="I52" s="123">
        <f t="shared" si="2"/>
        <v>-646.18335486486478</v>
      </c>
      <c r="J52" s="6"/>
      <c r="K52" s="6"/>
      <c r="L52" s="6">
        <v>11</v>
      </c>
    </row>
    <row r="53" spans="1:13" ht="24" x14ac:dyDescent="0.25">
      <c r="A53" s="91" t="s">
        <v>634</v>
      </c>
      <c r="B53" s="132">
        <v>1</v>
      </c>
      <c r="C53" s="100">
        <f>2226/980*200</f>
        <v>454.28571428571428</v>
      </c>
      <c r="D53" s="3">
        <f t="shared" si="1"/>
        <v>45.428571428571431</v>
      </c>
      <c r="E53" s="3">
        <f>0.2*1.15</f>
        <v>0.22999999999999998</v>
      </c>
      <c r="F53" s="3">
        <f>E53/$E$80*$F$80</f>
        <v>358.98648648648634</v>
      </c>
      <c r="G53" s="3">
        <f t="shared" si="0"/>
        <v>501.05190057915053</v>
      </c>
      <c r="H53" s="122"/>
      <c r="I53" s="123">
        <f t="shared" si="2"/>
        <v>-501.05190057915053</v>
      </c>
      <c r="J53" s="6"/>
      <c r="K53" s="6"/>
      <c r="L53" s="6"/>
      <c r="M53" t="s">
        <v>560</v>
      </c>
    </row>
    <row r="54" spans="1:13" x14ac:dyDescent="0.25">
      <c r="A54" s="9" t="s">
        <v>603</v>
      </c>
      <c r="B54" s="9"/>
      <c r="C54" s="9"/>
      <c r="D54" s="9"/>
      <c r="E54" s="9"/>
      <c r="F54" s="9"/>
      <c r="G54" s="9"/>
      <c r="H54" s="9"/>
      <c r="I54" s="120">
        <f>SUM(I55:I59)</f>
        <v>-5110.5313479222978</v>
      </c>
      <c r="J54" s="9">
        <v>5111</v>
      </c>
      <c r="K54" s="38">
        <f>J54+I54</f>
        <v>0.46865207770224515</v>
      </c>
      <c r="L54" s="9"/>
    </row>
    <row r="55" spans="1:13" x14ac:dyDescent="0.25">
      <c r="A55" s="18" t="s">
        <v>635</v>
      </c>
      <c r="B55" s="132">
        <v>1</v>
      </c>
      <c r="C55" s="3">
        <f>3053/1600*500</f>
        <v>954.0625</v>
      </c>
      <c r="D55" s="3">
        <f t="shared" si="1"/>
        <v>95.40625</v>
      </c>
      <c r="E55" s="3">
        <f>0.5*1.15</f>
        <v>0.57499999999999996</v>
      </c>
      <c r="F55" s="3">
        <f>E55/$E$80*$F$80</f>
        <v>897.46621621621591</v>
      </c>
      <c r="G55" s="3">
        <f t="shared" si="0"/>
        <v>1136.0365527871622</v>
      </c>
      <c r="H55" s="122"/>
      <c r="I55" s="123">
        <f t="shared" si="2"/>
        <v>-1136.0365527871622</v>
      </c>
      <c r="J55" s="6"/>
      <c r="K55" s="6"/>
      <c r="L55" s="6"/>
      <c r="M55" t="s">
        <v>560</v>
      </c>
    </row>
    <row r="56" spans="1:13" ht="30" x14ac:dyDescent="0.25">
      <c r="A56" s="18" t="s">
        <v>629</v>
      </c>
      <c r="B56" s="132">
        <v>1</v>
      </c>
      <c r="C56" s="3">
        <f>2916/1000*500</f>
        <v>1458</v>
      </c>
      <c r="D56" s="3">
        <f t="shared" si="1"/>
        <v>145.80000000000001</v>
      </c>
      <c r="E56" s="3">
        <f>0.5*1.15</f>
        <v>0.57499999999999996</v>
      </c>
      <c r="F56" s="3">
        <f>E56/$E$80*$F$80</f>
        <v>897.46621621621591</v>
      </c>
      <c r="G56" s="3">
        <f t="shared" si="0"/>
        <v>1459.4888371621621</v>
      </c>
      <c r="H56" s="122"/>
      <c r="I56" s="123">
        <f t="shared" si="2"/>
        <v>-1459.4888371621621</v>
      </c>
      <c r="J56" s="6"/>
      <c r="K56" s="6"/>
      <c r="L56" s="6"/>
      <c r="M56" t="s">
        <v>560</v>
      </c>
    </row>
    <row r="57" spans="1:13" x14ac:dyDescent="0.25">
      <c r="A57" s="18" t="s">
        <v>636</v>
      </c>
      <c r="B57" s="132">
        <v>1</v>
      </c>
      <c r="C57" s="3">
        <f>3402/1000*300</f>
        <v>1020.6</v>
      </c>
      <c r="D57" s="3">
        <f t="shared" si="1"/>
        <v>102.06</v>
      </c>
      <c r="E57" s="3">
        <f>0.3*1.15</f>
        <v>0.34499999999999997</v>
      </c>
      <c r="F57" s="3">
        <f>E57/$E$80*$F$80</f>
        <v>538.47972972972957</v>
      </c>
      <c r="G57" s="3">
        <f t="shared" si="0"/>
        <v>969.27503229729723</v>
      </c>
      <c r="H57" s="122"/>
      <c r="I57" s="123">
        <f t="shared" si="2"/>
        <v>-969.27503229729723</v>
      </c>
      <c r="J57" s="6"/>
      <c r="K57" s="6"/>
      <c r="L57" s="6"/>
      <c r="M57" t="s">
        <v>560</v>
      </c>
    </row>
    <row r="58" spans="1:13" x14ac:dyDescent="0.25">
      <c r="A58" s="91" t="s">
        <v>637</v>
      </c>
      <c r="B58" s="3">
        <v>1</v>
      </c>
      <c r="C58" s="3">
        <v>1752</v>
      </c>
      <c r="D58" s="3">
        <f t="shared" si="1"/>
        <v>175.20000000000002</v>
      </c>
      <c r="E58" s="3">
        <f>0.1*1.3</f>
        <v>0.13</v>
      </c>
      <c r="F58" s="3">
        <f>E58/$E$80*$F$80</f>
        <v>202.90540540540533</v>
      </c>
      <c r="G58" s="3">
        <f t="shared" si="0"/>
        <v>1242.9165040540543</v>
      </c>
      <c r="H58" s="122"/>
      <c r="I58" s="123">
        <f t="shared" si="2"/>
        <v>-1242.9165040540543</v>
      </c>
      <c r="J58" s="6"/>
      <c r="K58" s="6"/>
      <c r="L58" s="6"/>
    </row>
    <row r="59" spans="1:13" x14ac:dyDescent="0.25">
      <c r="A59" s="91" t="s">
        <v>638</v>
      </c>
      <c r="B59" s="3">
        <v>1</v>
      </c>
      <c r="C59" s="3">
        <v>398</v>
      </c>
      <c r="D59" s="3">
        <f t="shared" si="1"/>
        <v>39.800000000000004</v>
      </c>
      <c r="E59" s="3">
        <f>0.04*1.3</f>
        <v>5.2000000000000005E-2</v>
      </c>
      <c r="F59" s="3">
        <f>E59/$E$80*$F$80</f>
        <v>81.162162162162147</v>
      </c>
      <c r="G59" s="3">
        <f t="shared" si="0"/>
        <v>302.81442162162159</v>
      </c>
      <c r="H59" s="122"/>
      <c r="I59" s="123">
        <f t="shared" si="2"/>
        <v>-302.81442162162159</v>
      </c>
      <c r="J59" s="6"/>
      <c r="K59" s="6"/>
      <c r="L59" s="6"/>
    </row>
    <row r="60" spans="1:13" x14ac:dyDescent="0.25">
      <c r="A60" s="9" t="s">
        <v>639</v>
      </c>
      <c r="B60" s="9"/>
      <c r="C60" s="9"/>
      <c r="D60" s="9"/>
      <c r="E60" s="9"/>
      <c r="F60" s="9"/>
      <c r="G60" s="9"/>
      <c r="H60" s="9"/>
      <c r="I60" s="120">
        <f>SUM(I61:I65)</f>
        <v>-8079.4855015540525</v>
      </c>
      <c r="J60" s="9">
        <f>8108+15</f>
        <v>8123</v>
      </c>
      <c r="K60" s="38">
        <f>J60+I60-L61-L62-L63</f>
        <v>-0.48550155405246187</v>
      </c>
      <c r="L60" s="9"/>
    </row>
    <row r="61" spans="1:13" x14ac:dyDescent="0.25">
      <c r="A61" s="18" t="s">
        <v>588</v>
      </c>
      <c r="B61" s="132">
        <v>1</v>
      </c>
      <c r="C61" s="3">
        <f>3053/1600*400</f>
        <v>763.25</v>
      </c>
      <c r="D61" s="3">
        <f t="shared" si="1"/>
        <v>76.325000000000003</v>
      </c>
      <c r="E61" s="3">
        <f>0.4*1.15</f>
        <v>0.45999999999999996</v>
      </c>
      <c r="F61" s="3">
        <f>E61/$E$80*$F$80</f>
        <v>717.97297297297268</v>
      </c>
      <c r="G61" s="3">
        <f t="shared" si="0"/>
        <v>908.82924222972952</v>
      </c>
      <c r="H61" s="122"/>
      <c r="I61" s="123">
        <f t="shared" si="2"/>
        <v>-908.82924222972952</v>
      </c>
      <c r="J61" s="6"/>
      <c r="K61" s="6"/>
      <c r="L61" s="6">
        <v>22</v>
      </c>
    </row>
    <row r="62" spans="1:13" x14ac:dyDescent="0.25">
      <c r="A62" s="18" t="s">
        <v>636</v>
      </c>
      <c r="B62" s="132">
        <v>1</v>
      </c>
      <c r="C62" s="3">
        <f>3402/1000*300</f>
        <v>1020.6</v>
      </c>
      <c r="D62" s="3">
        <f t="shared" si="1"/>
        <v>102.06</v>
      </c>
      <c r="E62" s="3">
        <f>0.3*1.15</f>
        <v>0.34499999999999997</v>
      </c>
      <c r="F62" s="3">
        <f>E62/$E$80*$F$80</f>
        <v>538.47972972972957</v>
      </c>
      <c r="G62" s="3">
        <f t="shared" si="0"/>
        <v>969.27503229729723</v>
      </c>
      <c r="H62" s="122"/>
      <c r="I62" s="123">
        <f t="shared" si="2"/>
        <v>-969.27503229729723</v>
      </c>
      <c r="J62" s="6"/>
      <c r="K62" s="6"/>
      <c r="L62" s="6">
        <v>11</v>
      </c>
    </row>
    <row r="63" spans="1:13" ht="30" x14ac:dyDescent="0.25">
      <c r="A63" s="18" t="s">
        <v>519</v>
      </c>
      <c r="B63" s="132">
        <v>1</v>
      </c>
      <c r="C63" s="3">
        <f>2920/1000*200</f>
        <v>584</v>
      </c>
      <c r="D63" s="3">
        <f t="shared" si="1"/>
        <v>58.400000000000006</v>
      </c>
      <c r="E63" s="3">
        <f>0.2*1.15</f>
        <v>0.22999999999999998</v>
      </c>
      <c r="F63" s="3">
        <f>E63/$E$80*$F$80</f>
        <v>358.98648648648634</v>
      </c>
      <c r="G63" s="3">
        <f t="shared" si="0"/>
        <v>584.30901486486482</v>
      </c>
      <c r="H63" s="122"/>
      <c r="I63" s="123">
        <f t="shared" si="2"/>
        <v>-584.30901486486482</v>
      </c>
      <c r="J63" s="6"/>
      <c r="K63" s="6"/>
      <c r="L63" s="6">
        <v>11</v>
      </c>
    </row>
    <row r="64" spans="1:13" x14ac:dyDescent="0.25">
      <c r="A64" s="18" t="s">
        <v>640</v>
      </c>
      <c r="B64" s="3">
        <v>1</v>
      </c>
      <c r="C64" s="3">
        <v>1722</v>
      </c>
      <c r="D64" s="3">
        <f t="shared" si="1"/>
        <v>172.20000000000002</v>
      </c>
      <c r="E64" s="3">
        <f>1.18*1.3</f>
        <v>1.534</v>
      </c>
      <c r="F64" s="3">
        <f>E64/$E$80*$F$80</f>
        <v>2394.2837837837828</v>
      </c>
      <c r="G64" s="3">
        <f t="shared" si="0"/>
        <v>2502.3302878378372</v>
      </c>
      <c r="H64" s="122"/>
      <c r="I64" s="123">
        <f t="shared" si="2"/>
        <v>-2502.3302878378372</v>
      </c>
      <c r="J64" s="6"/>
      <c r="K64" s="6"/>
      <c r="L64" s="6"/>
    </row>
    <row r="65" spans="1:13" ht="30" x14ac:dyDescent="0.25">
      <c r="A65" s="18" t="s">
        <v>645</v>
      </c>
      <c r="B65" s="3">
        <v>1</v>
      </c>
      <c r="C65" s="3">
        <v>3221</v>
      </c>
      <c r="D65" s="3">
        <f t="shared" si="1"/>
        <v>322.10000000000002</v>
      </c>
      <c r="E65" s="3">
        <f>1*1.15</f>
        <v>1.1499999999999999</v>
      </c>
      <c r="F65" s="3">
        <f>E65/$E$80*$F$80</f>
        <v>1794.9324324324318</v>
      </c>
      <c r="G65" s="3">
        <f t="shared" si="0"/>
        <v>3114.7419243243239</v>
      </c>
      <c r="H65" s="122"/>
      <c r="I65" s="123">
        <f t="shared" si="2"/>
        <v>-3114.7419243243239</v>
      </c>
      <c r="J65" s="6"/>
      <c r="K65" s="6"/>
      <c r="L65" s="6"/>
    </row>
    <row r="66" spans="1:13" x14ac:dyDescent="0.25">
      <c r="A66" s="9" t="s">
        <v>641</v>
      </c>
      <c r="B66" s="9"/>
      <c r="C66" s="9"/>
      <c r="D66" s="9"/>
      <c r="E66" s="9"/>
      <c r="F66" s="9"/>
      <c r="G66" s="9"/>
      <c r="H66" s="9"/>
      <c r="I66" s="120">
        <f>I67+I68</f>
        <v>-2329.3378349999998</v>
      </c>
      <c r="J66" s="9">
        <v>2326</v>
      </c>
      <c r="K66" s="38">
        <f>J66+I66+3</f>
        <v>-0.33783499999981359</v>
      </c>
      <c r="L66" s="9"/>
    </row>
    <row r="67" spans="1:13" ht="30" x14ac:dyDescent="0.25">
      <c r="A67" s="18" t="s">
        <v>570</v>
      </c>
      <c r="B67" s="132">
        <v>1</v>
      </c>
      <c r="C67" s="3">
        <f>3529/1000*400</f>
        <v>1411.6</v>
      </c>
      <c r="D67" s="3">
        <f t="shared" ref="D67:D79" si="3">B67*C67*0.1</f>
        <v>141.16</v>
      </c>
      <c r="E67" s="3">
        <f>0.4*1.15</f>
        <v>0.45999999999999996</v>
      </c>
      <c r="F67" s="3">
        <f>E67/$E$80*$F$80</f>
        <v>717.97297297297268</v>
      </c>
      <c r="G67" s="3">
        <f t="shared" ref="G67:G79" si="4">(C67)*$B$1+D67*$B$1+F67*$B$1</f>
        <v>1324.9726897297296</v>
      </c>
      <c r="H67" s="122"/>
      <c r="I67" s="123">
        <f t="shared" ref="I67:I79" si="5">H67-G67</f>
        <v>-1324.9726897297296</v>
      </c>
      <c r="J67" s="6"/>
      <c r="K67" s="6"/>
      <c r="L67" s="6"/>
      <c r="M67" t="s">
        <v>654</v>
      </c>
    </row>
    <row r="68" spans="1:13" x14ac:dyDescent="0.25">
      <c r="A68" s="134" t="s">
        <v>642</v>
      </c>
      <c r="B68" s="132">
        <v>1</v>
      </c>
      <c r="C68" s="3">
        <v>1325</v>
      </c>
      <c r="D68" s="3">
        <f t="shared" si="3"/>
        <v>132.5</v>
      </c>
      <c r="E68" s="3">
        <f>0.13*1.3</f>
        <v>0.16900000000000001</v>
      </c>
      <c r="F68" s="3">
        <f>E68/$E$80*$F$80</f>
        <v>263.77702702702697</v>
      </c>
      <c r="G68" s="3">
        <f t="shared" si="4"/>
        <v>1004.3651452702703</v>
      </c>
      <c r="H68" s="122"/>
      <c r="I68" s="123">
        <f t="shared" si="5"/>
        <v>-1004.3651452702703</v>
      </c>
      <c r="J68" s="6"/>
      <c r="K68" s="6"/>
      <c r="L68" s="6"/>
    </row>
    <row r="69" spans="1:13" x14ac:dyDescent="0.25">
      <c r="A69" s="9" t="s">
        <v>567</v>
      </c>
      <c r="B69" s="9"/>
      <c r="C69" s="9"/>
      <c r="D69" s="9"/>
      <c r="E69" s="9"/>
      <c r="F69" s="9"/>
      <c r="G69" s="9"/>
      <c r="H69" s="9"/>
      <c r="I69" s="136">
        <f>SUM(I70:I74)</f>
        <v>-5649.1408990540531</v>
      </c>
      <c r="J69" s="9">
        <f>2500+552</f>
        <v>3052</v>
      </c>
      <c r="K69" s="38">
        <f>J69+I69-L74</f>
        <v>-2608.1408990540531</v>
      </c>
      <c r="L69" s="9"/>
    </row>
    <row r="70" spans="1:13" x14ac:dyDescent="0.25">
      <c r="A70" s="18" t="s">
        <v>568</v>
      </c>
      <c r="B70" s="77">
        <v>2</v>
      </c>
      <c r="C70" s="26">
        <v>1750</v>
      </c>
      <c r="D70" s="3">
        <f>B70*C70*0.1</f>
        <v>350</v>
      </c>
      <c r="E70" s="3">
        <f>0.12*1.3*B70</f>
        <v>0.312</v>
      </c>
      <c r="F70" s="3">
        <f>E70/$E$80*$F$80</f>
        <v>486.9729729729728</v>
      </c>
      <c r="G70" s="3">
        <f>(C70)*$B$1+D70*$B$1+F70*$B$1</f>
        <v>1509.4987297297296</v>
      </c>
      <c r="H70" s="122"/>
      <c r="I70" s="137">
        <f t="shared" si="5"/>
        <v>-1509.4987297297296</v>
      </c>
      <c r="J70" s="6"/>
      <c r="K70" s="6"/>
      <c r="L70" s="6"/>
    </row>
    <row r="71" spans="1:13" x14ac:dyDescent="0.25">
      <c r="A71" s="18" t="s">
        <v>569</v>
      </c>
      <c r="B71" s="26">
        <v>1</v>
      </c>
      <c r="C71" s="26">
        <v>875</v>
      </c>
      <c r="D71" s="3">
        <f t="shared" si="3"/>
        <v>87.5</v>
      </c>
      <c r="E71" s="3">
        <f>0.12*1.3*B71</f>
        <v>0.156</v>
      </c>
      <c r="F71" s="3">
        <f>E71/$E$80*$F$80</f>
        <v>243.4864864864864</v>
      </c>
      <c r="G71" s="3">
        <f t="shared" si="4"/>
        <v>703.69311486486481</v>
      </c>
      <c r="H71" s="122"/>
      <c r="I71" s="137">
        <f t="shared" si="5"/>
        <v>-703.69311486486481</v>
      </c>
      <c r="J71" s="6"/>
      <c r="K71" s="6"/>
      <c r="L71" s="6"/>
    </row>
    <row r="72" spans="1:13" x14ac:dyDescent="0.25">
      <c r="A72" s="18" t="s">
        <v>548</v>
      </c>
      <c r="B72" s="26">
        <v>1</v>
      </c>
      <c r="C72" s="26">
        <v>1290</v>
      </c>
      <c r="D72" s="3">
        <f t="shared" si="3"/>
        <v>129</v>
      </c>
      <c r="E72" s="3">
        <f>0.1*1.15</f>
        <v>0.11499999999999999</v>
      </c>
      <c r="F72" s="3">
        <f>E72/$E$80*$F$80</f>
        <v>179.49324324324317</v>
      </c>
      <c r="G72" s="3">
        <f t="shared" si="4"/>
        <v>932.72080743243237</v>
      </c>
      <c r="H72" s="122"/>
      <c r="I72" s="137">
        <f t="shared" si="5"/>
        <v>-932.72080743243237</v>
      </c>
      <c r="J72" s="6"/>
      <c r="K72" s="6"/>
      <c r="L72" s="6"/>
    </row>
    <row r="73" spans="1:13" x14ac:dyDescent="0.25">
      <c r="A73" s="18" t="s">
        <v>653</v>
      </c>
      <c r="B73" s="77">
        <v>2</v>
      </c>
      <c r="C73" s="26">
        <v>1750</v>
      </c>
      <c r="D73" s="3">
        <f t="shared" si="3"/>
        <v>350</v>
      </c>
      <c r="E73" s="3">
        <f>0.12*1.3*B73</f>
        <v>0.312</v>
      </c>
      <c r="F73" s="3">
        <f>E73/$E$80*$F$80</f>
        <v>486.9729729729728</v>
      </c>
      <c r="G73" s="3">
        <f t="shared" si="4"/>
        <v>1509.4987297297296</v>
      </c>
      <c r="H73" s="122"/>
      <c r="I73" s="137">
        <f t="shared" si="5"/>
        <v>-1509.4987297297296</v>
      </c>
      <c r="J73" s="6"/>
      <c r="K73" s="6"/>
      <c r="L73" s="6"/>
    </row>
    <row r="74" spans="1:13" ht="30" x14ac:dyDescent="0.25">
      <c r="A74" s="18" t="s">
        <v>576</v>
      </c>
      <c r="B74" s="26">
        <v>1</v>
      </c>
      <c r="C74" s="26">
        <f>3529/1000*300</f>
        <v>1058.7</v>
      </c>
      <c r="D74" s="3">
        <f t="shared" si="3"/>
        <v>105.87</v>
      </c>
      <c r="E74" s="3">
        <f>0.3*1.15</f>
        <v>0.34499999999999997</v>
      </c>
      <c r="F74" s="3">
        <f>E74/$E$80*$F$80</f>
        <v>538.47972972972957</v>
      </c>
      <c r="G74" s="3">
        <f t="shared" si="4"/>
        <v>993.72951729729721</v>
      </c>
      <c r="H74" s="122"/>
      <c r="I74" s="137">
        <f t="shared" si="5"/>
        <v>-993.72951729729721</v>
      </c>
      <c r="J74" s="6"/>
      <c r="K74" s="6"/>
      <c r="L74" s="6">
        <v>11</v>
      </c>
    </row>
    <row r="75" spans="1:13" x14ac:dyDescent="0.25">
      <c r="A75" s="9" t="s">
        <v>530</v>
      </c>
      <c r="B75" s="9"/>
      <c r="C75" s="9"/>
      <c r="D75" s="9"/>
      <c r="E75" s="9"/>
      <c r="F75" s="9"/>
      <c r="G75" s="9"/>
      <c r="H75" s="9"/>
      <c r="I75" s="120">
        <f>I76+I77</f>
        <v>-3371.898259459459</v>
      </c>
      <c r="J75" s="9">
        <f>7+3353</f>
        <v>3360</v>
      </c>
      <c r="K75" s="38">
        <f>J75+I75+5</f>
        <v>-6.898259459459041</v>
      </c>
      <c r="L75" s="9"/>
    </row>
    <row r="76" spans="1:13" x14ac:dyDescent="0.25">
      <c r="A76" s="91" t="s">
        <v>572</v>
      </c>
      <c r="B76" s="77">
        <v>2</v>
      </c>
      <c r="C76" s="3">
        <v>2198</v>
      </c>
      <c r="D76" s="3">
        <f t="shared" si="3"/>
        <v>439.6</v>
      </c>
      <c r="E76" s="3">
        <f>0.12*1.3*B76</f>
        <v>0.312</v>
      </c>
      <c r="F76" s="3">
        <f>E76/$E$80*$F$80</f>
        <v>486.9729729729728</v>
      </c>
      <c r="G76" s="3">
        <f>(C76)*$B$1+D76*$B$1+F76*$B$1</f>
        <v>1823.1883297297297</v>
      </c>
      <c r="H76" s="122"/>
      <c r="I76" s="123">
        <f t="shared" si="5"/>
        <v>-1823.1883297297297</v>
      </c>
      <c r="J76" s="6"/>
      <c r="K76" s="6"/>
      <c r="L76" s="6"/>
    </row>
    <row r="77" spans="1:13" x14ac:dyDescent="0.25">
      <c r="A77" s="91" t="s">
        <v>643</v>
      </c>
      <c r="B77" s="77">
        <v>2</v>
      </c>
      <c r="C77" s="3">
        <v>1806</v>
      </c>
      <c r="D77" s="3">
        <f t="shared" si="3"/>
        <v>361.20000000000005</v>
      </c>
      <c r="E77" s="3">
        <f>0.12*1.3*B77</f>
        <v>0.312</v>
      </c>
      <c r="F77" s="3">
        <f>E77/$E$80*$F$80</f>
        <v>486.9729729729728</v>
      </c>
      <c r="G77" s="3">
        <f t="shared" si="4"/>
        <v>1548.7099297297295</v>
      </c>
      <c r="H77" s="122"/>
      <c r="I77" s="123">
        <f t="shared" si="5"/>
        <v>-1548.7099297297295</v>
      </c>
      <c r="J77" s="6"/>
      <c r="K77" s="6"/>
      <c r="L77" s="6"/>
    </row>
    <row r="78" spans="1:13" x14ac:dyDescent="0.25">
      <c r="A78" s="9" t="s">
        <v>644</v>
      </c>
      <c r="B78" s="9"/>
      <c r="C78" s="9"/>
      <c r="D78" s="9"/>
      <c r="E78" s="9"/>
      <c r="F78" s="9"/>
      <c r="G78" s="9"/>
      <c r="H78" s="9"/>
      <c r="I78" s="120">
        <f>I79</f>
        <v>-300.23140905405398</v>
      </c>
      <c r="J78" s="9">
        <v>290</v>
      </c>
      <c r="K78" s="38">
        <f>J78+I78-L79+21</f>
        <v>-0.23140905405398371</v>
      </c>
      <c r="L78" s="9"/>
    </row>
    <row r="79" spans="1:13" x14ac:dyDescent="0.25">
      <c r="A79" s="18" t="s">
        <v>622</v>
      </c>
      <c r="B79" s="132">
        <v>1</v>
      </c>
      <c r="C79" s="3">
        <f>2833/1000*100</f>
        <v>283.3</v>
      </c>
      <c r="D79" s="3">
        <f t="shared" si="3"/>
        <v>28.330000000000002</v>
      </c>
      <c r="E79" s="100">
        <f>0.1*1.3</f>
        <v>0.13</v>
      </c>
      <c r="F79" s="3">
        <f>E79/$E$80*$F$80</f>
        <v>202.90540540540533</v>
      </c>
      <c r="G79" s="3">
        <f t="shared" si="4"/>
        <v>300.23140905405398</v>
      </c>
      <c r="H79" s="122"/>
      <c r="I79" s="123">
        <f t="shared" si="5"/>
        <v>-300.23140905405398</v>
      </c>
      <c r="J79" s="6"/>
      <c r="K79" s="6"/>
      <c r="L79" s="6">
        <v>11</v>
      </c>
    </row>
    <row r="80" spans="1:13" x14ac:dyDescent="0.25">
      <c r="A80" s="99"/>
      <c r="B80" s="99"/>
      <c r="C80" s="99"/>
      <c r="D80" s="99"/>
      <c r="E80" s="99">
        <f>SUM(E4:E79)</f>
        <v>14.800000000000004</v>
      </c>
      <c r="F80" s="94">
        <v>23100</v>
      </c>
      <c r="G80" s="28">
        <f>F80/E80</f>
        <v>1560.8108108108104</v>
      </c>
      <c r="H80" s="122"/>
      <c r="I80" s="121"/>
      <c r="J80" s="28"/>
      <c r="K80" s="28"/>
      <c r="L80" s="28"/>
    </row>
    <row r="85" spans="9:9" x14ac:dyDescent="0.25">
      <c r="I85" s="138"/>
    </row>
    <row r="86" spans="9:9" x14ac:dyDescent="0.25">
      <c r="I86" s="138"/>
    </row>
    <row r="87" spans="9:9" x14ac:dyDescent="0.25">
      <c r="I87" s="138"/>
    </row>
    <row r="88" spans="9:9" x14ac:dyDescent="0.25">
      <c r="I88" s="138"/>
    </row>
    <row r="89" spans="9:9" x14ac:dyDescent="0.25">
      <c r="I89" s="138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7"/>
  <sheetViews>
    <sheetView zoomScale="80" zoomScaleNormal="80" workbookViewId="0">
      <selection activeCell="K35" sqref="K35"/>
    </sheetView>
  </sheetViews>
  <sheetFormatPr defaultRowHeight="15" x14ac:dyDescent="0.25"/>
  <cols>
    <col min="1" max="1" width="46.42578125" customWidth="1"/>
    <col min="2" max="2" width="9.140625" style="174"/>
    <col min="5" max="5" width="16.28515625" style="174" customWidth="1"/>
    <col min="6" max="6" width="12.140625" customWidth="1"/>
    <col min="10" max="10" width="12.7109375" customWidth="1"/>
    <col min="11" max="11" width="13" style="189" customWidth="1"/>
  </cols>
  <sheetData>
    <row r="1" spans="1:13" x14ac:dyDescent="0.25">
      <c r="A1" s="1" t="s">
        <v>5</v>
      </c>
      <c r="B1" s="45">
        <f>0.6161</f>
        <v>0.61609999999999998</v>
      </c>
      <c r="C1" s="1"/>
      <c r="I1" s="41"/>
      <c r="J1" s="45" t="s">
        <v>289</v>
      </c>
      <c r="K1" s="183">
        <v>43298</v>
      </c>
    </row>
    <row r="2" spans="1:13" ht="21" x14ac:dyDescent="0.35">
      <c r="A2" s="8" t="s">
        <v>267</v>
      </c>
      <c r="I2" s="41"/>
      <c r="J2" s="41"/>
      <c r="K2" s="184"/>
    </row>
    <row r="3" spans="1:13" ht="45" x14ac:dyDescent="0.25">
      <c r="A3" s="113" t="s">
        <v>421</v>
      </c>
      <c r="B3" s="113" t="s">
        <v>387</v>
      </c>
      <c r="C3" s="113" t="s">
        <v>60</v>
      </c>
      <c r="D3" s="113" t="s">
        <v>59</v>
      </c>
      <c r="E3" s="113" t="s">
        <v>388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85" t="s">
        <v>62</v>
      </c>
      <c r="L3" s="125" t="s">
        <v>422</v>
      </c>
    </row>
    <row r="4" spans="1:13" x14ac:dyDescent="0.25">
      <c r="A4" s="146" t="s">
        <v>326</v>
      </c>
      <c r="B4" s="129"/>
      <c r="C4" s="9"/>
      <c r="D4" s="9"/>
      <c r="E4" s="129"/>
      <c r="F4" s="9"/>
      <c r="G4" s="9"/>
      <c r="H4" s="9"/>
      <c r="I4" s="120">
        <f>I5</f>
        <v>-726.37116733467678</v>
      </c>
      <c r="J4" s="9">
        <v>683</v>
      </c>
      <c r="K4" s="186">
        <f>J4+I4+44</f>
        <v>0.62883266532321613</v>
      </c>
      <c r="L4" s="9"/>
    </row>
    <row r="5" spans="1:13" x14ac:dyDescent="0.25">
      <c r="A5" s="144" t="s">
        <v>655</v>
      </c>
      <c r="B5" s="139">
        <v>1</v>
      </c>
      <c r="C5" s="3">
        <v>782</v>
      </c>
      <c r="D5" s="3">
        <f>B5*C5*0.15</f>
        <v>117.3</v>
      </c>
      <c r="E5" s="174">
        <v>0.18200000000000002</v>
      </c>
      <c r="F5" s="3">
        <f>E5/$E$98*$F$98</f>
        <v>279.68257966998357</v>
      </c>
      <c r="G5" s="3">
        <f>(C5)*$B$1+D5*$B$1+F5*$B$1</f>
        <v>726.37116733467678</v>
      </c>
      <c r="H5" s="122"/>
      <c r="I5" s="181">
        <f>H5-G5</f>
        <v>-726.37116733467678</v>
      </c>
      <c r="J5" s="6"/>
      <c r="K5" s="187"/>
      <c r="L5" s="6"/>
    </row>
    <row r="6" spans="1:13" x14ac:dyDescent="0.25">
      <c r="A6" s="145" t="s">
        <v>656</v>
      </c>
      <c r="B6" s="129"/>
      <c r="C6" s="9"/>
      <c r="D6" s="180"/>
      <c r="E6" s="129"/>
      <c r="F6" s="9"/>
      <c r="G6" s="9"/>
      <c r="H6" s="9"/>
      <c r="I6" s="120">
        <f>I7</f>
        <v>-713.09134485829441</v>
      </c>
      <c r="J6" s="9">
        <f>950-237</f>
        <v>713</v>
      </c>
      <c r="K6" s="186">
        <f>J6+I6</f>
        <v>-9.134485829440564E-2</v>
      </c>
      <c r="L6" s="9"/>
      <c r="M6" t="s">
        <v>725</v>
      </c>
    </row>
    <row r="7" spans="1:13" x14ac:dyDescent="0.25">
      <c r="A7" s="143" t="s">
        <v>657</v>
      </c>
      <c r="B7" s="139">
        <v>1</v>
      </c>
      <c r="C7" s="3">
        <v>798</v>
      </c>
      <c r="D7" s="177">
        <f t="shared" ref="D7:D69" si="0">B7*C7*0.15</f>
        <v>119.69999999999999</v>
      </c>
      <c r="E7" s="174">
        <v>0.156</v>
      </c>
      <c r="F7" s="3">
        <f>E7/$E$98*$F$98</f>
        <v>239.72792543141446</v>
      </c>
      <c r="G7" s="3">
        <f>(C7)*$B$1+D7*$B$1+F7*$B$1</f>
        <v>713.09134485829441</v>
      </c>
      <c r="H7" s="122"/>
      <c r="I7" s="123">
        <f>H7-G7</f>
        <v>-713.09134485829441</v>
      </c>
      <c r="J7" s="6"/>
      <c r="K7" s="187"/>
      <c r="L7" s="6"/>
    </row>
    <row r="8" spans="1:13" x14ac:dyDescent="0.25">
      <c r="A8" s="145" t="s">
        <v>658</v>
      </c>
      <c r="B8" s="129"/>
      <c r="C8" s="9"/>
      <c r="D8" s="180"/>
      <c r="E8" s="129"/>
      <c r="F8" s="9"/>
      <c r="G8" s="9"/>
      <c r="H8" s="9"/>
      <c r="I8" s="120">
        <f>I9</f>
        <v>-3067.7005787630678</v>
      </c>
      <c r="J8" s="9">
        <f>2908+154</f>
        <v>3062</v>
      </c>
      <c r="K8" s="186">
        <f>J8+I8</f>
        <v>-5.7005787630678242</v>
      </c>
      <c r="L8" s="9"/>
    </row>
    <row r="9" spans="1:13" x14ac:dyDescent="0.25">
      <c r="A9" s="144" t="s">
        <v>659</v>
      </c>
      <c r="B9" s="139">
        <v>1</v>
      </c>
      <c r="C9" s="3">
        <v>2920</v>
      </c>
      <c r="D9" s="177">
        <f>B9*C9*0.1</f>
        <v>292</v>
      </c>
      <c r="E9" s="171">
        <v>1.1499999999999999</v>
      </c>
      <c r="F9" s="3">
        <f>E9/$E$98*$F$98</f>
        <v>1767.2250913213245</v>
      </c>
      <c r="G9" s="3">
        <f>(C9)*$B$1+D9*$B$1+F9*$B$1</f>
        <v>3067.7005787630678</v>
      </c>
      <c r="H9" s="122"/>
      <c r="I9" s="123">
        <f>H9-G9</f>
        <v>-3067.7005787630678</v>
      </c>
      <c r="J9" s="6"/>
      <c r="K9" s="187"/>
      <c r="L9" s="6"/>
    </row>
    <row r="10" spans="1:13" x14ac:dyDescent="0.25">
      <c r="A10" s="145" t="s">
        <v>660</v>
      </c>
      <c r="B10" s="129"/>
      <c r="C10" s="9"/>
      <c r="D10" s="180"/>
      <c r="E10" s="129"/>
      <c r="F10" s="9"/>
      <c r="G10" s="9"/>
      <c r="H10" s="9"/>
      <c r="I10" s="120">
        <f>I11</f>
        <v>-1076.7410441289203</v>
      </c>
      <c r="J10" s="9">
        <v>1017</v>
      </c>
      <c r="K10" s="186">
        <f>J10+I10-L11+82</f>
        <v>-0.24104412892029359</v>
      </c>
      <c r="L10" s="9"/>
    </row>
    <row r="11" spans="1:13" x14ac:dyDescent="0.25">
      <c r="A11" s="141" t="s">
        <v>576</v>
      </c>
      <c r="B11" s="139">
        <v>1</v>
      </c>
      <c r="C11" s="26">
        <v>1058.7</v>
      </c>
      <c r="D11" s="177">
        <f t="shared" si="0"/>
        <v>158.80500000000001</v>
      </c>
      <c r="E11" s="171">
        <v>0.34499999999999997</v>
      </c>
      <c r="F11" s="3">
        <f>E11/$E$98*$F$98</f>
        <v>530.1675273963973</v>
      </c>
      <c r="G11" s="3">
        <f>(C11)*$B$1+D11*$B$1+F11*$B$1</f>
        <v>1076.7410441289203</v>
      </c>
      <c r="H11" s="122"/>
      <c r="I11" s="123">
        <f>H11-G11</f>
        <v>-1076.7410441289203</v>
      </c>
      <c r="J11" s="6"/>
      <c r="K11" s="187"/>
      <c r="L11" s="6">
        <v>22.5</v>
      </c>
    </row>
    <row r="12" spans="1:13" x14ac:dyDescent="0.25">
      <c r="A12" s="145" t="s">
        <v>661</v>
      </c>
      <c r="B12" s="129"/>
      <c r="C12" s="9"/>
      <c r="D12" s="180"/>
      <c r="E12" s="129"/>
      <c r="F12" s="9"/>
      <c r="G12" s="9"/>
      <c r="H12" s="9"/>
      <c r="I12" s="120">
        <f>I13</f>
        <v>-663.27170775261357</v>
      </c>
      <c r="J12" s="9">
        <f>628+58</f>
        <v>686</v>
      </c>
      <c r="K12" s="186">
        <f>J12+I12-L13</f>
        <v>0.22829224738643461</v>
      </c>
      <c r="L12" s="9"/>
    </row>
    <row r="13" spans="1:13" x14ac:dyDescent="0.25">
      <c r="A13" s="141" t="s">
        <v>662</v>
      </c>
      <c r="B13" s="139">
        <v>1</v>
      </c>
      <c r="C13" s="3">
        <v>628.79999999999995</v>
      </c>
      <c r="D13" s="177">
        <f t="shared" si="0"/>
        <v>94.32</v>
      </c>
      <c r="E13" s="171">
        <v>0.22999999999999998</v>
      </c>
      <c r="F13" s="3">
        <f>E13/$E$98*$F$98</f>
        <v>353.44501826426489</v>
      </c>
      <c r="G13" s="3">
        <f>(C13)*$B$1+D13*$B$1+F13*$B$1</f>
        <v>663.27170775261357</v>
      </c>
      <c r="H13" s="122"/>
      <c r="I13" s="123">
        <f>H13-G13</f>
        <v>-663.27170775261357</v>
      </c>
      <c r="J13" s="6"/>
      <c r="K13" s="187"/>
      <c r="L13" s="179">
        <v>22.5</v>
      </c>
    </row>
    <row r="14" spans="1:13" x14ac:dyDescent="0.25">
      <c r="A14" s="145" t="s">
        <v>663</v>
      </c>
      <c r="B14" s="129"/>
      <c r="C14" s="9"/>
      <c r="D14" s="180"/>
      <c r="E14" s="129"/>
      <c r="F14" s="9"/>
      <c r="G14" s="9"/>
      <c r="H14" s="9"/>
      <c r="I14" s="120">
        <f>I15</f>
        <v>-663.27170775261357</v>
      </c>
      <c r="J14" s="9">
        <v>628</v>
      </c>
      <c r="K14" s="186">
        <f>J14+I14-L15+58</f>
        <v>0.22829224738643461</v>
      </c>
      <c r="L14" s="9"/>
    </row>
    <row r="15" spans="1:13" x14ac:dyDescent="0.25">
      <c r="A15" s="141" t="s">
        <v>662</v>
      </c>
      <c r="B15" s="139">
        <v>1</v>
      </c>
      <c r="C15" s="3">
        <v>628.79999999999995</v>
      </c>
      <c r="D15" s="177">
        <f t="shared" si="0"/>
        <v>94.32</v>
      </c>
      <c r="E15" s="171">
        <v>0.22999999999999998</v>
      </c>
      <c r="F15" s="3">
        <f>E15/$E$98*$F$98</f>
        <v>353.44501826426489</v>
      </c>
      <c r="G15" s="3">
        <f>(C15)*$B$1+D15*$B$1+F15*$B$1</f>
        <v>663.27170775261357</v>
      </c>
      <c r="H15" s="122"/>
      <c r="I15" s="123">
        <f>H15-G15</f>
        <v>-663.27170775261357</v>
      </c>
      <c r="J15" s="6"/>
      <c r="K15" s="187"/>
      <c r="L15" s="179">
        <v>22.5</v>
      </c>
    </row>
    <row r="16" spans="1:13" x14ac:dyDescent="0.25">
      <c r="A16" s="145" t="s">
        <v>621</v>
      </c>
      <c r="B16" s="129"/>
      <c r="C16" s="9"/>
      <c r="D16" s="180"/>
      <c r="E16" s="129"/>
      <c r="F16" s="9"/>
      <c r="G16" s="9"/>
      <c r="H16" s="9"/>
      <c r="I16" s="120">
        <f>I17</f>
        <v>-305.34994737630677</v>
      </c>
      <c r="J16" s="9">
        <v>290</v>
      </c>
      <c r="K16" s="186">
        <f>J16+I16-L17+33</f>
        <v>-0.34994737630677264</v>
      </c>
      <c r="L16" s="9"/>
    </row>
    <row r="17" spans="1:13" x14ac:dyDescent="0.25">
      <c r="A17" s="141" t="s">
        <v>664</v>
      </c>
      <c r="B17" s="139">
        <v>1</v>
      </c>
      <c r="C17" s="3">
        <v>277.3</v>
      </c>
      <c r="D17" s="177">
        <f t="shared" si="0"/>
        <v>41.594999999999999</v>
      </c>
      <c r="E17" s="171">
        <v>0.11499999999999999</v>
      </c>
      <c r="F17" s="3">
        <f>E17/$E$98*$F$98</f>
        <v>176.72250913213244</v>
      </c>
      <c r="G17" s="3">
        <f>(C17)*$B$1+D17*$B$1+F17*$B$1</f>
        <v>305.34994737630677</v>
      </c>
      <c r="H17" s="122"/>
      <c r="I17" s="123">
        <f>H17-G17</f>
        <v>-305.34994737630677</v>
      </c>
      <c r="J17" s="6"/>
      <c r="K17" s="187"/>
      <c r="L17" s="6">
        <v>18</v>
      </c>
    </row>
    <row r="18" spans="1:13" x14ac:dyDescent="0.25">
      <c r="A18" s="145" t="s">
        <v>623</v>
      </c>
      <c r="B18" s="129"/>
      <c r="C18" s="9"/>
      <c r="D18" s="180"/>
      <c r="E18" s="129"/>
      <c r="F18" s="9"/>
      <c r="G18" s="9"/>
      <c r="H18" s="9"/>
      <c r="I18" s="120">
        <f>I19</f>
        <v>-305.34994737630677</v>
      </c>
      <c r="J18" s="9">
        <v>260</v>
      </c>
      <c r="K18" s="186">
        <f>J18+I18-L19+63</f>
        <v>-0.34994737630677264</v>
      </c>
      <c r="L18" s="9"/>
    </row>
    <row r="19" spans="1:13" x14ac:dyDescent="0.25">
      <c r="A19" s="141" t="s">
        <v>664</v>
      </c>
      <c r="B19" s="139">
        <v>1</v>
      </c>
      <c r="C19" s="3">
        <v>277.3</v>
      </c>
      <c r="D19" s="177">
        <f t="shared" si="0"/>
        <v>41.594999999999999</v>
      </c>
      <c r="E19" s="171">
        <v>0.11499999999999999</v>
      </c>
      <c r="F19" s="3">
        <f>E19/$E$98*$F$98</f>
        <v>176.72250913213244</v>
      </c>
      <c r="G19" s="3">
        <f>(C19)*$B$1+D19*$B$1+F19*$B$1</f>
        <v>305.34994737630677</v>
      </c>
      <c r="H19" s="122"/>
      <c r="I19" s="123">
        <f>H19-G19</f>
        <v>-305.34994737630677</v>
      </c>
      <c r="J19" s="6"/>
      <c r="K19" s="187"/>
      <c r="L19" s="6">
        <v>18</v>
      </c>
    </row>
    <row r="20" spans="1:13" x14ac:dyDescent="0.25">
      <c r="A20" s="145" t="s">
        <v>488</v>
      </c>
      <c r="B20" s="129"/>
      <c r="C20" s="9"/>
      <c r="D20" s="180"/>
      <c r="E20" s="129"/>
      <c r="F20" s="9"/>
      <c r="G20" s="9"/>
      <c r="H20" s="9"/>
      <c r="I20" s="120">
        <f>I21</f>
        <v>-916.04984212892032</v>
      </c>
      <c r="J20" s="9">
        <v>868.56</v>
      </c>
      <c r="K20" s="186">
        <f>J20+I20-L21+47</f>
        <v>-0.48984212892037249</v>
      </c>
      <c r="L20" s="9"/>
    </row>
    <row r="21" spans="1:13" x14ac:dyDescent="0.25">
      <c r="A21" s="141" t="s">
        <v>665</v>
      </c>
      <c r="B21" s="139">
        <v>1</v>
      </c>
      <c r="C21" s="3">
        <v>831.9</v>
      </c>
      <c r="D21" s="177">
        <f t="shared" si="0"/>
        <v>124.785</v>
      </c>
      <c r="E21" s="171">
        <v>0.34499999999999997</v>
      </c>
      <c r="F21" s="3">
        <f>E21/$E$98*$F$98</f>
        <v>530.1675273963973</v>
      </c>
      <c r="G21" s="3">
        <f>(C21)*$B$1+D21*$B$1+F21*$B$1</f>
        <v>916.04984212892032</v>
      </c>
      <c r="H21" s="122"/>
      <c r="I21" s="123">
        <f>H21-G21</f>
        <v>-916.04984212892032</v>
      </c>
      <c r="J21" s="6"/>
      <c r="K21" s="187"/>
      <c r="L21" s="6"/>
      <c r="M21" s="176" t="s">
        <v>560</v>
      </c>
    </row>
    <row r="22" spans="1:13" x14ac:dyDescent="0.25">
      <c r="A22" s="145" t="s">
        <v>666</v>
      </c>
      <c r="B22" s="129"/>
      <c r="C22" s="9"/>
      <c r="D22" s="180"/>
      <c r="E22" s="129"/>
      <c r="F22" s="9"/>
      <c r="G22" s="9"/>
      <c r="H22" s="9"/>
      <c r="I22" s="120">
        <f>I23</f>
        <v>-1011.2742581289203</v>
      </c>
      <c r="J22" s="180">
        <v>957</v>
      </c>
      <c r="K22" s="186">
        <f>J22+I22-L23+77</f>
        <v>0.22574187107966281</v>
      </c>
      <c r="L22" s="9"/>
    </row>
    <row r="23" spans="1:13" x14ac:dyDescent="0.25">
      <c r="A23" s="141" t="s">
        <v>667</v>
      </c>
      <c r="B23" s="139">
        <v>1</v>
      </c>
      <c r="C23" s="3">
        <v>966.3</v>
      </c>
      <c r="D23" s="177">
        <f t="shared" si="0"/>
        <v>144.94499999999999</v>
      </c>
      <c r="E23" s="171">
        <v>0.34499999999999997</v>
      </c>
      <c r="F23" s="3">
        <f>E23/$E$98*$F$98</f>
        <v>530.1675273963973</v>
      </c>
      <c r="G23" s="3">
        <f>(C23)*$B$1+D23*$B$1+F23*$B$1</f>
        <v>1011.2742581289203</v>
      </c>
      <c r="H23" s="122"/>
      <c r="I23" s="123">
        <f>H23-G23</f>
        <v>-1011.2742581289203</v>
      </c>
      <c r="J23" s="6"/>
      <c r="K23" s="187"/>
      <c r="L23" s="179">
        <v>22.5</v>
      </c>
    </row>
    <row r="24" spans="1:13" x14ac:dyDescent="0.25">
      <c r="A24" s="145" t="s">
        <v>610</v>
      </c>
      <c r="B24" s="129"/>
      <c r="C24" s="9"/>
      <c r="D24" s="180"/>
      <c r="E24" s="129"/>
      <c r="F24" s="9"/>
      <c r="G24" s="9"/>
      <c r="H24" s="9"/>
      <c r="I24" s="120">
        <f>I25</f>
        <v>-267.16098887630682</v>
      </c>
      <c r="J24" s="9">
        <v>254</v>
      </c>
      <c r="K24" s="186">
        <f>J24+I24-L25+31</f>
        <v>-0.16098887630681702</v>
      </c>
      <c r="L24" s="9"/>
    </row>
    <row r="25" spans="1:13" x14ac:dyDescent="0.25">
      <c r="A25" s="142" t="s">
        <v>582</v>
      </c>
      <c r="B25" s="139">
        <v>1</v>
      </c>
      <c r="C25" s="3">
        <v>223.4</v>
      </c>
      <c r="D25" s="177">
        <f t="shared" si="0"/>
        <v>33.51</v>
      </c>
      <c r="E25" s="171">
        <v>0.11499999999999999</v>
      </c>
      <c r="F25" s="3">
        <f>E25/$E$98*$F$98</f>
        <v>176.72250913213244</v>
      </c>
      <c r="G25" s="3">
        <f>(C25)*$B$1+D25*$B$1+F25*$B$1</f>
        <v>267.16098887630682</v>
      </c>
      <c r="H25" s="122"/>
      <c r="I25" s="123">
        <f>H25-G25</f>
        <v>-267.16098887630682</v>
      </c>
      <c r="J25" s="6"/>
      <c r="K25" s="187"/>
      <c r="L25" s="6">
        <v>18</v>
      </c>
    </row>
    <row r="26" spans="1:13" x14ac:dyDescent="0.25">
      <c r="A26" s="145" t="s">
        <v>668</v>
      </c>
      <c r="B26" s="129"/>
      <c r="C26" s="9"/>
      <c r="D26" s="180"/>
      <c r="E26" s="129"/>
      <c r="F26" s="9"/>
      <c r="G26" s="9"/>
      <c r="H26" s="9"/>
      <c r="I26" s="120">
        <f>I27</f>
        <v>-1068.6439555052273</v>
      </c>
      <c r="J26" s="9">
        <f>1017+52</f>
        <v>1069</v>
      </c>
      <c r="K26" s="186">
        <f>J26+I26-L27</f>
        <v>0.35604449477273192</v>
      </c>
      <c r="L26" s="9"/>
    </row>
    <row r="27" spans="1:13" x14ac:dyDescent="0.25">
      <c r="A27" s="142" t="s">
        <v>601</v>
      </c>
      <c r="B27" s="139">
        <v>1</v>
      </c>
      <c r="C27" s="3">
        <v>893.6</v>
      </c>
      <c r="D27" s="177">
        <f t="shared" si="0"/>
        <v>134.04</v>
      </c>
      <c r="E27" s="171">
        <v>0.45999999999999996</v>
      </c>
      <c r="F27" s="3">
        <f>E27/$E$98*$F$98</f>
        <v>706.89003652852978</v>
      </c>
      <c r="G27" s="3">
        <f>(C27)*$B$1+D27*$B$1+F27*$B$1</f>
        <v>1068.6439555052273</v>
      </c>
      <c r="H27" s="122"/>
      <c r="I27" s="123">
        <f>H27-G27</f>
        <v>-1068.6439555052273</v>
      </c>
      <c r="J27" s="6"/>
      <c r="K27" s="187"/>
      <c r="L27" s="6"/>
      <c r="M27" s="176" t="s">
        <v>560</v>
      </c>
    </row>
    <row r="28" spans="1:13" x14ac:dyDescent="0.25">
      <c r="A28" s="145" t="s">
        <v>669</v>
      </c>
      <c r="B28" s="129"/>
      <c r="C28" s="9"/>
      <c r="D28" s="180"/>
      <c r="E28" s="129"/>
      <c r="F28" s="9"/>
      <c r="G28" s="9"/>
      <c r="H28" s="9"/>
      <c r="I28" s="120">
        <f>I29</f>
        <v>-1068.6439555052273</v>
      </c>
      <c r="J28" s="9">
        <v>1008</v>
      </c>
      <c r="K28" s="186">
        <f>J28+I28-L29</f>
        <v>-105.64395550522727</v>
      </c>
      <c r="L28" s="9"/>
    </row>
    <row r="29" spans="1:13" x14ac:dyDescent="0.25">
      <c r="A29" s="142" t="s">
        <v>601</v>
      </c>
      <c r="B29" s="139">
        <v>1</v>
      </c>
      <c r="C29" s="3">
        <v>893.6</v>
      </c>
      <c r="D29" s="177">
        <f t="shared" si="0"/>
        <v>134.04</v>
      </c>
      <c r="E29" s="171">
        <v>0.45999999999999996</v>
      </c>
      <c r="F29" s="3">
        <f>E29/$E$98*$F$98</f>
        <v>706.89003652852978</v>
      </c>
      <c r="G29" s="3">
        <f>(C29)*$B$1+D29*$B$1+F29*$B$1</f>
        <v>1068.6439555052273</v>
      </c>
      <c r="H29" s="122"/>
      <c r="I29" s="123">
        <f>H29-G29</f>
        <v>-1068.6439555052273</v>
      </c>
      <c r="J29" s="6"/>
      <c r="K29" s="187"/>
      <c r="L29" s="6">
        <f>22.5*2</f>
        <v>45</v>
      </c>
    </row>
    <row r="30" spans="1:13" x14ac:dyDescent="0.25">
      <c r="A30" s="145" t="s">
        <v>670</v>
      </c>
      <c r="B30" s="129"/>
      <c r="C30" s="9"/>
      <c r="D30" s="180"/>
      <c r="E30" s="129"/>
      <c r="F30" s="9"/>
      <c r="G30" s="9"/>
      <c r="H30" s="9"/>
      <c r="I30" s="120">
        <f>I31</f>
        <v>-268.80070514080683</v>
      </c>
      <c r="J30" s="9">
        <v>251</v>
      </c>
      <c r="K30" s="186">
        <f>J30+I30-L31+31</f>
        <v>-4.8007051408068264</v>
      </c>
      <c r="L30" s="9"/>
    </row>
    <row r="31" spans="1:13" x14ac:dyDescent="0.25">
      <c r="A31" s="142" t="s">
        <v>671</v>
      </c>
      <c r="B31" s="139">
        <v>1</v>
      </c>
      <c r="C31" s="3">
        <v>225.71430000000001</v>
      </c>
      <c r="D31" s="177">
        <f t="shared" si="0"/>
        <v>33.857145000000003</v>
      </c>
      <c r="E31" s="171">
        <v>0.11499999999999999</v>
      </c>
      <c r="F31" s="3">
        <f>E31/$E$98*$F$98</f>
        <v>176.72250913213244</v>
      </c>
      <c r="G31" s="3">
        <f>(C31)*$B$1+D31*$B$1+F31*$B$1</f>
        <v>268.80070514080683</v>
      </c>
      <c r="H31" s="122"/>
      <c r="I31" s="123">
        <f>H31-G31</f>
        <v>-268.80070514080683</v>
      </c>
      <c r="J31" s="6"/>
      <c r="K31" s="187"/>
      <c r="L31" s="179">
        <v>18</v>
      </c>
    </row>
    <row r="32" spans="1:13" x14ac:dyDescent="0.25">
      <c r="A32" s="145" t="s">
        <v>597</v>
      </c>
      <c r="B32" s="129"/>
      <c r="C32" s="9"/>
      <c r="D32" s="180"/>
      <c r="E32" s="129"/>
      <c r="F32" s="9"/>
      <c r="G32" s="9"/>
      <c r="H32" s="9"/>
      <c r="I32" s="120">
        <f>I33</f>
        <v>-268.80070514080683</v>
      </c>
      <c r="J32" s="9">
        <v>257</v>
      </c>
      <c r="K32" s="186">
        <f>J32+I32-L33+30</f>
        <v>0.19929485919317358</v>
      </c>
      <c r="L32" s="9"/>
    </row>
    <row r="33" spans="1:13" x14ac:dyDescent="0.25">
      <c r="A33" s="142" t="s">
        <v>671</v>
      </c>
      <c r="B33" s="139">
        <v>1</v>
      </c>
      <c r="C33" s="3">
        <v>225.71430000000001</v>
      </c>
      <c r="D33" s="177">
        <f t="shared" si="0"/>
        <v>33.857145000000003</v>
      </c>
      <c r="E33" s="171">
        <v>0.11499999999999999</v>
      </c>
      <c r="F33" s="3">
        <f>E33/$E$98*$F$98</f>
        <v>176.72250913213244</v>
      </c>
      <c r="G33" s="3">
        <f>(C33)*$B$1+D33*$B$1+F33*$B$1</f>
        <v>268.80070514080683</v>
      </c>
      <c r="H33" s="122"/>
      <c r="I33" s="123">
        <f>H33-G33</f>
        <v>-268.80070514080683</v>
      </c>
      <c r="J33" s="6"/>
      <c r="K33" s="187"/>
      <c r="L33" s="179">
        <v>18</v>
      </c>
    </row>
    <row r="34" spans="1:13" x14ac:dyDescent="0.25">
      <c r="A34" s="145" t="s">
        <v>604</v>
      </c>
      <c r="B34" s="129"/>
      <c r="C34" s="9"/>
      <c r="D34" s="180"/>
      <c r="E34" s="129"/>
      <c r="F34" s="9"/>
      <c r="G34" s="9"/>
      <c r="H34" s="9"/>
      <c r="I34" s="120">
        <f>I35</f>
        <v>-268.80070514080683</v>
      </c>
      <c r="J34" s="9">
        <v>256</v>
      </c>
      <c r="K34" s="186">
        <f>J34+I34-L35</f>
        <v>-30.800705140806826</v>
      </c>
      <c r="L34" s="9"/>
    </row>
    <row r="35" spans="1:13" x14ac:dyDescent="0.25">
      <c r="A35" s="142" t="s">
        <v>671</v>
      </c>
      <c r="B35" s="139">
        <v>1</v>
      </c>
      <c r="C35" s="3">
        <v>225.71430000000001</v>
      </c>
      <c r="D35" s="177">
        <f t="shared" si="0"/>
        <v>33.857145000000003</v>
      </c>
      <c r="E35" s="171">
        <v>0.11499999999999999</v>
      </c>
      <c r="F35" s="3">
        <f>E35/$E$98*$F$98</f>
        <v>176.72250913213244</v>
      </c>
      <c r="G35" s="3">
        <f>(C35)*$B$1+D35*$B$1+F35*$B$1</f>
        <v>268.80070514080683</v>
      </c>
      <c r="H35" s="122"/>
      <c r="I35" s="123">
        <f>H35-G35</f>
        <v>-268.80070514080683</v>
      </c>
      <c r="J35" s="6"/>
      <c r="K35" s="187"/>
      <c r="L35" s="179">
        <v>18</v>
      </c>
    </row>
    <row r="36" spans="1:13" x14ac:dyDescent="0.25">
      <c r="A36" s="145" t="s">
        <v>603</v>
      </c>
      <c r="B36" s="129"/>
      <c r="C36" s="9"/>
      <c r="D36" s="180"/>
      <c r="E36" s="129"/>
      <c r="F36" s="9"/>
      <c r="G36" s="9"/>
      <c r="H36" s="9"/>
      <c r="I36" s="120">
        <f>I37</f>
        <v>-806.40211542242037</v>
      </c>
      <c r="J36" s="9">
        <f>400</f>
        <v>400</v>
      </c>
      <c r="K36" s="186">
        <f>J36+I36-L37+406</f>
        <v>-0.40211542242036558</v>
      </c>
      <c r="L36" s="9"/>
    </row>
    <row r="37" spans="1:13" x14ac:dyDescent="0.25">
      <c r="A37" s="142" t="s">
        <v>672</v>
      </c>
      <c r="B37" s="139">
        <v>1</v>
      </c>
      <c r="C37" s="3">
        <v>677.14290000000005</v>
      </c>
      <c r="D37" s="177">
        <f t="shared" si="0"/>
        <v>101.57143500000001</v>
      </c>
      <c r="E37" s="171">
        <v>0.34499999999999997</v>
      </c>
      <c r="F37" s="3">
        <f>E37/$E$98*$F$98</f>
        <v>530.1675273963973</v>
      </c>
      <c r="G37" s="3">
        <f>(C37)*$B$1+D37*$B$1+F37*$B$1</f>
        <v>806.40211542242037</v>
      </c>
      <c r="H37" s="122"/>
      <c r="I37" s="123">
        <f>H37-G37</f>
        <v>-806.40211542242037</v>
      </c>
      <c r="J37" s="6"/>
      <c r="K37" s="187"/>
      <c r="L37" s="6"/>
      <c r="M37" s="176" t="s">
        <v>560</v>
      </c>
    </row>
    <row r="38" spans="1:13" x14ac:dyDescent="0.25">
      <c r="A38" s="145" t="s">
        <v>673</v>
      </c>
      <c r="B38" s="129"/>
      <c r="C38" s="9"/>
      <c r="D38" s="180"/>
      <c r="E38" s="129"/>
      <c r="F38" s="9"/>
      <c r="G38" s="9"/>
      <c r="H38" s="9"/>
      <c r="I38" s="120">
        <f>I39</f>
        <v>-483.84124091285224</v>
      </c>
      <c r="J38" s="9">
        <v>460</v>
      </c>
      <c r="K38" s="186">
        <f>J38+I38-L39+46</f>
        <v>-0.34124091285224267</v>
      </c>
      <c r="L38" s="9"/>
    </row>
    <row r="39" spans="1:13" x14ac:dyDescent="0.25">
      <c r="A39" s="142" t="s">
        <v>674</v>
      </c>
      <c r="B39" s="139">
        <v>1</v>
      </c>
      <c r="C39" s="3">
        <v>406.28570000000002</v>
      </c>
      <c r="D39" s="177">
        <f t="shared" si="0"/>
        <v>60.942855000000002</v>
      </c>
      <c r="E39" s="171">
        <v>0.20699999999999999</v>
      </c>
      <c r="F39" s="3">
        <f>E39/$E$98*$F$98</f>
        <v>318.10051643783839</v>
      </c>
      <c r="G39" s="3">
        <f>(C39)*$B$1+D39*$B$1+F39*$B$1</f>
        <v>483.84124091285224</v>
      </c>
      <c r="H39" s="122"/>
      <c r="I39" s="123">
        <f>H39-G39</f>
        <v>-483.84124091285224</v>
      </c>
      <c r="J39" s="6"/>
      <c r="K39" s="187"/>
      <c r="L39" s="6">
        <v>22.5</v>
      </c>
    </row>
    <row r="40" spans="1:13" x14ac:dyDescent="0.25">
      <c r="A40" s="172" t="s">
        <v>675</v>
      </c>
      <c r="B40" s="129"/>
      <c r="C40" s="172"/>
      <c r="D40" s="180"/>
      <c r="E40" s="129"/>
      <c r="F40" s="172"/>
      <c r="G40" s="9"/>
      <c r="H40" s="9"/>
      <c r="I40" s="120">
        <f>I41</f>
        <v>-2237.8865924891475</v>
      </c>
      <c r="J40" s="9">
        <f>2120+118</f>
        <v>2238</v>
      </c>
      <c r="K40" s="186">
        <f>J40+I40-L41</f>
        <v>0.11340751085253942</v>
      </c>
      <c r="L40" s="9"/>
    </row>
    <row r="41" spans="1:13" x14ac:dyDescent="0.25">
      <c r="A41" s="175" t="s">
        <v>676</v>
      </c>
      <c r="B41" s="139">
        <v>1</v>
      </c>
      <c r="C41" s="169">
        <v>2082.857</v>
      </c>
      <c r="D41" s="177">
        <f t="shared" si="0"/>
        <v>312.42854999999997</v>
      </c>
      <c r="E41" s="171">
        <v>0.80499999999999994</v>
      </c>
      <c r="F41" s="169">
        <f>E41/$E$98*$F$98</f>
        <v>1237.0575639249271</v>
      </c>
      <c r="G41" s="3">
        <f>(C41)*$B$1+D41*$B$1+F41*$B$1</f>
        <v>2237.8865924891475</v>
      </c>
      <c r="H41" s="122"/>
      <c r="I41" s="123">
        <f>H41-G41</f>
        <v>-2237.8865924891475</v>
      </c>
      <c r="J41" s="6"/>
      <c r="K41" s="187"/>
      <c r="L41" s="6"/>
      <c r="M41" s="176" t="s">
        <v>560</v>
      </c>
    </row>
    <row r="42" spans="1:13" x14ac:dyDescent="0.25">
      <c r="A42" s="172" t="s">
        <v>283</v>
      </c>
      <c r="B42" s="129"/>
      <c r="C42" s="172"/>
      <c r="D42" s="180"/>
      <c r="E42" s="129"/>
      <c r="F42" s="172"/>
      <c r="G42" s="9"/>
      <c r="H42" s="9"/>
      <c r="I42" s="120">
        <f>I43</f>
        <v>-488.14451262761361</v>
      </c>
      <c r="J42" s="9">
        <v>466</v>
      </c>
      <c r="K42" s="186">
        <f>J42+I42-L43+45</f>
        <v>0.35548737238639205</v>
      </c>
      <c r="L42" s="9"/>
    </row>
    <row r="43" spans="1:13" x14ac:dyDescent="0.25">
      <c r="A43" s="169" t="s">
        <v>581</v>
      </c>
      <c r="B43" s="139">
        <v>1</v>
      </c>
      <c r="C43" s="169">
        <v>381.625</v>
      </c>
      <c r="D43" s="177">
        <f t="shared" si="0"/>
        <v>57.243749999999999</v>
      </c>
      <c r="E43" s="171">
        <v>0.22999999999999998</v>
      </c>
      <c r="F43" s="169">
        <f>E43/$E$98*$F$98</f>
        <v>353.44501826426489</v>
      </c>
      <c r="G43" s="3">
        <f>(C43)*$B$1+D43*$B$1+F43*$B$1</f>
        <v>488.14451262761361</v>
      </c>
      <c r="H43" s="122"/>
      <c r="I43" s="123">
        <f>H43-G43</f>
        <v>-488.14451262761361</v>
      </c>
      <c r="J43" s="6"/>
      <c r="K43" s="187"/>
      <c r="L43" s="6">
        <v>22.5</v>
      </c>
    </row>
    <row r="44" spans="1:13" x14ac:dyDescent="0.25">
      <c r="A44" s="172" t="s">
        <v>12</v>
      </c>
      <c r="B44" s="129"/>
      <c r="C44" s="172"/>
      <c r="D44" s="180"/>
      <c r="E44" s="129"/>
      <c r="F44" s="172"/>
      <c r="G44" s="9"/>
      <c r="H44" s="9"/>
      <c r="I44" s="120">
        <f>I45+I46</f>
        <v>-2340.635218289457</v>
      </c>
      <c r="J44" s="9">
        <v>2196</v>
      </c>
      <c r="K44" s="186">
        <f>J44+I44-L45-L46+145</f>
        <v>0.36478171054295672</v>
      </c>
      <c r="L44" s="9"/>
    </row>
    <row r="45" spans="1:13" x14ac:dyDescent="0.25">
      <c r="A45" s="169" t="s">
        <v>677</v>
      </c>
      <c r="B45" s="140">
        <v>2</v>
      </c>
      <c r="C45" s="169">
        <v>1580</v>
      </c>
      <c r="D45" s="177">
        <f t="shared" si="0"/>
        <v>474</v>
      </c>
      <c r="E45" s="171">
        <v>0.33800000000000002</v>
      </c>
      <c r="F45" s="169">
        <f>E45/$E$98*$F$98</f>
        <v>519.41050510139803</v>
      </c>
      <c r="G45" s="3">
        <f>(C45)*$B$1+D45*$B$1+F45*$B$1</f>
        <v>1585.4782121929713</v>
      </c>
      <c r="H45" s="122"/>
      <c r="I45" s="123">
        <f>H45-G45</f>
        <v>-1585.4782121929713</v>
      </c>
      <c r="J45" s="6"/>
      <c r="K45" s="187"/>
      <c r="L45" s="6"/>
    </row>
    <row r="46" spans="1:13" x14ac:dyDescent="0.25">
      <c r="A46" s="169" t="s">
        <v>678</v>
      </c>
      <c r="B46" s="139">
        <v>1</v>
      </c>
      <c r="C46" s="169">
        <v>840</v>
      </c>
      <c r="D46" s="177">
        <f t="shared" si="0"/>
        <v>126</v>
      </c>
      <c r="E46" s="171">
        <v>0.16900000000000001</v>
      </c>
      <c r="F46" s="169">
        <f>E46/$E$98*$F$98</f>
        <v>259.70525255069902</v>
      </c>
      <c r="G46" s="3">
        <f>(C46)*$B$1+D46*$B$1+F46*$B$1</f>
        <v>755.1570060964857</v>
      </c>
      <c r="H46" s="122"/>
      <c r="I46" s="123">
        <f>H46-G46</f>
        <v>-755.1570060964857</v>
      </c>
      <c r="J46" s="6"/>
      <c r="K46" s="187"/>
      <c r="L46" s="6"/>
    </row>
    <row r="47" spans="1:13" x14ac:dyDescent="0.25">
      <c r="A47" s="172" t="s">
        <v>679</v>
      </c>
      <c r="B47" s="129"/>
      <c r="C47" s="172"/>
      <c r="D47" s="180"/>
      <c r="E47" s="129"/>
      <c r="F47" s="172"/>
      <c r="G47" s="9"/>
      <c r="H47" s="9"/>
      <c r="I47" s="120">
        <f>I48+I49</f>
        <v>-1234.1530595052272</v>
      </c>
      <c r="J47" s="9">
        <v>1170</v>
      </c>
      <c r="K47" s="186">
        <f>J47+I47-L48-L49+107</f>
        <v>-2.1530595052272474</v>
      </c>
      <c r="L47" s="9"/>
    </row>
    <row r="48" spans="1:13" x14ac:dyDescent="0.25">
      <c r="A48" s="169" t="s">
        <v>680</v>
      </c>
      <c r="B48" s="139">
        <v>1</v>
      </c>
      <c r="C48" s="169">
        <v>680.4</v>
      </c>
      <c r="D48" s="177">
        <f t="shared" si="0"/>
        <v>102.05999999999999</v>
      </c>
      <c r="E48" s="171">
        <v>0.22999999999999998</v>
      </c>
      <c r="F48" s="169">
        <f>E48/$E$98*$F$98</f>
        <v>353.44501826426489</v>
      </c>
      <c r="G48" s="3">
        <f>(C48)*$B$1+D48*$B$1+F48*$B$1</f>
        <v>699.83108175261361</v>
      </c>
      <c r="H48" s="122"/>
      <c r="I48" s="123">
        <f>H48-G48</f>
        <v>-699.83108175261361</v>
      </c>
      <c r="J48" s="6"/>
      <c r="K48" s="187"/>
      <c r="L48" s="179">
        <v>22.5</v>
      </c>
    </row>
    <row r="49" spans="1:13" x14ac:dyDescent="0.25">
      <c r="A49" s="169" t="s">
        <v>598</v>
      </c>
      <c r="B49" s="139">
        <v>1</v>
      </c>
      <c r="C49" s="169">
        <v>446.8</v>
      </c>
      <c r="D49" s="177">
        <f t="shared" si="0"/>
        <v>67.02</v>
      </c>
      <c r="E49" s="171">
        <v>0.22999999999999998</v>
      </c>
      <c r="F49" s="169">
        <f>E49/$E$98*$F$98</f>
        <v>353.44501826426489</v>
      </c>
      <c r="G49" s="3">
        <f>(C49)*$B$1+D49*$B$1+F49*$B$1</f>
        <v>534.32197775261363</v>
      </c>
      <c r="H49" s="122"/>
      <c r="I49" s="123">
        <f>H49-G49</f>
        <v>-534.32197775261363</v>
      </c>
      <c r="J49" s="6"/>
      <c r="K49" s="187"/>
      <c r="L49" s="179">
        <v>22.5</v>
      </c>
    </row>
    <row r="50" spans="1:13" s="147" customFormat="1" x14ac:dyDescent="0.25">
      <c r="A50" s="172" t="s">
        <v>681</v>
      </c>
      <c r="B50" s="129"/>
      <c r="C50" s="172"/>
      <c r="D50" s="180"/>
      <c r="E50" s="129"/>
      <c r="F50" s="172"/>
      <c r="G50" s="150"/>
      <c r="H50" s="150"/>
      <c r="I50" s="120">
        <f>I51+I52</f>
        <v>-574.15064239547064</v>
      </c>
      <c r="J50" s="150">
        <v>545</v>
      </c>
      <c r="K50" s="186">
        <f>J50+I50-L51-L52+65</f>
        <v>-0.15064239547064062</v>
      </c>
      <c r="L50" s="150"/>
    </row>
    <row r="51" spans="1:13" s="147" customFormat="1" x14ac:dyDescent="0.25">
      <c r="A51" s="169" t="s">
        <v>664</v>
      </c>
      <c r="B51" s="139">
        <v>1</v>
      </c>
      <c r="C51" s="169">
        <v>277.3</v>
      </c>
      <c r="D51" s="177">
        <f t="shared" si="0"/>
        <v>41.594999999999999</v>
      </c>
      <c r="E51" s="171">
        <v>0.11499999999999999</v>
      </c>
      <c r="F51" s="169">
        <f>E51/$E$98*$F$98</f>
        <v>176.72250913213244</v>
      </c>
      <c r="G51" s="148">
        <f>(C51)*$B$1+D51*$B$1+F51*$B$1</f>
        <v>305.34994737630677</v>
      </c>
      <c r="H51" s="122"/>
      <c r="I51" s="151">
        <f>H51-G51</f>
        <v>-305.34994737630677</v>
      </c>
      <c r="J51" s="149"/>
      <c r="K51" s="187"/>
      <c r="L51" s="179">
        <v>18</v>
      </c>
    </row>
    <row r="52" spans="1:13" s="147" customFormat="1" x14ac:dyDescent="0.25">
      <c r="A52" s="169" t="s">
        <v>671</v>
      </c>
      <c r="B52" s="139">
        <v>1</v>
      </c>
      <c r="C52" s="169">
        <v>225.71428571428572</v>
      </c>
      <c r="D52" s="177">
        <f t="shared" si="0"/>
        <v>33.857142857142854</v>
      </c>
      <c r="E52" s="171">
        <v>0.11499999999999999</v>
      </c>
      <c r="F52" s="169">
        <f>E52/$E$98*$F$98</f>
        <v>176.72250913213244</v>
      </c>
      <c r="G52" s="148">
        <f>(C52)*$B$1+D52*$B$1+F52*$B$1</f>
        <v>268.80069501916392</v>
      </c>
      <c r="H52" s="122"/>
      <c r="I52" s="151">
        <f>H52-G52</f>
        <v>-268.80069501916392</v>
      </c>
      <c r="J52" s="149"/>
      <c r="K52" s="187"/>
      <c r="L52" s="179">
        <v>18</v>
      </c>
    </row>
    <row r="53" spans="1:13" x14ac:dyDescent="0.25">
      <c r="A53" s="172" t="s">
        <v>392</v>
      </c>
      <c r="B53" s="129"/>
      <c r="C53" s="172"/>
      <c r="D53" s="180"/>
      <c r="E53" s="129"/>
      <c r="F53" s="172"/>
      <c r="G53" s="9"/>
      <c r="H53" s="9"/>
      <c r="I53" s="120">
        <f>I54+I55</f>
        <v>-1493.4162750550036</v>
      </c>
      <c r="J53" s="9">
        <v>1417</v>
      </c>
      <c r="K53" s="186">
        <f>J53+I53-L55-L54+121</f>
        <v>-0.41627505500355255</v>
      </c>
      <c r="L53" s="9"/>
    </row>
    <row r="54" spans="1:13" x14ac:dyDescent="0.25">
      <c r="A54" s="175" t="s">
        <v>682</v>
      </c>
      <c r="B54" s="139">
        <v>1</v>
      </c>
      <c r="C54" s="169">
        <v>892.65306122448987</v>
      </c>
      <c r="D54" s="177">
        <f t="shared" si="0"/>
        <v>133.89795918367346</v>
      </c>
      <c r="E54" s="171">
        <v>0.34499999999999997</v>
      </c>
      <c r="F54" s="169">
        <f>E54/$E$98*$F$98</f>
        <v>530.1675273963973</v>
      </c>
      <c r="G54" s="3">
        <f>(C54)*$B$1+D54*$B$1+F54*$B$1</f>
        <v>959.0942973023898</v>
      </c>
      <c r="H54" s="122"/>
      <c r="I54" s="123">
        <f>H54-G54</f>
        <v>-959.0942973023898</v>
      </c>
      <c r="J54" s="6"/>
      <c r="K54" s="187"/>
      <c r="L54" s="179">
        <v>22.5</v>
      </c>
    </row>
    <row r="55" spans="1:13" x14ac:dyDescent="0.25">
      <c r="A55" s="169" t="s">
        <v>598</v>
      </c>
      <c r="B55" s="139">
        <v>1</v>
      </c>
      <c r="C55" s="169">
        <v>446.8</v>
      </c>
      <c r="D55" s="177">
        <f t="shared" si="0"/>
        <v>67.02</v>
      </c>
      <c r="E55" s="171">
        <v>0.22999999999999998</v>
      </c>
      <c r="F55" s="169">
        <f>E55/$E$98*$F$98</f>
        <v>353.44501826426489</v>
      </c>
      <c r="G55" s="3">
        <f>(C55)*$B$1+D55*$B$1+F55*$B$1</f>
        <v>534.32197775261363</v>
      </c>
      <c r="H55" s="122"/>
      <c r="I55" s="123">
        <f>H55-G55</f>
        <v>-534.32197775261363</v>
      </c>
      <c r="J55" s="6"/>
      <c r="K55" s="187"/>
      <c r="L55" s="179">
        <v>22.5</v>
      </c>
    </row>
    <row r="56" spans="1:13" x14ac:dyDescent="0.25">
      <c r="A56" s="172" t="s">
        <v>21</v>
      </c>
      <c r="B56" s="129"/>
      <c r="C56" s="172"/>
      <c r="D56" s="180"/>
      <c r="E56" s="129"/>
      <c r="F56" s="172"/>
      <c r="G56" s="9"/>
      <c r="H56" s="9"/>
      <c r="I56" s="120">
        <f>I57+I58</f>
        <v>-549.42220369011352</v>
      </c>
      <c r="J56" s="9">
        <v>517</v>
      </c>
      <c r="K56" s="186">
        <f>J56+I56-L57-L58+68</f>
        <v>-0.42220369011351977</v>
      </c>
      <c r="L56" s="9"/>
    </row>
    <row r="57" spans="1:13" x14ac:dyDescent="0.25">
      <c r="A57" s="169" t="s">
        <v>664</v>
      </c>
      <c r="B57" s="139">
        <v>1</v>
      </c>
      <c r="C57" s="169">
        <v>277.3</v>
      </c>
      <c r="D57" s="177">
        <f t="shared" si="0"/>
        <v>41.594999999999999</v>
      </c>
      <c r="E57" s="171">
        <v>0.11499999999999999</v>
      </c>
      <c r="F57" s="169">
        <f>E57/$E$98*$F$98</f>
        <v>176.72250913213244</v>
      </c>
      <c r="G57" s="3">
        <f>(C57)*$B$1+D57*$B$1+F57*$B$1</f>
        <v>305.34994737630677</v>
      </c>
      <c r="H57" s="122"/>
      <c r="I57" s="123">
        <f>H57-G57</f>
        <v>-305.34994737630677</v>
      </c>
      <c r="J57" s="6"/>
      <c r="K57" s="187"/>
      <c r="L57" s="6">
        <v>18</v>
      </c>
    </row>
    <row r="58" spans="1:13" x14ac:dyDescent="0.25">
      <c r="A58" s="169" t="s">
        <v>605</v>
      </c>
      <c r="B58" s="139">
        <v>1</v>
      </c>
      <c r="C58" s="169">
        <v>190.8125</v>
      </c>
      <c r="D58" s="177">
        <f t="shared" si="0"/>
        <v>28.621874999999999</v>
      </c>
      <c r="E58" s="171">
        <v>0.11499999999999999</v>
      </c>
      <c r="F58" s="169">
        <f>E58/$E$98*$F$98</f>
        <v>176.72250913213244</v>
      </c>
      <c r="G58" s="3">
        <f>(C58)*$B$1+D58*$B$1+F58*$B$1</f>
        <v>244.0722563138068</v>
      </c>
      <c r="H58" s="122"/>
      <c r="I58" s="123">
        <f>H58-G58</f>
        <v>-244.0722563138068</v>
      </c>
      <c r="J58" s="6"/>
      <c r="K58" s="187"/>
      <c r="L58" s="6">
        <v>18</v>
      </c>
    </row>
    <row r="59" spans="1:13" x14ac:dyDescent="0.25">
      <c r="A59" s="172" t="s">
        <v>683</v>
      </c>
      <c r="B59" s="129"/>
      <c r="C59" s="172"/>
      <c r="D59" s="180"/>
      <c r="E59" s="129"/>
      <c r="F59" s="172"/>
      <c r="G59" s="9"/>
      <c r="H59" s="9"/>
      <c r="I59" s="120">
        <f>SUM(I60:I62)</f>
        <v>-3058.2766635296184</v>
      </c>
      <c r="J59" s="9">
        <v>3530</v>
      </c>
      <c r="K59" s="186">
        <f>J59+I59-L61-454</f>
        <v>-0.27666352961841767</v>
      </c>
      <c r="L59" s="9"/>
      <c r="M59" t="s">
        <v>724</v>
      </c>
    </row>
    <row r="60" spans="1:13" x14ac:dyDescent="0.25">
      <c r="A60" s="169" t="s">
        <v>684</v>
      </c>
      <c r="B60" s="139">
        <v>1</v>
      </c>
      <c r="C60" s="169">
        <v>943.2</v>
      </c>
      <c r="D60" s="177">
        <f t="shared" si="0"/>
        <v>141.47999999999999</v>
      </c>
      <c r="E60" s="171">
        <v>0.34499999999999997</v>
      </c>
      <c r="F60" s="169">
        <f>E60/$E$98*$F$98</f>
        <v>530.1675273963973</v>
      </c>
      <c r="G60" s="3">
        <f>(C60)*$B$1+D60*$B$1+F60*$B$1</f>
        <v>994.90756162892035</v>
      </c>
      <c r="H60" s="122"/>
      <c r="I60" s="123">
        <f>H60-G60</f>
        <v>-994.90756162892035</v>
      </c>
      <c r="J60" s="6"/>
      <c r="K60" s="187"/>
      <c r="L60" s="6"/>
      <c r="M60" s="176" t="s">
        <v>560</v>
      </c>
    </row>
    <row r="61" spans="1:13" x14ac:dyDescent="0.25">
      <c r="A61" s="169" t="s">
        <v>671</v>
      </c>
      <c r="B61" s="139">
        <v>1</v>
      </c>
      <c r="C61" s="169">
        <v>225.71428571428572</v>
      </c>
      <c r="D61" s="177">
        <f t="shared" si="0"/>
        <v>33.857142857142854</v>
      </c>
      <c r="E61" s="171">
        <v>0.11499999999999999</v>
      </c>
      <c r="F61" s="169">
        <f>E61/$E$98*$F$98</f>
        <v>176.72250913213244</v>
      </c>
      <c r="G61" s="3">
        <f>(C61)*$B$1+D61*$B$1+F61*$B$1</f>
        <v>268.80069501916392</v>
      </c>
      <c r="H61" s="122"/>
      <c r="I61" s="123">
        <f>H61-G61</f>
        <v>-268.80069501916392</v>
      </c>
      <c r="J61" s="6"/>
      <c r="K61" s="187"/>
      <c r="L61" s="6">
        <v>18</v>
      </c>
    </row>
    <row r="62" spans="1:13" x14ac:dyDescent="0.25">
      <c r="A62" s="169" t="s">
        <v>685</v>
      </c>
      <c r="B62" s="139">
        <v>1</v>
      </c>
      <c r="C62" s="169">
        <v>1764.5</v>
      </c>
      <c r="D62" s="177">
        <f t="shared" si="0"/>
        <v>264.67500000000001</v>
      </c>
      <c r="E62" s="171">
        <v>0.57499999999999996</v>
      </c>
      <c r="F62" s="169">
        <f>E62/$E$98*$F$98</f>
        <v>883.61254566066225</v>
      </c>
      <c r="G62" s="3">
        <f>(C62)*$B$1+D62*$B$1+F62*$B$1</f>
        <v>1794.568406881534</v>
      </c>
      <c r="H62" s="122"/>
      <c r="I62" s="123">
        <f>H62-G62</f>
        <v>-1794.568406881534</v>
      </c>
      <c r="J62" s="6"/>
      <c r="K62" s="187"/>
      <c r="L62" s="6"/>
      <c r="M62" t="s">
        <v>560</v>
      </c>
    </row>
    <row r="63" spans="1:13" s="152" customFormat="1" x14ac:dyDescent="0.25">
      <c r="A63" s="172" t="s">
        <v>686</v>
      </c>
      <c r="B63" s="129"/>
      <c r="C63" s="172"/>
      <c r="D63" s="180"/>
      <c r="E63" s="129"/>
      <c r="F63" s="172"/>
      <c r="G63" s="155"/>
      <c r="H63" s="155"/>
      <c r="I63" s="120">
        <f>SUM(I64:I66)</f>
        <v>-3724.3168662656817</v>
      </c>
      <c r="J63" s="155">
        <v>3530</v>
      </c>
      <c r="K63" s="186">
        <f>J63+I63+194</f>
        <v>-0.3168662656817105</v>
      </c>
      <c r="L63" s="155"/>
    </row>
    <row r="64" spans="1:13" s="152" customFormat="1" x14ac:dyDescent="0.25">
      <c r="A64" s="169" t="s">
        <v>687</v>
      </c>
      <c r="B64" s="139">
        <v>1</v>
      </c>
      <c r="C64" s="169">
        <v>1360.8</v>
      </c>
      <c r="D64" s="177">
        <f t="shared" si="0"/>
        <v>204.11999999999998</v>
      </c>
      <c r="E64" s="171">
        <v>0.45999999999999996</v>
      </c>
      <c r="F64" s="169">
        <f>E64/$E$98*$F$98</f>
        <v>706.89003652852978</v>
      </c>
      <c r="G64" s="153">
        <f>(C64)*$B$1+D64*$B$1+F64*$B$1</f>
        <v>1399.6621635052272</v>
      </c>
      <c r="H64" s="122"/>
      <c r="I64" s="156">
        <f>H64-G64</f>
        <v>-1399.6621635052272</v>
      </c>
      <c r="J64" s="154"/>
      <c r="K64" s="187"/>
      <c r="L64" s="154"/>
      <c r="M64" s="176" t="s">
        <v>560</v>
      </c>
    </row>
    <row r="65" spans="1:13" s="152" customFormat="1" x14ac:dyDescent="0.25">
      <c r="A65" s="169" t="s">
        <v>688</v>
      </c>
      <c r="B65" s="139">
        <v>1</v>
      </c>
      <c r="C65" s="169">
        <v>1288.4000000000001</v>
      </c>
      <c r="D65" s="177">
        <f t="shared" si="0"/>
        <v>193.26000000000002</v>
      </c>
      <c r="E65" s="171">
        <v>0.45999999999999996</v>
      </c>
      <c r="F65" s="169">
        <f>E65/$E$98*$F$98</f>
        <v>706.89003652852978</v>
      </c>
      <c r="G65" s="153">
        <f>(C65)*$B$1+D65*$B$1+F65*$B$1</f>
        <v>1348.3656775052273</v>
      </c>
      <c r="H65" s="122"/>
      <c r="I65" s="156">
        <f>H65-G65</f>
        <v>-1348.3656775052273</v>
      </c>
      <c r="J65" s="154"/>
      <c r="K65" s="187"/>
      <c r="L65" s="154"/>
      <c r="M65" s="176" t="s">
        <v>560</v>
      </c>
    </row>
    <row r="66" spans="1:13" s="152" customFormat="1" x14ac:dyDescent="0.25">
      <c r="A66" s="169" t="s">
        <v>588</v>
      </c>
      <c r="B66" s="139">
        <v>1</v>
      </c>
      <c r="C66" s="169">
        <v>763.25</v>
      </c>
      <c r="D66" s="177">
        <f t="shared" si="0"/>
        <v>114.4875</v>
      </c>
      <c r="E66" s="171">
        <v>0.45999999999999996</v>
      </c>
      <c r="F66" s="169">
        <f>E66/$E$98*$F$98</f>
        <v>706.89003652852978</v>
      </c>
      <c r="G66" s="153">
        <f>(C66)*$B$1+D66*$B$1+F66*$B$1</f>
        <v>976.28902525522722</v>
      </c>
      <c r="H66" s="122"/>
      <c r="I66" s="156">
        <f>H66-G66</f>
        <v>-976.28902525522722</v>
      </c>
      <c r="J66" s="154"/>
      <c r="K66" s="187"/>
      <c r="L66" s="154"/>
      <c r="M66" s="176" t="s">
        <v>560</v>
      </c>
    </row>
    <row r="67" spans="1:13" s="152" customFormat="1" x14ac:dyDescent="0.25">
      <c r="A67" s="172" t="s">
        <v>689</v>
      </c>
      <c r="B67" s="129"/>
      <c r="C67" s="172"/>
      <c r="D67" s="180"/>
      <c r="E67" s="129"/>
      <c r="F67" s="172"/>
      <c r="G67" s="155"/>
      <c r="H67" s="155"/>
      <c r="I67" s="120">
        <f>SUM(I68:I70)</f>
        <v>-1762.1161151328406</v>
      </c>
      <c r="J67" s="155">
        <v>1673</v>
      </c>
      <c r="K67" s="186">
        <f>J67+I67-L68-L69-L70</f>
        <v>-156.6161151328406</v>
      </c>
      <c r="L67" s="155"/>
    </row>
    <row r="68" spans="1:13" s="152" customFormat="1" x14ac:dyDescent="0.25">
      <c r="A68" s="169" t="s">
        <v>662</v>
      </c>
      <c r="B68" s="139">
        <v>1</v>
      </c>
      <c r="C68" s="169">
        <v>628.80000000000007</v>
      </c>
      <c r="D68" s="177">
        <f t="shared" si="0"/>
        <v>94.320000000000007</v>
      </c>
      <c r="E68" s="171">
        <v>0.22999999999999998</v>
      </c>
      <c r="F68" s="169">
        <f>E68/$E$98*$F$98</f>
        <v>353.44501826426489</v>
      </c>
      <c r="G68" s="153">
        <f>(C68)*$B$1+D68*$B$1+F68*$B$1</f>
        <v>663.27170775261357</v>
      </c>
      <c r="H68" s="122"/>
      <c r="I68" s="156">
        <f>H68-G68</f>
        <v>-663.27170775261357</v>
      </c>
      <c r="J68" s="154"/>
      <c r="K68" s="187"/>
      <c r="L68" s="179">
        <v>22.5</v>
      </c>
    </row>
    <row r="69" spans="1:13" s="152" customFormat="1" x14ac:dyDescent="0.25">
      <c r="A69" s="169" t="s">
        <v>690</v>
      </c>
      <c r="B69" s="139">
        <v>1</v>
      </c>
      <c r="C69" s="169">
        <v>554.6</v>
      </c>
      <c r="D69" s="177">
        <f t="shared" si="0"/>
        <v>83.19</v>
      </c>
      <c r="E69" s="171">
        <v>0.22999999999999998</v>
      </c>
      <c r="F69" s="169">
        <f>E69/$E$98*$F$98</f>
        <v>353.44501826426489</v>
      </c>
      <c r="G69" s="153">
        <f>(C69)*$B$1+D69*$B$1+F69*$B$1</f>
        <v>610.69989475261355</v>
      </c>
      <c r="H69" s="122"/>
      <c r="I69" s="156">
        <f>H69-G69</f>
        <v>-610.69989475261355</v>
      </c>
      <c r="J69" s="154"/>
      <c r="K69" s="187"/>
      <c r="L69" s="179">
        <v>22.5</v>
      </c>
    </row>
    <row r="70" spans="1:13" s="152" customFormat="1" x14ac:dyDescent="0.25">
      <c r="A70" s="169" t="s">
        <v>581</v>
      </c>
      <c r="B70" s="139">
        <v>1</v>
      </c>
      <c r="C70" s="169">
        <v>381.625</v>
      </c>
      <c r="D70" s="177">
        <f t="shared" ref="D70:D94" si="1">B70*C70*0.15</f>
        <v>57.243749999999999</v>
      </c>
      <c r="E70" s="171">
        <v>0.22999999999999998</v>
      </c>
      <c r="F70" s="169">
        <f>E70/$E$98*$F$98</f>
        <v>353.44501826426489</v>
      </c>
      <c r="G70" s="153">
        <f>(C70)*$B$1+D70*$B$1+F70*$B$1</f>
        <v>488.14451262761361</v>
      </c>
      <c r="H70" s="122"/>
      <c r="I70" s="156">
        <f>H70-G70</f>
        <v>-488.14451262761361</v>
      </c>
      <c r="J70" s="154"/>
      <c r="K70" s="187"/>
      <c r="L70" s="179">
        <v>22.5</v>
      </c>
    </row>
    <row r="71" spans="1:13" x14ac:dyDescent="0.25">
      <c r="A71" s="172" t="s">
        <v>630</v>
      </c>
      <c r="B71" s="129"/>
      <c r="C71" s="172"/>
      <c r="D71" s="180"/>
      <c r="E71" s="129"/>
      <c r="F71" s="172"/>
      <c r="G71" s="9"/>
      <c r="H71" s="9"/>
      <c r="I71" s="120">
        <f>SUM(I72:I75)</f>
        <v>-1917.3340387578407</v>
      </c>
      <c r="J71" s="9">
        <v>1816</v>
      </c>
      <c r="K71" s="186">
        <f>J71+I71-L72-L73-L74-L75+182</f>
        <v>-0.33403875784074444</v>
      </c>
      <c r="L71" s="9"/>
    </row>
    <row r="72" spans="1:13" x14ac:dyDescent="0.25">
      <c r="A72" s="169" t="s">
        <v>691</v>
      </c>
      <c r="B72" s="139">
        <v>1</v>
      </c>
      <c r="C72" s="169">
        <v>340.2</v>
      </c>
      <c r="D72" s="177">
        <f t="shared" si="1"/>
        <v>51.029999999999994</v>
      </c>
      <c r="E72" s="171">
        <v>0.11499999999999999</v>
      </c>
      <c r="F72" s="169">
        <f>E72/$E$98*$F$98</f>
        <v>176.72250913213244</v>
      </c>
      <c r="G72" s="3">
        <f>(C72)*$B$1+D72*$B$1+F72*$B$1</f>
        <v>349.91554087630681</v>
      </c>
      <c r="H72" s="122"/>
      <c r="I72" s="123">
        <f>H72-G72</f>
        <v>-349.91554087630681</v>
      </c>
      <c r="J72" s="6"/>
      <c r="K72" s="187"/>
      <c r="L72" s="179">
        <v>18</v>
      </c>
    </row>
    <row r="73" spans="1:13" x14ac:dyDescent="0.25">
      <c r="A73" s="169" t="s">
        <v>692</v>
      </c>
      <c r="B73" s="139">
        <v>1</v>
      </c>
      <c r="C73" s="169">
        <v>644.20000000000005</v>
      </c>
      <c r="D73" s="177">
        <f t="shared" si="1"/>
        <v>96.63000000000001</v>
      </c>
      <c r="E73" s="171">
        <v>0.22999999999999998</v>
      </c>
      <c r="F73" s="169">
        <f>E73/$E$98*$F$98</f>
        <v>353.44501826426489</v>
      </c>
      <c r="G73" s="3">
        <f>(C73)*$B$1+D73*$B$1+F73*$B$1</f>
        <v>674.18283875261363</v>
      </c>
      <c r="H73" s="122"/>
      <c r="I73" s="123">
        <f>H73-G73</f>
        <v>-674.18283875261363</v>
      </c>
      <c r="J73" s="6"/>
      <c r="K73" s="187"/>
      <c r="L73" s="179">
        <v>22.5</v>
      </c>
    </row>
    <row r="74" spans="1:13" x14ac:dyDescent="0.25">
      <c r="A74" s="169" t="s">
        <v>598</v>
      </c>
      <c r="B74" s="139">
        <v>1</v>
      </c>
      <c r="C74" s="169">
        <v>446.8</v>
      </c>
      <c r="D74" s="177">
        <f t="shared" si="1"/>
        <v>67.02</v>
      </c>
      <c r="E74" s="171">
        <v>0.22999999999999998</v>
      </c>
      <c r="F74" s="169">
        <f>E74/$E$98*$F$98</f>
        <v>353.44501826426489</v>
      </c>
      <c r="G74" s="3">
        <f>(C74)*$B$1+D74*$B$1+F74*$B$1</f>
        <v>534.32197775261363</v>
      </c>
      <c r="H74" s="122"/>
      <c r="I74" s="123">
        <f>H74-G74</f>
        <v>-534.32197775261363</v>
      </c>
      <c r="J74" s="6"/>
      <c r="K74" s="187"/>
      <c r="L74" s="179">
        <v>22.5</v>
      </c>
    </row>
    <row r="75" spans="1:13" x14ac:dyDescent="0.25">
      <c r="A75" s="169" t="s">
        <v>577</v>
      </c>
      <c r="B75" s="139">
        <v>1</v>
      </c>
      <c r="C75" s="169">
        <v>352.9</v>
      </c>
      <c r="D75" s="177">
        <f t="shared" si="1"/>
        <v>52.934999999999995</v>
      </c>
      <c r="E75" s="171">
        <v>0.11499999999999999</v>
      </c>
      <c r="F75" s="169">
        <f>E75/$E$98*$F$98</f>
        <v>176.72250913213244</v>
      </c>
      <c r="G75" s="3">
        <f>(C75)*$B$1+D75*$B$1+F75*$B$1</f>
        <v>358.91368137630678</v>
      </c>
      <c r="H75" s="122"/>
      <c r="I75" s="123">
        <f>H75-G75</f>
        <v>-358.91368137630678</v>
      </c>
      <c r="J75" s="6"/>
      <c r="K75" s="187"/>
      <c r="L75" s="179">
        <v>18</v>
      </c>
    </row>
    <row r="76" spans="1:13" x14ac:dyDescent="0.25">
      <c r="A76" s="172" t="s">
        <v>693</v>
      </c>
      <c r="B76" s="129"/>
      <c r="C76" s="172"/>
      <c r="D76" s="180"/>
      <c r="E76" s="129"/>
      <c r="F76" s="172"/>
      <c r="G76" s="9"/>
      <c r="H76" s="9"/>
      <c r="I76" s="136">
        <f>SUM(I77:I81)</f>
        <v>-1577.0631583190338</v>
      </c>
      <c r="J76" s="9">
        <v>1500</v>
      </c>
      <c r="K76" s="186">
        <f>J76+I76-L81-L80-L79-L78-L77+167</f>
        <v>-6.3158319033846055E-2</v>
      </c>
      <c r="L76" s="9"/>
    </row>
    <row r="77" spans="1:13" x14ac:dyDescent="0.25">
      <c r="A77" s="169" t="s">
        <v>605</v>
      </c>
      <c r="B77" s="139">
        <v>1</v>
      </c>
      <c r="C77" s="169">
        <v>190.8125</v>
      </c>
      <c r="D77" s="177">
        <f t="shared" si="1"/>
        <v>28.621874999999999</v>
      </c>
      <c r="E77" s="171">
        <v>0.11499999999999999</v>
      </c>
      <c r="F77" s="169">
        <f>E77/$E$98*$F$98</f>
        <v>176.72250913213244</v>
      </c>
      <c r="G77" s="3">
        <f>(C77)*$B$1+D77*$B$1+F77*$B$1</f>
        <v>244.0722563138068</v>
      </c>
      <c r="H77" s="122"/>
      <c r="I77" s="137">
        <f>H77-G77</f>
        <v>-244.0722563138068</v>
      </c>
      <c r="J77" s="6"/>
      <c r="K77" s="187"/>
      <c r="L77" s="179">
        <v>18</v>
      </c>
    </row>
    <row r="78" spans="1:13" x14ac:dyDescent="0.25">
      <c r="A78" s="169" t="s">
        <v>694</v>
      </c>
      <c r="B78" s="139">
        <v>1</v>
      </c>
      <c r="C78" s="169">
        <v>314.40000000000003</v>
      </c>
      <c r="D78" s="177">
        <f t="shared" si="1"/>
        <v>47.160000000000004</v>
      </c>
      <c r="E78" s="171">
        <v>0.11499999999999999</v>
      </c>
      <c r="F78" s="169">
        <f>E78/$E$98*$F$98</f>
        <v>176.72250913213244</v>
      </c>
      <c r="G78" s="3">
        <f>(C78)*$B$1+D78*$B$1+F78*$B$1</f>
        <v>331.63585387630678</v>
      </c>
      <c r="H78" s="122"/>
      <c r="I78" s="137">
        <f>H78-G78</f>
        <v>-331.63585387630678</v>
      </c>
      <c r="J78" s="6"/>
      <c r="K78" s="187"/>
      <c r="L78" s="179">
        <v>18</v>
      </c>
    </row>
    <row r="79" spans="1:13" x14ac:dyDescent="0.25">
      <c r="A79" s="169" t="s">
        <v>577</v>
      </c>
      <c r="B79" s="139">
        <v>1</v>
      </c>
      <c r="C79" s="169">
        <v>352.9</v>
      </c>
      <c r="D79" s="177">
        <f t="shared" si="1"/>
        <v>52.934999999999995</v>
      </c>
      <c r="E79" s="171">
        <v>0.11499999999999999</v>
      </c>
      <c r="F79" s="169">
        <f>E79/$E$98*$F$98</f>
        <v>176.72250913213244</v>
      </c>
      <c r="G79" s="3">
        <f>(C79)*$B$1+D79*$B$1+F79*$B$1</f>
        <v>358.91368137630678</v>
      </c>
      <c r="H79" s="122"/>
      <c r="I79" s="137">
        <f>H79-G79</f>
        <v>-358.91368137630678</v>
      </c>
      <c r="J79" s="6"/>
      <c r="K79" s="187"/>
      <c r="L79" s="179">
        <v>18</v>
      </c>
    </row>
    <row r="80" spans="1:13" x14ac:dyDescent="0.25">
      <c r="A80" s="169" t="s">
        <v>664</v>
      </c>
      <c r="B80" s="139">
        <v>1</v>
      </c>
      <c r="C80" s="169">
        <v>277.3</v>
      </c>
      <c r="D80" s="177">
        <f t="shared" si="1"/>
        <v>41.594999999999999</v>
      </c>
      <c r="E80" s="171">
        <v>0.11499999999999999</v>
      </c>
      <c r="F80" s="169">
        <f>E80/$E$98*$F$98</f>
        <v>176.72250913213244</v>
      </c>
      <c r="G80" s="3">
        <f>(C80)*$B$1+D80*$B$1+F80*$B$1</f>
        <v>305.34994737630677</v>
      </c>
      <c r="H80" s="122"/>
      <c r="I80" s="137">
        <f>H80-G80</f>
        <v>-305.34994737630677</v>
      </c>
      <c r="J80" s="6"/>
      <c r="K80" s="187"/>
      <c r="L80" s="179">
        <v>18</v>
      </c>
    </row>
    <row r="81" spans="1:13" x14ac:dyDescent="0.25">
      <c r="A81" s="169" t="s">
        <v>695</v>
      </c>
      <c r="B81" s="139">
        <v>1</v>
      </c>
      <c r="C81" s="169">
        <v>322.10000000000002</v>
      </c>
      <c r="D81" s="177">
        <f t="shared" si="1"/>
        <v>48.315000000000005</v>
      </c>
      <c r="E81" s="171">
        <v>0.11499999999999999</v>
      </c>
      <c r="F81" s="169">
        <f>E81/$E$98*$F$98</f>
        <v>176.72250913213244</v>
      </c>
      <c r="G81" s="3">
        <f>(C81)*$B$1+D81*$B$1+F81*$B$1</f>
        <v>337.09141937630682</v>
      </c>
      <c r="H81" s="122"/>
      <c r="I81" s="137">
        <f>H81-G81</f>
        <v>-337.09141937630682</v>
      </c>
      <c r="J81" s="6"/>
      <c r="K81" s="187"/>
      <c r="L81" s="179">
        <v>18</v>
      </c>
    </row>
    <row r="82" spans="1:13" s="157" customFormat="1" x14ac:dyDescent="0.25">
      <c r="A82" s="172" t="s">
        <v>696</v>
      </c>
      <c r="B82" s="129"/>
      <c r="C82" s="172"/>
      <c r="D82" s="180"/>
      <c r="E82" s="129"/>
      <c r="F82" s="172"/>
      <c r="G82" s="161"/>
      <c r="H82" s="161"/>
      <c r="I82" s="136">
        <f>SUM(I83:I87)</f>
        <v>-4494.2488038147112</v>
      </c>
      <c r="J82" s="161">
        <v>4231</v>
      </c>
      <c r="K82" s="186">
        <f>J82+I82-L87+263</f>
        <v>-0.24880381471120927</v>
      </c>
      <c r="L82" s="161"/>
    </row>
    <row r="83" spans="1:13" s="157" customFormat="1" x14ac:dyDescent="0.25">
      <c r="A83" s="169" t="s">
        <v>697</v>
      </c>
      <c r="B83" s="139">
        <v>1</v>
      </c>
      <c r="C83" s="169">
        <v>1117</v>
      </c>
      <c r="D83" s="177">
        <f t="shared" si="1"/>
        <v>167.54999999999998</v>
      </c>
      <c r="E83" s="171">
        <v>0.57499999999999996</v>
      </c>
      <c r="F83" s="169">
        <f>E83/$E$98*$F$98</f>
        <v>883.61254566066225</v>
      </c>
      <c r="G83" s="158">
        <f>(C83)*$B$1+D83*$B$1+F83*$B$1</f>
        <v>1335.8049443815339</v>
      </c>
      <c r="H83" s="122"/>
      <c r="I83" s="160">
        <f>H83-G83</f>
        <v>-1335.8049443815339</v>
      </c>
      <c r="J83" s="159"/>
      <c r="K83" s="187"/>
      <c r="L83" s="159"/>
      <c r="M83" s="176" t="s">
        <v>560</v>
      </c>
    </row>
    <row r="84" spans="1:13" s="157" customFormat="1" ht="45" x14ac:dyDescent="0.25">
      <c r="A84" s="173" t="s">
        <v>698</v>
      </c>
      <c r="B84" s="139">
        <v>1</v>
      </c>
      <c r="C84" s="169">
        <v>941</v>
      </c>
      <c r="D84" s="177">
        <f t="shared" si="1"/>
        <v>141.15</v>
      </c>
      <c r="E84" s="171">
        <v>0.156</v>
      </c>
      <c r="F84" s="169">
        <f>E84/$E$98*$F$98</f>
        <v>239.72792543141446</v>
      </c>
      <c r="G84" s="158">
        <f>(C84)*$B$1+D84*$B$1+F84*$B$1</f>
        <v>814.40898985829438</v>
      </c>
      <c r="H84" s="122"/>
      <c r="I84" s="160">
        <f>H84-G84</f>
        <v>-814.40898985829438</v>
      </c>
      <c r="J84" s="159"/>
      <c r="K84" s="187"/>
      <c r="L84" s="159"/>
    </row>
    <row r="85" spans="1:13" s="157" customFormat="1" ht="45" x14ac:dyDescent="0.25">
      <c r="A85" s="173" t="s">
        <v>699</v>
      </c>
      <c r="B85" s="139">
        <v>1</v>
      </c>
      <c r="C85" s="169">
        <v>941</v>
      </c>
      <c r="D85" s="177">
        <f t="shared" si="1"/>
        <v>141.15</v>
      </c>
      <c r="E85" s="171">
        <v>0.156</v>
      </c>
      <c r="F85" s="169">
        <f>E85/$E$98*$F$98</f>
        <v>239.72792543141446</v>
      </c>
      <c r="G85" s="158">
        <f>(C85)*$B$1+D85*$B$1+F85*$B$1</f>
        <v>814.40898985829438</v>
      </c>
      <c r="H85" s="122"/>
      <c r="I85" s="160">
        <f>H85-G85</f>
        <v>-814.40898985829438</v>
      </c>
      <c r="J85" s="159"/>
      <c r="K85" s="187"/>
      <c r="L85" s="159"/>
    </row>
    <row r="86" spans="1:13" s="157" customFormat="1" ht="45" x14ac:dyDescent="0.25">
      <c r="A86" s="173" t="s">
        <v>700</v>
      </c>
      <c r="B86" s="139">
        <v>1</v>
      </c>
      <c r="C86" s="169">
        <v>875</v>
      </c>
      <c r="D86" s="177">
        <f t="shared" si="1"/>
        <v>131.25</v>
      </c>
      <c r="E86" s="171">
        <v>0.156</v>
      </c>
      <c r="F86" s="169">
        <f>E86/$E$98*$F$98</f>
        <v>239.72792543141446</v>
      </c>
      <c r="G86" s="158">
        <f>(C86)*$B$1+D86*$B$1+F86*$B$1</f>
        <v>767.64699985829441</v>
      </c>
      <c r="H86" s="122"/>
      <c r="I86" s="160">
        <f>H86-G86</f>
        <v>-767.64699985829441</v>
      </c>
      <c r="J86" s="159"/>
      <c r="K86" s="187"/>
      <c r="L86" s="159"/>
    </row>
    <row r="87" spans="1:13" s="157" customFormat="1" ht="45" x14ac:dyDescent="0.25">
      <c r="A87" s="173" t="s">
        <v>701</v>
      </c>
      <c r="B87" s="139">
        <v>1</v>
      </c>
      <c r="C87" s="169">
        <v>867</v>
      </c>
      <c r="D87" s="177">
        <f t="shared" si="1"/>
        <v>130.04999999999998</v>
      </c>
      <c r="E87" s="171">
        <v>0.156</v>
      </c>
      <c r="F87" s="169">
        <f>E87/$E$98*$F$98</f>
        <v>239.72792543141446</v>
      </c>
      <c r="G87" s="158">
        <f>(C87)*$B$1+D87*$B$1+F87*$B$1</f>
        <v>761.97887985829436</v>
      </c>
      <c r="H87" s="122"/>
      <c r="I87" s="160">
        <f>H87-G87</f>
        <v>-761.97887985829436</v>
      </c>
      <c r="J87" s="159"/>
      <c r="K87" s="187"/>
      <c r="L87" s="159"/>
    </row>
    <row r="88" spans="1:13" s="157" customFormat="1" x14ac:dyDescent="0.25">
      <c r="A88" s="172" t="s">
        <v>644</v>
      </c>
      <c r="B88" s="129"/>
      <c r="C88" s="172"/>
      <c r="D88" s="180"/>
      <c r="E88" s="129"/>
      <c r="F88" s="172"/>
      <c r="G88" s="161"/>
      <c r="H88" s="161"/>
      <c r="I88" s="136">
        <f>SUM(I89:I94)</f>
        <v>-6507.861514008061</v>
      </c>
      <c r="J88" s="161">
        <v>6088</v>
      </c>
      <c r="K88" s="186">
        <f>J88+I88-L94+420</f>
        <v>0.13848599193897826</v>
      </c>
      <c r="L88" s="161"/>
    </row>
    <row r="89" spans="1:13" s="157" customFormat="1" x14ac:dyDescent="0.25">
      <c r="A89" s="173" t="s">
        <v>702</v>
      </c>
      <c r="B89" s="139">
        <v>1</v>
      </c>
      <c r="C89" s="170">
        <v>430</v>
      </c>
      <c r="D89" s="177">
        <f t="shared" si="1"/>
        <v>64.5</v>
      </c>
      <c r="E89" s="47">
        <v>5.2000000000000005E-2</v>
      </c>
      <c r="F89" s="169">
        <f t="shared" ref="F89:F94" si="2">E89/$E$98*$F$98</f>
        <v>79.909308477138154</v>
      </c>
      <c r="G89" s="158">
        <f t="shared" ref="G89:G94" si="3">(C89)*$B$1+D89*$B$1+F89*$B$1</f>
        <v>353.89357495276482</v>
      </c>
      <c r="H89" s="122"/>
      <c r="I89" s="160">
        <f t="shared" ref="I89:I94" si="4">H89-G89</f>
        <v>-353.89357495276482</v>
      </c>
      <c r="J89" s="159"/>
      <c r="K89" s="187"/>
      <c r="L89" s="159"/>
    </row>
    <row r="90" spans="1:13" s="157" customFormat="1" x14ac:dyDescent="0.25">
      <c r="A90" s="173" t="s">
        <v>703</v>
      </c>
      <c r="B90" s="139">
        <v>1</v>
      </c>
      <c r="C90" s="170">
        <v>1180</v>
      </c>
      <c r="D90" s="177">
        <f t="shared" si="1"/>
        <v>177</v>
      </c>
      <c r="E90" s="47">
        <v>6.5000000000000002E-2</v>
      </c>
      <c r="F90" s="169">
        <f t="shared" si="2"/>
        <v>99.886635596422693</v>
      </c>
      <c r="G90" s="158">
        <f t="shared" si="3"/>
        <v>897.58785619095602</v>
      </c>
      <c r="H90" s="122"/>
      <c r="I90" s="160">
        <f t="shared" si="4"/>
        <v>-897.58785619095602</v>
      </c>
      <c r="J90" s="159"/>
      <c r="K90" s="187"/>
      <c r="L90" s="159"/>
    </row>
    <row r="91" spans="1:13" s="157" customFormat="1" x14ac:dyDescent="0.25">
      <c r="A91" s="173" t="s">
        <v>704</v>
      </c>
      <c r="B91" s="139">
        <v>1</v>
      </c>
      <c r="C91" s="170">
        <v>1605</v>
      </c>
      <c r="D91" s="177">
        <f t="shared" si="1"/>
        <v>240.75</v>
      </c>
      <c r="E91" s="47">
        <v>0.26</v>
      </c>
      <c r="F91" s="169">
        <f t="shared" si="2"/>
        <v>399.54654238569077</v>
      </c>
      <c r="G91" s="158">
        <f t="shared" si="3"/>
        <v>1383.327199763824</v>
      </c>
      <c r="H91" s="122"/>
      <c r="I91" s="160">
        <f t="shared" si="4"/>
        <v>-1383.327199763824</v>
      </c>
      <c r="J91" s="159"/>
      <c r="K91" s="187"/>
      <c r="L91" s="159"/>
    </row>
    <row r="92" spans="1:13" s="157" customFormat="1" x14ac:dyDescent="0.25">
      <c r="A92" s="173" t="s">
        <v>705</v>
      </c>
      <c r="B92" s="139">
        <v>1</v>
      </c>
      <c r="C92" s="170">
        <v>1752</v>
      </c>
      <c r="D92" s="177">
        <f t="shared" si="1"/>
        <v>262.8</v>
      </c>
      <c r="E92" s="47">
        <v>0.13</v>
      </c>
      <c r="F92" s="169">
        <f t="shared" si="2"/>
        <v>199.77327119284539</v>
      </c>
      <c r="G92" s="158">
        <f t="shared" si="3"/>
        <v>1364.3985923819121</v>
      </c>
      <c r="H92" s="122"/>
      <c r="I92" s="160">
        <f>H92-G92</f>
        <v>-1364.3985923819121</v>
      </c>
      <c r="J92" s="159"/>
      <c r="K92" s="187"/>
      <c r="L92" s="159"/>
    </row>
    <row r="93" spans="1:13" s="157" customFormat="1" ht="45" x14ac:dyDescent="0.25">
      <c r="A93" s="173" t="s">
        <v>706</v>
      </c>
      <c r="B93" s="139">
        <v>1</v>
      </c>
      <c r="C93" s="170">
        <v>1217</v>
      </c>
      <c r="D93" s="177">
        <f t="shared" si="1"/>
        <v>182.54999999999998</v>
      </c>
      <c r="E93" s="47">
        <v>0.32500000000000001</v>
      </c>
      <c r="F93" s="169">
        <f t="shared" si="2"/>
        <v>499.43317798211342</v>
      </c>
      <c r="G93" s="158">
        <f t="shared" si="3"/>
        <v>1169.9635359547801</v>
      </c>
      <c r="H93" s="122"/>
      <c r="I93" s="160">
        <f t="shared" si="4"/>
        <v>-1169.9635359547801</v>
      </c>
      <c r="J93" s="159"/>
      <c r="K93" s="187"/>
      <c r="L93" s="159"/>
    </row>
    <row r="94" spans="1:13" s="157" customFormat="1" ht="30" x14ac:dyDescent="0.25">
      <c r="A94" s="173" t="s">
        <v>707</v>
      </c>
      <c r="B94" s="139">
        <v>1</v>
      </c>
      <c r="C94" s="170">
        <v>1542</v>
      </c>
      <c r="D94" s="177">
        <f t="shared" si="1"/>
        <v>231.29999999999998</v>
      </c>
      <c r="E94" s="47">
        <v>0.26</v>
      </c>
      <c r="F94" s="169">
        <f t="shared" si="2"/>
        <v>399.54654238569077</v>
      </c>
      <c r="G94" s="158">
        <f t="shared" si="3"/>
        <v>1338.6907547638241</v>
      </c>
      <c r="H94" s="122"/>
      <c r="I94" s="160">
        <f t="shared" si="4"/>
        <v>-1338.6907547638241</v>
      </c>
      <c r="J94" s="159"/>
      <c r="K94" s="187"/>
      <c r="L94" s="159"/>
    </row>
    <row r="95" spans="1:13" s="162" customFormat="1" x14ac:dyDescent="0.25">
      <c r="A95" s="167" t="s">
        <v>708</v>
      </c>
      <c r="B95" s="129"/>
      <c r="C95" s="167"/>
      <c r="D95" s="167"/>
      <c r="E95" s="129"/>
      <c r="F95" s="167"/>
      <c r="G95" s="167"/>
      <c r="H95" s="167"/>
      <c r="I95" s="136"/>
      <c r="J95" s="167"/>
      <c r="K95" s="186"/>
      <c r="L95" s="167"/>
    </row>
    <row r="96" spans="1:13" s="162" customFormat="1" x14ac:dyDescent="0.25">
      <c r="A96" s="168"/>
      <c r="B96" s="139">
        <v>1</v>
      </c>
      <c r="C96" s="164"/>
      <c r="D96" s="163"/>
      <c r="E96" s="179">
        <v>0.34499999999999997</v>
      </c>
      <c r="F96" s="163"/>
      <c r="G96" s="163"/>
      <c r="H96" s="122"/>
      <c r="I96" s="166"/>
      <c r="J96" s="165"/>
      <c r="K96" s="187"/>
      <c r="L96" s="165"/>
    </row>
    <row r="97" spans="1:12" s="162" customFormat="1" x14ac:dyDescent="0.25">
      <c r="A97" s="168"/>
      <c r="B97" s="139">
        <v>1</v>
      </c>
      <c r="C97" s="164"/>
      <c r="D97" s="163"/>
      <c r="E97" s="179">
        <v>0.69</v>
      </c>
      <c r="F97" s="163"/>
      <c r="G97" s="163"/>
      <c r="H97" s="122"/>
      <c r="I97" s="166"/>
      <c r="J97" s="165"/>
      <c r="K97" s="187"/>
      <c r="L97" s="165"/>
    </row>
    <row r="98" spans="1:12" x14ac:dyDescent="0.25">
      <c r="A98" s="99"/>
      <c r="B98" s="99"/>
      <c r="C98" s="99"/>
      <c r="D98" s="99"/>
      <c r="E98" s="99">
        <f>SUM(E1:E97)</f>
        <v>15.878000000000005</v>
      </c>
      <c r="F98" s="94">
        <v>24400</v>
      </c>
      <c r="G98" s="28"/>
      <c r="H98" s="122"/>
      <c r="I98" s="121"/>
      <c r="J98" s="28"/>
      <c r="K98" s="188"/>
      <c r="L98" s="28"/>
    </row>
    <row r="103" spans="1:12" x14ac:dyDescent="0.25">
      <c r="I103" s="138"/>
    </row>
    <row r="104" spans="1:12" x14ac:dyDescent="0.25">
      <c r="I104" s="138"/>
    </row>
    <row r="105" spans="1:12" x14ac:dyDescent="0.25">
      <c r="I105" s="138"/>
    </row>
    <row r="106" spans="1:12" x14ac:dyDescent="0.25">
      <c r="I106" s="138"/>
    </row>
    <row r="107" spans="1:12" x14ac:dyDescent="0.25">
      <c r="I107" s="13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7"/>
  <sheetViews>
    <sheetView zoomScale="80" zoomScaleNormal="80" workbookViewId="0">
      <selection activeCell="K5" sqref="K5"/>
    </sheetView>
  </sheetViews>
  <sheetFormatPr defaultRowHeight="15" x14ac:dyDescent="0.25"/>
  <cols>
    <col min="1" max="1" width="46.5703125" customWidth="1"/>
    <col min="6" max="6" width="10.7109375" customWidth="1"/>
    <col min="11" max="11" width="13.42578125" customWidth="1"/>
  </cols>
  <sheetData>
    <row r="1" spans="1:13" s="176" customFormat="1" x14ac:dyDescent="0.25">
      <c r="A1" s="1" t="s">
        <v>5</v>
      </c>
      <c r="B1" s="45">
        <f>0.606</f>
        <v>0.60599999999999998</v>
      </c>
      <c r="C1" s="1"/>
      <c r="E1" s="174"/>
      <c r="I1" s="174"/>
      <c r="J1" s="45" t="s">
        <v>289</v>
      </c>
      <c r="K1" s="183">
        <v>43539</v>
      </c>
    </row>
    <row r="2" spans="1:13" s="176" customFormat="1" ht="21" x14ac:dyDescent="0.35">
      <c r="A2" s="8" t="s">
        <v>267</v>
      </c>
      <c r="B2" s="174"/>
      <c r="E2" s="174"/>
      <c r="I2" s="174"/>
      <c r="J2" s="174"/>
      <c r="K2" s="184"/>
    </row>
    <row r="3" spans="1:13" s="176" customFormat="1" ht="45" x14ac:dyDescent="0.25">
      <c r="A3" s="193" t="s">
        <v>421</v>
      </c>
      <c r="B3" s="193" t="s">
        <v>387</v>
      </c>
      <c r="C3" s="193" t="s">
        <v>60</v>
      </c>
      <c r="D3" s="193" t="s">
        <v>59</v>
      </c>
      <c r="E3" s="193" t="s">
        <v>388</v>
      </c>
      <c r="F3" s="193" t="s">
        <v>61</v>
      </c>
      <c r="G3" s="193" t="s">
        <v>65</v>
      </c>
      <c r="H3" s="122"/>
      <c r="I3" s="193" t="s">
        <v>62</v>
      </c>
      <c r="J3" s="194" t="s">
        <v>17</v>
      </c>
      <c r="K3" s="195" t="s">
        <v>62</v>
      </c>
      <c r="L3" s="192" t="s">
        <v>422</v>
      </c>
    </row>
    <row r="4" spans="1:13" x14ac:dyDescent="0.25">
      <c r="A4" s="180" t="s">
        <v>626</v>
      </c>
      <c r="B4" s="180"/>
      <c r="C4" s="180"/>
      <c r="D4" s="180"/>
      <c r="E4" s="180"/>
      <c r="F4" s="180"/>
      <c r="G4" s="180"/>
      <c r="H4" s="122"/>
      <c r="I4" s="120">
        <f>I5+I6</f>
        <v>-1485.5201902738709</v>
      </c>
      <c r="J4" s="180">
        <f>1444+92</f>
        <v>1536</v>
      </c>
      <c r="K4" s="186">
        <f>J4+I4-L5-L6</f>
        <v>0.4798097261291332</v>
      </c>
      <c r="L4" s="180"/>
    </row>
    <row r="5" spans="1:13" x14ac:dyDescent="0.25">
      <c r="A5" s="190" t="s">
        <v>726</v>
      </c>
      <c r="B5" s="177">
        <v>1</v>
      </c>
      <c r="C5" s="177">
        <f>2902/1000*300</f>
        <v>870.6</v>
      </c>
      <c r="D5">
        <f>C5*0.15</f>
        <v>130.59</v>
      </c>
      <c r="E5" s="177">
        <f>0.3*1.15</f>
        <v>0.34499999999999997</v>
      </c>
      <c r="F5" s="177">
        <f>E5/$E$77*$F$77</f>
        <v>561.80606957808993</v>
      </c>
      <c r="G5" s="177">
        <f>(C5)*$B$1+D5*$B$1+F5*$B$1</f>
        <v>947.1756181643226</v>
      </c>
      <c r="H5" s="122"/>
      <c r="I5" s="181">
        <f>H5-G5</f>
        <v>-947.1756181643226</v>
      </c>
      <c r="J5" s="177"/>
      <c r="K5" s="177"/>
      <c r="L5">
        <v>25</v>
      </c>
    </row>
    <row r="6" spans="1:13" x14ac:dyDescent="0.25">
      <c r="A6" s="190" t="s">
        <v>743</v>
      </c>
      <c r="B6" s="177">
        <v>1</v>
      </c>
      <c r="C6" s="170">
        <f>2234/1000*200</f>
        <v>446.8</v>
      </c>
      <c r="D6" s="176">
        <f t="shared" ref="D6:D69" si="0">C6*0.15</f>
        <v>67.02</v>
      </c>
      <c r="E6" s="177">
        <f>0.2*1.15</f>
        <v>0.22999999999999998</v>
      </c>
      <c r="F6" s="177">
        <f>E6/$E$77*$F$77</f>
        <v>374.53737971872658</v>
      </c>
      <c r="G6" s="177">
        <f>(C6)*$B$1+D6*$B$1+F6*$B$1</f>
        <v>538.34457210954838</v>
      </c>
      <c r="H6" s="122"/>
      <c r="I6" s="181">
        <f>H6-G6</f>
        <v>-538.34457210954838</v>
      </c>
      <c r="J6" s="177"/>
      <c r="K6" s="177"/>
      <c r="L6">
        <v>25</v>
      </c>
    </row>
    <row r="7" spans="1:13" x14ac:dyDescent="0.25">
      <c r="A7" s="180" t="s">
        <v>727</v>
      </c>
      <c r="B7" s="180"/>
      <c r="C7" s="180"/>
      <c r="D7" s="180"/>
      <c r="E7" s="180"/>
      <c r="F7" s="180"/>
      <c r="G7" s="180"/>
      <c r="H7" s="122"/>
      <c r="I7" s="120">
        <f>I8</f>
        <v>-1797.1041802738707</v>
      </c>
      <c r="J7" s="180">
        <v>1797</v>
      </c>
      <c r="K7" s="186">
        <f>J7+I7</f>
        <v>-0.1041802738707247</v>
      </c>
      <c r="L7" s="180"/>
    </row>
    <row r="8" spans="1:13" x14ac:dyDescent="0.25">
      <c r="A8" s="190" t="s">
        <v>728</v>
      </c>
      <c r="B8" s="177">
        <v>1</v>
      </c>
      <c r="C8" s="177">
        <f>3529/1000*500</f>
        <v>1764.5</v>
      </c>
      <c r="D8" s="176">
        <f t="shared" si="0"/>
        <v>264.67500000000001</v>
      </c>
      <c r="E8" s="177">
        <f>0.5*1.15</f>
        <v>0.57499999999999996</v>
      </c>
      <c r="F8" s="177">
        <f>E8/$E$77*$F$77</f>
        <v>936.34344929681652</v>
      </c>
      <c r="G8" s="177">
        <f t="shared" ref="G8:G66" si="1">(C8)*$B$1+D8*$B$1+F8*$B$1</f>
        <v>1797.1041802738707</v>
      </c>
      <c r="H8" s="122"/>
      <c r="I8" s="181">
        <f t="shared" ref="I8:I66" si="2">H8-G8</f>
        <v>-1797.1041802738707</v>
      </c>
      <c r="J8" s="177"/>
      <c r="K8" s="177"/>
      <c r="M8" t="s">
        <v>560</v>
      </c>
    </row>
    <row r="9" spans="1:13" x14ac:dyDescent="0.25">
      <c r="A9" s="180" t="s">
        <v>625</v>
      </c>
      <c r="B9" s="180"/>
      <c r="C9" s="180"/>
      <c r="D9" s="180"/>
      <c r="E9" s="180"/>
      <c r="F9" s="180"/>
      <c r="G9" s="180"/>
      <c r="H9" s="122"/>
      <c r="I9" s="120">
        <f>I10</f>
        <v>-359.4208360547741</v>
      </c>
      <c r="J9" s="180">
        <f>348+29</f>
        <v>377</v>
      </c>
      <c r="K9" s="186">
        <f>J9+I9-L10</f>
        <v>-0.42083605477409947</v>
      </c>
      <c r="L9" s="180"/>
    </row>
    <row r="10" spans="1:13" x14ac:dyDescent="0.25">
      <c r="A10" s="190" t="s">
        <v>729</v>
      </c>
      <c r="B10" s="177">
        <v>1</v>
      </c>
      <c r="C10" s="177">
        <f>3529/1000*100</f>
        <v>352.9</v>
      </c>
      <c r="D10" s="176">
        <f t="shared" si="0"/>
        <v>52.934999999999995</v>
      </c>
      <c r="E10" s="177">
        <f>0.1*1.15</f>
        <v>0.11499999999999999</v>
      </c>
      <c r="F10" s="177">
        <f>E10/$E$77*$F$77</f>
        <v>187.26868985936329</v>
      </c>
      <c r="G10" s="177">
        <f t="shared" si="1"/>
        <v>359.4208360547741</v>
      </c>
      <c r="H10" s="122"/>
      <c r="I10" s="181">
        <f t="shared" si="2"/>
        <v>-359.4208360547741</v>
      </c>
      <c r="J10" s="177"/>
      <c r="K10" s="177"/>
      <c r="L10">
        <v>18</v>
      </c>
    </row>
    <row r="11" spans="1:13" x14ac:dyDescent="0.25">
      <c r="A11" s="180" t="s">
        <v>575</v>
      </c>
      <c r="B11" s="180"/>
      <c r="C11" s="180"/>
      <c r="D11" s="180"/>
      <c r="E11" s="180"/>
      <c r="F11" s="180"/>
      <c r="G11" s="180"/>
      <c r="H11" s="122"/>
      <c r="I11" s="120">
        <f>I12</f>
        <v>-1797.1041802738707</v>
      </c>
      <c r="J11" s="180">
        <f>1741+56</f>
        <v>1797</v>
      </c>
      <c r="K11" s="186">
        <f>J11+I11</f>
        <v>-0.1041802738707247</v>
      </c>
      <c r="L11" s="180"/>
    </row>
    <row r="12" spans="1:13" x14ac:dyDescent="0.25">
      <c r="A12" s="190" t="s">
        <v>728</v>
      </c>
      <c r="B12" s="177">
        <v>1</v>
      </c>
      <c r="C12" s="177">
        <f>3529/1000*500</f>
        <v>1764.5</v>
      </c>
      <c r="D12" s="176">
        <f t="shared" si="0"/>
        <v>264.67500000000001</v>
      </c>
      <c r="E12" s="177">
        <f>0.5*1.15</f>
        <v>0.57499999999999996</v>
      </c>
      <c r="F12" s="177">
        <f>E12/$E$77*$F$77</f>
        <v>936.34344929681652</v>
      </c>
      <c r="G12" s="177">
        <f t="shared" si="1"/>
        <v>1797.1041802738707</v>
      </c>
      <c r="H12" s="122"/>
      <c r="I12" s="181">
        <f t="shared" si="2"/>
        <v>-1797.1041802738707</v>
      </c>
      <c r="J12" s="177"/>
      <c r="K12" s="177"/>
      <c r="M12" s="176" t="s">
        <v>560</v>
      </c>
    </row>
    <row r="13" spans="1:13" x14ac:dyDescent="0.25">
      <c r="A13" s="180" t="s">
        <v>730</v>
      </c>
      <c r="B13" s="180"/>
      <c r="C13" s="180"/>
      <c r="D13" s="180"/>
      <c r="E13" s="180"/>
      <c r="F13" s="180"/>
      <c r="G13" s="180"/>
      <c r="H13" s="122"/>
      <c r="I13" s="120">
        <f>I14</f>
        <v>-807.51685816432246</v>
      </c>
      <c r="J13" s="180">
        <f>786+72</f>
        <v>858</v>
      </c>
      <c r="K13" s="186">
        <f>J13+I13-L14</f>
        <v>25.483141835677543</v>
      </c>
      <c r="L13" s="180"/>
    </row>
    <row r="14" spans="1:13" x14ac:dyDescent="0.25">
      <c r="A14" s="190" t="s">
        <v>731</v>
      </c>
      <c r="B14" s="177">
        <v>1</v>
      </c>
      <c r="C14" s="170">
        <f>2234/1000*300</f>
        <v>670.2</v>
      </c>
      <c r="D14" s="176">
        <f t="shared" si="0"/>
        <v>100.53</v>
      </c>
      <c r="E14" s="177">
        <f>0.3*1.15</f>
        <v>0.34499999999999997</v>
      </c>
      <c r="F14" s="177">
        <f>E14/$E$77*$F$77</f>
        <v>561.80606957808993</v>
      </c>
      <c r="G14" s="177">
        <f t="shared" si="1"/>
        <v>807.51685816432246</v>
      </c>
      <c r="H14" s="122"/>
      <c r="I14" s="181">
        <f t="shared" si="2"/>
        <v>-807.51685816432246</v>
      </c>
      <c r="J14" s="177"/>
      <c r="K14" s="177"/>
      <c r="L14">
        <v>25</v>
      </c>
    </row>
    <row r="15" spans="1:13" x14ac:dyDescent="0.25">
      <c r="A15" s="180" t="s">
        <v>68</v>
      </c>
      <c r="B15" s="180"/>
      <c r="C15" s="180"/>
      <c r="D15" s="180"/>
      <c r="E15" s="180"/>
      <c r="F15" s="180"/>
      <c r="G15" s="180"/>
      <c r="H15" s="122"/>
      <c r="I15" s="120">
        <f>I16+I17</f>
        <v>-1352.2434042190964</v>
      </c>
      <c r="J15" s="180">
        <f>1311+92</f>
        <v>1403</v>
      </c>
      <c r="K15" s="186">
        <f>J15+I15-L16-L17</f>
        <v>0.75659578090358082</v>
      </c>
      <c r="L15" s="180"/>
    </row>
    <row r="16" spans="1:13" x14ac:dyDescent="0.25">
      <c r="A16" s="190" t="s">
        <v>732</v>
      </c>
      <c r="B16" s="177">
        <v>1</v>
      </c>
      <c r="C16" s="177">
        <f>3529/1000*200</f>
        <v>705.8</v>
      </c>
      <c r="D16" s="176">
        <f t="shared" si="0"/>
        <v>105.86999999999999</v>
      </c>
      <c r="E16" s="177">
        <f>0.2*1.15</f>
        <v>0.22999999999999998</v>
      </c>
      <c r="F16" s="177">
        <f>E16/$E$77*$F$77</f>
        <v>374.53737971872658</v>
      </c>
      <c r="G16" s="177">
        <f t="shared" si="1"/>
        <v>718.8416721095482</v>
      </c>
      <c r="H16" s="122"/>
      <c r="I16" s="181">
        <f t="shared" si="2"/>
        <v>-718.8416721095482</v>
      </c>
      <c r="J16" s="177"/>
      <c r="K16" s="177"/>
      <c r="L16">
        <v>25</v>
      </c>
    </row>
    <row r="17" spans="1:13" x14ac:dyDescent="0.25">
      <c r="A17" s="190" t="s">
        <v>736</v>
      </c>
      <c r="B17" s="177">
        <v>1</v>
      </c>
      <c r="C17" s="170">
        <f>2916/1000*200</f>
        <v>583.19999999999993</v>
      </c>
      <c r="D17" s="176">
        <f t="shared" si="0"/>
        <v>87.47999999999999</v>
      </c>
      <c r="E17" s="177">
        <f>0.2*1.15</f>
        <v>0.22999999999999998</v>
      </c>
      <c r="F17" s="177">
        <f>E17/$E$77*$F$77</f>
        <v>374.53737971872658</v>
      </c>
      <c r="G17" s="177">
        <f>(C17)*$B$1+D17*$B$1+F17*$B$1</f>
        <v>633.40173210954822</v>
      </c>
      <c r="H17" s="122"/>
      <c r="I17" s="181">
        <f>H17-G17</f>
        <v>-633.40173210954822</v>
      </c>
      <c r="J17" s="177"/>
      <c r="K17" s="177"/>
      <c r="L17">
        <v>25</v>
      </c>
    </row>
    <row r="18" spans="1:13" x14ac:dyDescent="0.25">
      <c r="A18" s="180" t="s">
        <v>675</v>
      </c>
      <c r="B18" s="180"/>
      <c r="C18" s="180"/>
      <c r="D18" s="180"/>
      <c r="E18" s="180"/>
      <c r="F18" s="180"/>
      <c r="G18" s="180"/>
      <c r="H18" s="122"/>
      <c r="I18" s="120">
        <f>I19+I20</f>
        <v>-3786.4044049296804</v>
      </c>
      <c r="J18" s="180">
        <v>3679</v>
      </c>
      <c r="K18" s="186">
        <f>J18+I18</f>
        <v>-107.40440492968037</v>
      </c>
      <c r="L18" s="180"/>
    </row>
    <row r="19" spans="1:13" x14ac:dyDescent="0.25">
      <c r="A19" s="190" t="s">
        <v>734</v>
      </c>
      <c r="B19" s="177">
        <v>1</v>
      </c>
      <c r="C19" s="170">
        <f>2226/980*580</f>
        <v>1317.4285714285713</v>
      </c>
      <c r="D19" s="176">
        <f t="shared" si="0"/>
        <v>197.6142857142857</v>
      </c>
      <c r="E19" s="177">
        <f>0.58*1.15</f>
        <v>0.66699999999999993</v>
      </c>
      <c r="F19" s="177">
        <f>E19/$E$77*$F$77</f>
        <v>1086.1584011843072</v>
      </c>
      <c r="G19" s="177">
        <f t="shared" si="1"/>
        <v>1576.3279625462615</v>
      </c>
      <c r="H19" s="122"/>
      <c r="I19" s="181">
        <f t="shared" si="2"/>
        <v>-1576.3279625462615</v>
      </c>
      <c r="J19" s="177"/>
      <c r="K19" s="177"/>
      <c r="M19" s="176" t="s">
        <v>560</v>
      </c>
    </row>
    <row r="20" spans="1:13" x14ac:dyDescent="0.25">
      <c r="A20" s="191" t="s">
        <v>735</v>
      </c>
      <c r="B20" s="177">
        <v>1</v>
      </c>
      <c r="C20" s="177">
        <f>2902/1000*700</f>
        <v>2031.4</v>
      </c>
      <c r="D20" s="176">
        <f t="shared" si="0"/>
        <v>304.70999999999998</v>
      </c>
      <c r="E20" s="177">
        <f>0.7*1.15</f>
        <v>0.80499999999999994</v>
      </c>
      <c r="F20" s="177">
        <f>E20/$E$77*$F$77</f>
        <v>1310.8808290155432</v>
      </c>
      <c r="G20" s="177">
        <f t="shared" si="1"/>
        <v>2210.0764423834189</v>
      </c>
      <c r="H20" s="122"/>
      <c r="I20" s="181">
        <f t="shared" si="2"/>
        <v>-2210.0764423834189</v>
      </c>
      <c r="J20" s="177"/>
      <c r="K20" s="177"/>
      <c r="M20" s="176" t="s">
        <v>560</v>
      </c>
    </row>
    <row r="21" spans="1:13" x14ac:dyDescent="0.25">
      <c r="A21" s="180" t="s">
        <v>737</v>
      </c>
      <c r="B21" s="180"/>
      <c r="C21" s="180"/>
      <c r="D21" s="180"/>
      <c r="E21" s="180"/>
      <c r="F21" s="180"/>
      <c r="G21" s="180"/>
      <c r="H21" s="122"/>
      <c r="I21" s="120">
        <f>I22</f>
        <v>-633.40173210954822</v>
      </c>
      <c r="J21" s="180">
        <f>632+25</f>
        <v>657</v>
      </c>
      <c r="K21" s="186">
        <f>J21+I21-L22</f>
        <v>-1.4017321095482203</v>
      </c>
      <c r="L21" s="180"/>
    </row>
    <row r="22" spans="1:13" x14ac:dyDescent="0.25">
      <c r="A22" s="190" t="s">
        <v>736</v>
      </c>
      <c r="B22" s="177">
        <v>1</v>
      </c>
      <c r="C22" s="170">
        <f>2916/1000*200</f>
        <v>583.19999999999993</v>
      </c>
      <c r="D22" s="176">
        <f t="shared" si="0"/>
        <v>87.47999999999999</v>
      </c>
      <c r="E22" s="177">
        <f>0.2*1.15</f>
        <v>0.22999999999999998</v>
      </c>
      <c r="F22" s="177">
        <f>E22/$E$77*$F$77</f>
        <v>374.53737971872658</v>
      </c>
      <c r="G22" s="177">
        <f t="shared" si="1"/>
        <v>633.40173210954822</v>
      </c>
      <c r="H22" s="122"/>
      <c r="I22" s="181">
        <f t="shared" si="2"/>
        <v>-633.40173210954822</v>
      </c>
      <c r="J22" s="177"/>
      <c r="K22" s="177"/>
      <c r="L22">
        <v>25</v>
      </c>
    </row>
    <row r="23" spans="1:13" x14ac:dyDescent="0.25">
      <c r="A23" s="180" t="s">
        <v>738</v>
      </c>
      <c r="B23" s="180"/>
      <c r="C23" s="180"/>
      <c r="D23" s="180"/>
      <c r="E23" s="180"/>
      <c r="F23" s="180"/>
      <c r="G23" s="180"/>
      <c r="H23" s="122"/>
      <c r="I23" s="120">
        <f>I24</f>
        <v>-1226.9407842190967</v>
      </c>
      <c r="J23" s="180">
        <f>1191+36</f>
        <v>1227</v>
      </c>
      <c r="K23" s="186">
        <f>J23+I23</f>
        <v>5.9215780903286941E-2</v>
      </c>
      <c r="L23" s="180"/>
    </row>
    <row r="24" spans="1:13" x14ac:dyDescent="0.25">
      <c r="A24" s="190" t="s">
        <v>739</v>
      </c>
      <c r="B24" s="177">
        <v>1</v>
      </c>
      <c r="C24" s="170">
        <f>2773/1000*400</f>
        <v>1109.2</v>
      </c>
      <c r="D24" s="176">
        <f t="shared" si="0"/>
        <v>166.38</v>
      </c>
      <c r="E24" s="177">
        <f>0.4*1.15</f>
        <v>0.45999999999999996</v>
      </c>
      <c r="F24" s="177">
        <f>E24/$E$77*$F$77</f>
        <v>749.07475943745317</v>
      </c>
      <c r="G24" s="177">
        <f t="shared" si="1"/>
        <v>1226.9407842190967</v>
      </c>
      <c r="H24" s="122"/>
      <c r="I24" s="181">
        <f t="shared" si="2"/>
        <v>-1226.9407842190967</v>
      </c>
      <c r="J24" s="177"/>
      <c r="K24" s="177"/>
      <c r="M24" s="176" t="s">
        <v>560</v>
      </c>
    </row>
    <row r="25" spans="1:13" x14ac:dyDescent="0.25">
      <c r="A25" s="180" t="s">
        <v>630</v>
      </c>
      <c r="B25" s="180"/>
      <c r="C25" s="180"/>
      <c r="D25" s="180"/>
      <c r="E25" s="180"/>
      <c r="F25" s="180"/>
      <c r="G25" s="180"/>
      <c r="H25" s="122"/>
      <c r="I25" s="120">
        <f>I26+I27</f>
        <v>-1219.4739985048109</v>
      </c>
      <c r="J25" s="180">
        <f>1184+85</f>
        <v>1269</v>
      </c>
      <c r="K25" s="186">
        <f>J25+I25-L26-L27</f>
        <v>-0.47399850481087924</v>
      </c>
      <c r="L25" s="180"/>
    </row>
    <row r="26" spans="1:13" x14ac:dyDescent="0.25">
      <c r="A26" s="190" t="s">
        <v>733</v>
      </c>
      <c r="B26" s="177">
        <v>1</v>
      </c>
      <c r="C26" s="170">
        <f>2226/980*200</f>
        <v>454.28571428571428</v>
      </c>
      <c r="D26" s="176">
        <f t="shared" si="0"/>
        <v>68.142857142857139</v>
      </c>
      <c r="E26" s="177">
        <f>0.2*1.15</f>
        <v>0.22999999999999998</v>
      </c>
      <c r="F26" s="177">
        <f>E26/$E$77*$F$77</f>
        <v>374.53737971872658</v>
      </c>
      <c r="G26" s="177">
        <f>(C26)*$B$1+D26*$B$1+F26*$B$1</f>
        <v>543.56136639526255</v>
      </c>
      <c r="H26" s="122"/>
      <c r="I26" s="181">
        <f>H26-G26</f>
        <v>-543.56136639526255</v>
      </c>
      <c r="J26" s="177"/>
      <c r="K26" s="177"/>
      <c r="L26">
        <v>25</v>
      </c>
    </row>
    <row r="27" spans="1:13" x14ac:dyDescent="0.25">
      <c r="A27" s="190" t="s">
        <v>740</v>
      </c>
      <c r="B27" s="177">
        <v>1</v>
      </c>
      <c r="C27" s="177">
        <f>3221/1000*200</f>
        <v>644.20000000000005</v>
      </c>
      <c r="D27" s="176">
        <f t="shared" si="0"/>
        <v>96.63000000000001</v>
      </c>
      <c r="E27" s="177">
        <f>0.2*1.15</f>
        <v>0.22999999999999998</v>
      </c>
      <c r="F27" s="177">
        <f>E27/$E$77*$F$77</f>
        <v>374.53737971872658</v>
      </c>
      <c r="G27" s="177">
        <f t="shared" si="1"/>
        <v>675.91263210954821</v>
      </c>
      <c r="H27" s="122"/>
      <c r="I27" s="181">
        <f t="shared" si="2"/>
        <v>-675.91263210954821</v>
      </c>
      <c r="J27" s="177"/>
      <c r="K27" s="177"/>
      <c r="L27">
        <v>25</v>
      </c>
    </row>
    <row r="28" spans="1:13" x14ac:dyDescent="0.25">
      <c r="A28" s="180" t="s">
        <v>741</v>
      </c>
      <c r="B28" s="180"/>
      <c r="C28" s="180"/>
      <c r="D28" s="180"/>
      <c r="E28" s="180"/>
      <c r="F28" s="180"/>
      <c r="G28" s="180"/>
      <c r="H28" s="122"/>
      <c r="I28" s="120">
        <f>I29</f>
        <v>-1013.8689481643225</v>
      </c>
      <c r="J28" s="180">
        <f>856+158</f>
        <v>1014</v>
      </c>
      <c r="K28" s="186">
        <f>J28+I28</f>
        <v>0.13105183567745371</v>
      </c>
      <c r="L28" s="180"/>
    </row>
    <row r="29" spans="1:13" x14ac:dyDescent="0.25">
      <c r="A29" s="190" t="s">
        <v>742</v>
      </c>
      <c r="B29" s="177">
        <v>1</v>
      </c>
      <c r="C29" s="177">
        <f>3221/1000*300</f>
        <v>966.30000000000007</v>
      </c>
      <c r="D29" s="176">
        <f t="shared" si="0"/>
        <v>144.94499999999999</v>
      </c>
      <c r="E29" s="177">
        <f>0.3*1.15</f>
        <v>0.34499999999999997</v>
      </c>
      <c r="F29" s="177">
        <f>E29/$E$77*$F$77</f>
        <v>561.80606957808993</v>
      </c>
      <c r="G29" s="177">
        <f t="shared" si="1"/>
        <v>1013.8689481643225</v>
      </c>
      <c r="H29" s="122"/>
      <c r="I29" s="181">
        <f t="shared" si="2"/>
        <v>-1013.8689481643225</v>
      </c>
      <c r="J29" s="177"/>
      <c r="K29" s="177"/>
      <c r="M29" s="176" t="s">
        <v>560</v>
      </c>
    </row>
    <row r="30" spans="1:13" x14ac:dyDescent="0.25">
      <c r="A30" s="180" t="s">
        <v>668</v>
      </c>
      <c r="B30" s="180"/>
      <c r="C30" s="180"/>
      <c r="D30" s="180"/>
      <c r="E30" s="180"/>
      <c r="F30" s="180"/>
      <c r="G30" s="180"/>
      <c r="H30" s="122"/>
      <c r="I30" s="120">
        <f>I31</f>
        <v>-543.56136639526255</v>
      </c>
      <c r="J30" s="180">
        <f>529+25</f>
        <v>554</v>
      </c>
      <c r="K30" s="186">
        <f>J30+I30-L31</f>
        <v>-14.561366395262553</v>
      </c>
      <c r="L30" s="180"/>
    </row>
    <row r="31" spans="1:13" x14ac:dyDescent="0.25">
      <c r="A31" s="190" t="s">
        <v>733</v>
      </c>
      <c r="B31" s="177">
        <v>1</v>
      </c>
      <c r="C31" s="170">
        <f>2226/980*200</f>
        <v>454.28571428571428</v>
      </c>
      <c r="D31" s="176">
        <f t="shared" si="0"/>
        <v>68.142857142857139</v>
      </c>
      <c r="E31" s="177">
        <f>0.2*1.15</f>
        <v>0.22999999999999998</v>
      </c>
      <c r="F31" s="177">
        <f>E31/$E$77*$F$77</f>
        <v>374.53737971872658</v>
      </c>
      <c r="G31" s="177">
        <f t="shared" si="1"/>
        <v>543.56136639526255</v>
      </c>
      <c r="H31" s="122"/>
      <c r="I31" s="181">
        <f t="shared" si="2"/>
        <v>-543.56136639526255</v>
      </c>
      <c r="J31" s="177"/>
      <c r="K31" s="177"/>
      <c r="L31">
        <v>25</v>
      </c>
    </row>
    <row r="32" spans="1:13" x14ac:dyDescent="0.25">
      <c r="A32" s="180" t="s">
        <v>744</v>
      </c>
      <c r="B32" s="180"/>
      <c r="C32" s="180"/>
      <c r="D32" s="180"/>
      <c r="E32" s="180"/>
      <c r="F32" s="180"/>
      <c r="G32" s="180"/>
      <c r="H32" s="122"/>
      <c r="I32" s="120">
        <f>I33+I34</f>
        <v>-1166.9376942190966</v>
      </c>
      <c r="J32" s="180">
        <v>1185</v>
      </c>
      <c r="K32" s="186">
        <f>J32+I32-L33</f>
        <v>6.2305780903443519E-2</v>
      </c>
      <c r="L32" s="180"/>
    </row>
    <row r="33" spans="1:13" x14ac:dyDescent="0.25">
      <c r="A33" s="190" t="s">
        <v>729</v>
      </c>
      <c r="B33" s="177">
        <v>1</v>
      </c>
      <c r="C33" s="177">
        <f>3529/1000*100</f>
        <v>352.9</v>
      </c>
      <c r="D33" s="176">
        <f t="shared" si="0"/>
        <v>52.934999999999995</v>
      </c>
      <c r="E33" s="177">
        <f>0.1*1.15</f>
        <v>0.11499999999999999</v>
      </c>
      <c r="F33" s="177">
        <f>E33/$E$77*$F$77</f>
        <v>187.26868985936329</v>
      </c>
      <c r="G33" s="177">
        <f t="shared" si="1"/>
        <v>359.4208360547741</v>
      </c>
      <c r="H33" s="122"/>
      <c r="I33" s="181">
        <f t="shared" si="2"/>
        <v>-359.4208360547741</v>
      </c>
      <c r="J33" s="177"/>
      <c r="K33" s="177"/>
      <c r="L33">
        <v>18</v>
      </c>
    </row>
    <row r="34" spans="1:13" x14ac:dyDescent="0.25">
      <c r="A34" s="190" t="s">
        <v>731</v>
      </c>
      <c r="B34" s="177">
        <v>1</v>
      </c>
      <c r="C34" s="170">
        <f>2234/1000*300</f>
        <v>670.2</v>
      </c>
      <c r="D34" s="176">
        <f t="shared" si="0"/>
        <v>100.53</v>
      </c>
      <c r="E34" s="177">
        <f>0.3*1.15</f>
        <v>0.34499999999999997</v>
      </c>
      <c r="F34" s="177">
        <f>E34/$E$77*$F$77</f>
        <v>561.80606957808993</v>
      </c>
      <c r="G34" s="177">
        <f t="shared" si="1"/>
        <v>807.51685816432246</v>
      </c>
      <c r="H34" s="122"/>
      <c r="I34" s="181">
        <f t="shared" si="2"/>
        <v>-807.51685816432246</v>
      </c>
      <c r="J34" s="177"/>
      <c r="K34" s="177"/>
      <c r="M34" t="s">
        <v>560</v>
      </c>
    </row>
    <row r="35" spans="1:13" x14ac:dyDescent="0.25">
      <c r="A35" s="180" t="s">
        <v>745</v>
      </c>
      <c r="B35" s="180"/>
      <c r="C35" s="180"/>
      <c r="D35" s="180"/>
      <c r="E35" s="180"/>
      <c r="F35" s="180"/>
      <c r="G35" s="180"/>
      <c r="H35" s="122"/>
      <c r="I35" s="120">
        <f>I36+I37</f>
        <v>-930.17125816432247</v>
      </c>
      <c r="J35" s="180">
        <f>903+70</f>
        <v>973</v>
      </c>
      <c r="K35" s="186">
        <f>J35+I35-L36-L37</f>
        <v>-0.17125816432246665</v>
      </c>
      <c r="L35" s="180"/>
    </row>
    <row r="36" spans="1:13" x14ac:dyDescent="0.25">
      <c r="A36" s="190" t="s">
        <v>746</v>
      </c>
      <c r="B36" s="177">
        <v>1</v>
      </c>
      <c r="C36" s="177">
        <f>2773/1000*200</f>
        <v>554.6</v>
      </c>
      <c r="D36" s="176">
        <f t="shared" si="0"/>
        <v>83.19</v>
      </c>
      <c r="E36" s="177">
        <f>0.2*1.15</f>
        <v>0.22999999999999998</v>
      </c>
      <c r="F36" s="177">
        <f>E36/$E$77*$F$77</f>
        <v>374.53737971872658</v>
      </c>
      <c r="G36" s="177">
        <f t="shared" si="1"/>
        <v>613.47039210954836</v>
      </c>
      <c r="H36" s="122"/>
      <c r="I36" s="181">
        <f t="shared" si="2"/>
        <v>-613.47039210954836</v>
      </c>
      <c r="J36" s="177"/>
      <c r="K36" s="177"/>
      <c r="L36">
        <v>25</v>
      </c>
    </row>
    <row r="37" spans="1:13" x14ac:dyDescent="0.25">
      <c r="A37" s="190" t="s">
        <v>747</v>
      </c>
      <c r="B37" s="177">
        <v>1</v>
      </c>
      <c r="C37" s="170">
        <f>2916/1000*100</f>
        <v>291.59999999999997</v>
      </c>
      <c r="D37" s="176">
        <f t="shared" si="0"/>
        <v>43.739999999999995</v>
      </c>
      <c r="E37" s="177">
        <f>0.1*1.15</f>
        <v>0.11499999999999999</v>
      </c>
      <c r="F37" s="177">
        <f>E37/$E$77*$F$77</f>
        <v>187.26868985936329</v>
      </c>
      <c r="G37" s="177">
        <f t="shared" si="1"/>
        <v>316.70086605477411</v>
      </c>
      <c r="H37" s="122"/>
      <c r="I37" s="181">
        <f t="shared" si="2"/>
        <v>-316.70086605477411</v>
      </c>
      <c r="J37" s="177"/>
      <c r="K37" s="177"/>
      <c r="L37">
        <v>18</v>
      </c>
    </row>
    <row r="38" spans="1:13" x14ac:dyDescent="0.25">
      <c r="A38" s="180" t="s">
        <v>748</v>
      </c>
      <c r="B38" s="180"/>
      <c r="C38" s="180"/>
      <c r="D38" s="180"/>
      <c r="E38" s="180"/>
      <c r="F38" s="180"/>
      <c r="G38" s="180"/>
      <c r="H38" s="122"/>
      <c r="I38" s="120">
        <f>I39+I40</f>
        <v>-1081.9059385048108</v>
      </c>
      <c r="J38" s="180">
        <f>1080+52</f>
        <v>1132</v>
      </c>
      <c r="K38" s="186">
        <f>J38+I38-L39-L40</f>
        <v>9.4061495189180278E-2</v>
      </c>
      <c r="L38" s="180"/>
    </row>
    <row r="39" spans="1:13" x14ac:dyDescent="0.25">
      <c r="A39" s="190" t="s">
        <v>743</v>
      </c>
      <c r="B39" s="177">
        <v>1</v>
      </c>
      <c r="C39" s="170">
        <f>2234/1000*200</f>
        <v>446.8</v>
      </c>
      <c r="D39" s="176">
        <f t="shared" si="0"/>
        <v>67.02</v>
      </c>
      <c r="E39" s="177">
        <f>0.2*1.15</f>
        <v>0.22999999999999998</v>
      </c>
      <c r="F39" s="177">
        <f>E39/$E$77*$F$77</f>
        <v>374.53737971872658</v>
      </c>
      <c r="G39" s="177">
        <f t="shared" si="1"/>
        <v>538.34457210954838</v>
      </c>
      <c r="H39" s="122"/>
      <c r="I39" s="181">
        <f t="shared" si="2"/>
        <v>-538.34457210954838</v>
      </c>
      <c r="J39" s="177"/>
      <c r="K39" s="177"/>
      <c r="L39">
        <v>25</v>
      </c>
    </row>
    <row r="40" spans="1:13" x14ac:dyDescent="0.25">
      <c r="A40" s="190" t="s">
        <v>733</v>
      </c>
      <c r="B40" s="177">
        <v>1</v>
      </c>
      <c r="C40" s="170">
        <f>2226/980*200</f>
        <v>454.28571428571428</v>
      </c>
      <c r="D40" s="176">
        <f t="shared" si="0"/>
        <v>68.142857142857139</v>
      </c>
      <c r="E40" s="177">
        <f>0.2*1.15</f>
        <v>0.22999999999999998</v>
      </c>
      <c r="F40" s="177">
        <f>E40/$E$77*$F$77</f>
        <v>374.53737971872658</v>
      </c>
      <c r="G40" s="177">
        <f t="shared" si="1"/>
        <v>543.56136639526255</v>
      </c>
      <c r="H40" s="122"/>
      <c r="I40" s="181">
        <f t="shared" si="2"/>
        <v>-543.56136639526255</v>
      </c>
      <c r="J40" s="177"/>
      <c r="K40" s="177"/>
      <c r="L40">
        <v>25</v>
      </c>
    </row>
    <row r="41" spans="1:13" x14ac:dyDescent="0.25">
      <c r="A41" s="180" t="s">
        <v>606</v>
      </c>
      <c r="B41" s="180"/>
      <c r="C41" s="180"/>
      <c r="D41" s="180"/>
      <c r="E41" s="180"/>
      <c r="F41" s="180"/>
      <c r="G41" s="180"/>
      <c r="H41" s="122"/>
      <c r="I41" s="120">
        <f>I42+I43</f>
        <v>-3737.8266464988887</v>
      </c>
      <c r="J41" s="180">
        <f>3622+140</f>
        <v>3762</v>
      </c>
      <c r="K41" s="186">
        <f>J41+I41-L42</f>
        <v>-0.82664649888874919</v>
      </c>
      <c r="L41" s="180"/>
    </row>
    <row r="42" spans="1:13" x14ac:dyDescent="0.25">
      <c r="A42" s="190" t="s">
        <v>732</v>
      </c>
      <c r="B42" s="177">
        <v>1</v>
      </c>
      <c r="C42" s="177">
        <f>3529/1000*200</f>
        <v>705.8</v>
      </c>
      <c r="D42" s="176">
        <f t="shared" si="0"/>
        <v>105.86999999999999</v>
      </c>
      <c r="E42" s="177">
        <f>0.2*1.15</f>
        <v>0.22999999999999998</v>
      </c>
      <c r="F42" s="177">
        <f>E42/$E$77*$F$77</f>
        <v>374.53737971872658</v>
      </c>
      <c r="G42" s="177">
        <f t="shared" si="1"/>
        <v>718.8416721095482</v>
      </c>
      <c r="H42" s="122"/>
      <c r="I42" s="181">
        <f t="shared" si="2"/>
        <v>-718.8416721095482</v>
      </c>
      <c r="J42" s="177"/>
      <c r="K42" s="177"/>
      <c r="L42">
        <v>25</v>
      </c>
    </row>
    <row r="43" spans="1:13" x14ac:dyDescent="0.25">
      <c r="A43" s="190" t="s">
        <v>749</v>
      </c>
      <c r="B43" s="177">
        <v>1</v>
      </c>
      <c r="C43" s="170">
        <f>2916/1000*1000</f>
        <v>2916</v>
      </c>
      <c r="D43" s="176">
        <f t="shared" si="0"/>
        <v>437.4</v>
      </c>
      <c r="E43" s="177">
        <v>1</v>
      </c>
      <c r="F43" s="177">
        <f>E43/$E$77*$F$77</f>
        <v>1628.4233900814202</v>
      </c>
      <c r="G43" s="177">
        <f t="shared" si="1"/>
        <v>3018.9849743893406</v>
      </c>
      <c r="H43" s="122"/>
      <c r="I43" s="181">
        <f t="shared" si="2"/>
        <v>-3018.9849743893406</v>
      </c>
      <c r="J43" s="177"/>
      <c r="K43" s="177"/>
    </row>
    <row r="44" spans="1:13" x14ac:dyDescent="0.25">
      <c r="A44" s="180" t="s">
        <v>750</v>
      </c>
      <c r="B44" s="180"/>
      <c r="C44" s="180"/>
      <c r="D44" s="180"/>
      <c r="E44" s="180"/>
      <c r="F44" s="180"/>
      <c r="G44" s="180"/>
      <c r="H44" s="122"/>
      <c r="I44" s="120">
        <f>I45+I46+I47</f>
        <v>-1625.4673049000735</v>
      </c>
      <c r="J44" s="180">
        <f>1582+68</f>
        <v>1650</v>
      </c>
      <c r="K44" s="186">
        <f>J44+I44-L45</f>
        <v>-0.46730490007348635</v>
      </c>
      <c r="L44" s="180"/>
    </row>
    <row r="45" spans="1:13" x14ac:dyDescent="0.25">
      <c r="A45" s="190" t="s">
        <v>751</v>
      </c>
      <c r="B45" s="177">
        <v>1</v>
      </c>
      <c r="C45" s="170">
        <f>2234/1000*100</f>
        <v>223.4</v>
      </c>
      <c r="D45" s="176">
        <f t="shared" si="0"/>
        <v>33.51</v>
      </c>
      <c r="E45" s="177">
        <f>0.1*1.15</f>
        <v>0.11499999999999999</v>
      </c>
      <c r="F45" s="177">
        <f>E45/$E$77*$F$77</f>
        <v>187.26868985936329</v>
      </c>
      <c r="G45" s="177">
        <f t="shared" si="1"/>
        <v>269.17228605477419</v>
      </c>
      <c r="H45" s="122"/>
      <c r="I45" s="181">
        <f t="shared" si="2"/>
        <v>-269.17228605477419</v>
      </c>
      <c r="J45" s="177"/>
      <c r="K45" s="177"/>
      <c r="L45">
        <v>25</v>
      </c>
      <c r="M45" t="s">
        <v>767</v>
      </c>
    </row>
    <row r="46" spans="1:13" x14ac:dyDescent="0.25">
      <c r="A46" s="190" t="s">
        <v>751</v>
      </c>
      <c r="B46" s="177">
        <v>1</v>
      </c>
      <c r="C46" s="170">
        <f>2234/1000*100</f>
        <v>223.4</v>
      </c>
      <c r="D46" s="176">
        <f t="shared" si="0"/>
        <v>33.51</v>
      </c>
      <c r="E46" s="177">
        <f>0.1*1.15</f>
        <v>0.11499999999999999</v>
      </c>
      <c r="F46" s="177">
        <f>E46/$E$77*$F$77</f>
        <v>187.26868985936329</v>
      </c>
      <c r="G46" s="177">
        <f t="shared" si="1"/>
        <v>269.17228605477419</v>
      </c>
      <c r="H46" s="122"/>
      <c r="I46" s="181">
        <f t="shared" si="2"/>
        <v>-269.17228605477419</v>
      </c>
      <c r="J46" s="177"/>
      <c r="K46" s="177"/>
    </row>
    <row r="47" spans="1:13" x14ac:dyDescent="0.25">
      <c r="A47" s="190" t="s">
        <v>752</v>
      </c>
      <c r="B47" s="177">
        <v>1</v>
      </c>
      <c r="C47" s="170">
        <f>2226/980*400</f>
        <v>908.57142857142856</v>
      </c>
      <c r="D47" s="176">
        <f t="shared" si="0"/>
        <v>136.28571428571428</v>
      </c>
      <c r="E47" s="177">
        <f>0.4*1.15</f>
        <v>0.45999999999999996</v>
      </c>
      <c r="F47" s="177">
        <f>E47/$E$77*$F$77</f>
        <v>749.07475943745317</v>
      </c>
      <c r="G47" s="177">
        <f t="shared" si="1"/>
        <v>1087.1227327905251</v>
      </c>
      <c r="H47" s="122"/>
      <c r="I47" s="181">
        <f t="shared" si="2"/>
        <v>-1087.1227327905251</v>
      </c>
      <c r="J47" s="177"/>
      <c r="K47" s="177"/>
      <c r="M47" s="176" t="s">
        <v>560</v>
      </c>
    </row>
    <row r="48" spans="1:13" x14ac:dyDescent="0.25">
      <c r="A48" s="180" t="s">
        <v>679</v>
      </c>
      <c r="B48" s="180"/>
      <c r="C48" s="180"/>
      <c r="D48" s="180"/>
      <c r="E48" s="180"/>
      <c r="F48" s="180"/>
      <c r="G48" s="180"/>
      <c r="H48" s="122"/>
      <c r="I48" s="120">
        <f>I49+I50</f>
        <v>-1032.7665961509988</v>
      </c>
      <c r="J48" s="180">
        <f>1007+76</f>
        <v>1083</v>
      </c>
      <c r="K48" s="186">
        <f>J48+I48-L49-L50</f>
        <v>0.23340384900120625</v>
      </c>
      <c r="L48" s="180"/>
    </row>
    <row r="49" spans="1:13" x14ac:dyDescent="0.25">
      <c r="A49" s="190" t="s">
        <v>733</v>
      </c>
      <c r="B49" s="131">
        <v>1</v>
      </c>
      <c r="C49" s="170">
        <f>2226/980*200</f>
        <v>454.28571428571428</v>
      </c>
      <c r="D49" s="176">
        <f t="shared" si="0"/>
        <v>68.142857142857139</v>
      </c>
      <c r="E49" s="177">
        <f>0.2*1.15</f>
        <v>0.22999999999999998</v>
      </c>
      <c r="F49" s="177">
        <f>E49/$E$77*$F$77</f>
        <v>374.53737971872658</v>
      </c>
      <c r="G49" s="177">
        <f t="shared" si="1"/>
        <v>543.56136639526255</v>
      </c>
      <c r="H49" s="122"/>
      <c r="I49" s="181">
        <f t="shared" si="2"/>
        <v>-543.56136639526255</v>
      </c>
      <c r="J49" s="177"/>
      <c r="K49" s="177"/>
      <c r="L49">
        <v>25</v>
      </c>
    </row>
    <row r="50" spans="1:13" x14ac:dyDescent="0.25">
      <c r="A50" s="190" t="s">
        <v>753</v>
      </c>
      <c r="B50" s="131">
        <v>1</v>
      </c>
      <c r="C50" s="170">
        <f>2226/980*180</f>
        <v>408.85714285714283</v>
      </c>
      <c r="D50" s="176">
        <f t="shared" si="0"/>
        <v>61.328571428571422</v>
      </c>
      <c r="E50" s="177">
        <f>0.18*1.15</f>
        <v>0.20699999999999999</v>
      </c>
      <c r="F50" s="177">
        <f>E50/$E$77*$F$77</f>
        <v>337.08364174685397</v>
      </c>
      <c r="G50" s="177">
        <f t="shared" si="1"/>
        <v>489.20522975573635</v>
      </c>
      <c r="H50" s="122"/>
      <c r="I50" s="181">
        <f t="shared" si="2"/>
        <v>-489.20522975573635</v>
      </c>
      <c r="J50" s="177"/>
      <c r="K50" s="177"/>
      <c r="L50">
        <v>25</v>
      </c>
    </row>
    <row r="51" spans="1:13" x14ac:dyDescent="0.25">
      <c r="A51" s="180" t="s">
        <v>495</v>
      </c>
      <c r="B51" s="180"/>
      <c r="C51" s="180"/>
      <c r="D51" s="180"/>
      <c r="E51" s="180"/>
      <c r="F51" s="180"/>
      <c r="G51" s="180"/>
      <c r="H51" s="122"/>
      <c r="I51" s="120">
        <f>I52+I53</f>
        <v>-992.61349816432232</v>
      </c>
      <c r="J51" s="180">
        <v>1036</v>
      </c>
      <c r="K51" s="186">
        <f>J51+I51-L52-L53</f>
        <v>0.38650183567767726</v>
      </c>
      <c r="L51" s="180"/>
    </row>
    <row r="52" spans="1:13" x14ac:dyDescent="0.25">
      <c r="A52" s="190" t="s">
        <v>740</v>
      </c>
      <c r="B52" s="177">
        <v>1</v>
      </c>
      <c r="C52" s="170">
        <f>3221/1000*200</f>
        <v>644.20000000000005</v>
      </c>
      <c r="D52" s="176">
        <f t="shared" si="0"/>
        <v>96.63000000000001</v>
      </c>
      <c r="E52" s="177">
        <f>0.2*1.15</f>
        <v>0.22999999999999998</v>
      </c>
      <c r="F52" s="177">
        <f>E52/$E$77*$F$77</f>
        <v>374.53737971872658</v>
      </c>
      <c r="G52" s="177">
        <f t="shared" si="1"/>
        <v>675.91263210954821</v>
      </c>
      <c r="H52" s="122"/>
      <c r="I52" s="181">
        <f t="shared" si="2"/>
        <v>-675.91263210954821</v>
      </c>
      <c r="J52" s="177"/>
      <c r="K52" s="177"/>
      <c r="L52">
        <v>25</v>
      </c>
    </row>
    <row r="53" spans="1:13" x14ac:dyDescent="0.25">
      <c r="A53" s="190" t="s">
        <v>747</v>
      </c>
      <c r="B53" s="177">
        <v>1</v>
      </c>
      <c r="C53" s="170">
        <f>2916/1000*100</f>
        <v>291.59999999999997</v>
      </c>
      <c r="D53" s="176">
        <f t="shared" si="0"/>
        <v>43.739999999999995</v>
      </c>
      <c r="E53" s="177">
        <f>0.1*1.15</f>
        <v>0.11499999999999999</v>
      </c>
      <c r="F53" s="177">
        <f>E53/$E$77*$F$77</f>
        <v>187.26868985936329</v>
      </c>
      <c r="G53" s="177">
        <f t="shared" si="1"/>
        <v>316.70086605477411</v>
      </c>
      <c r="H53" s="122"/>
      <c r="I53" s="181">
        <f t="shared" si="2"/>
        <v>-316.70086605477411</v>
      </c>
      <c r="J53" s="177"/>
      <c r="K53" s="177"/>
      <c r="L53">
        <v>18</v>
      </c>
    </row>
    <row r="54" spans="1:13" x14ac:dyDescent="0.25">
      <c r="A54" s="180" t="s">
        <v>754</v>
      </c>
      <c r="B54" s="180"/>
      <c r="C54" s="180"/>
      <c r="D54" s="180"/>
      <c r="E54" s="180"/>
      <c r="F54" s="180"/>
      <c r="G54" s="180"/>
      <c r="H54" s="122"/>
      <c r="I54" s="120">
        <f>I55+I56+I57+I58</f>
        <v>-2328.7780627239072</v>
      </c>
      <c r="J54" s="180">
        <v>2429</v>
      </c>
      <c r="K54" s="186">
        <f>J54+I54-L55*4</f>
        <v>0.22193727609283087</v>
      </c>
      <c r="L54" s="180"/>
    </row>
    <row r="55" spans="1:13" x14ac:dyDescent="0.25">
      <c r="A55" s="190" t="s">
        <v>746</v>
      </c>
      <c r="B55" s="177">
        <v>1</v>
      </c>
      <c r="C55" s="177">
        <f>2773/1000*200</f>
        <v>554.6</v>
      </c>
      <c r="D55" s="176">
        <f t="shared" si="0"/>
        <v>83.19</v>
      </c>
      <c r="E55" s="177">
        <f>0.2*1.15</f>
        <v>0.22999999999999998</v>
      </c>
      <c r="F55" s="177">
        <f>E55/$E$77*$F$77</f>
        <v>374.53737971872658</v>
      </c>
      <c r="G55" s="177">
        <f t="shared" si="1"/>
        <v>613.47039210954836</v>
      </c>
      <c r="H55" s="122"/>
      <c r="I55" s="181">
        <f t="shared" si="2"/>
        <v>-613.47039210954836</v>
      </c>
      <c r="J55" s="177"/>
      <c r="K55" s="177"/>
      <c r="L55">
        <v>25</v>
      </c>
    </row>
    <row r="56" spans="1:13" x14ac:dyDescent="0.25">
      <c r="A56" s="190" t="s">
        <v>743</v>
      </c>
      <c r="B56" s="177">
        <v>1</v>
      </c>
      <c r="C56" s="170">
        <f>2234/1000*200</f>
        <v>446.8</v>
      </c>
      <c r="D56" s="176">
        <f t="shared" si="0"/>
        <v>67.02</v>
      </c>
      <c r="E56" s="177">
        <f>0.2*1.15</f>
        <v>0.22999999999999998</v>
      </c>
      <c r="F56" s="177">
        <f>E56/$E$77*$F$77</f>
        <v>374.53737971872658</v>
      </c>
      <c r="G56" s="177">
        <f t="shared" si="1"/>
        <v>538.34457210954838</v>
      </c>
      <c r="H56" s="122"/>
      <c r="I56" s="181">
        <f t="shared" si="2"/>
        <v>-538.34457210954838</v>
      </c>
      <c r="J56" s="177"/>
      <c r="K56" s="177"/>
      <c r="L56" s="176">
        <v>25</v>
      </c>
    </row>
    <row r="57" spans="1:13" x14ac:dyDescent="0.25">
      <c r="A57" s="190" t="s">
        <v>733</v>
      </c>
      <c r="B57" s="177">
        <v>1</v>
      </c>
      <c r="C57" s="170">
        <f>2226/980*200</f>
        <v>454.28571428571428</v>
      </c>
      <c r="D57" s="176">
        <f t="shared" si="0"/>
        <v>68.142857142857139</v>
      </c>
      <c r="E57" s="177">
        <f>0.2*1.15</f>
        <v>0.22999999999999998</v>
      </c>
      <c r="F57" s="177">
        <f>E57/$E$77*$F$77</f>
        <v>374.53737971872658</v>
      </c>
      <c r="G57" s="177">
        <f t="shared" si="1"/>
        <v>543.56136639526255</v>
      </c>
      <c r="H57" s="122"/>
      <c r="I57" s="181">
        <f t="shared" si="2"/>
        <v>-543.56136639526255</v>
      </c>
      <c r="J57" s="177"/>
      <c r="K57" s="177"/>
      <c r="L57" s="176">
        <v>25</v>
      </c>
    </row>
    <row r="58" spans="1:13" x14ac:dyDescent="0.25">
      <c r="A58" s="190" t="s">
        <v>736</v>
      </c>
      <c r="B58" s="177">
        <v>1</v>
      </c>
      <c r="C58" s="170">
        <f>2916/1000*200</f>
        <v>583.19999999999993</v>
      </c>
      <c r="D58" s="176">
        <f t="shared" si="0"/>
        <v>87.47999999999999</v>
      </c>
      <c r="E58" s="177">
        <f>0.2*1.15</f>
        <v>0.22999999999999998</v>
      </c>
      <c r="F58" s="177">
        <f>E58/$E$77*$F$77</f>
        <v>374.53737971872658</v>
      </c>
      <c r="G58" s="177">
        <f t="shared" si="1"/>
        <v>633.40173210954822</v>
      </c>
      <c r="H58" s="122"/>
      <c r="I58" s="181">
        <f t="shared" si="2"/>
        <v>-633.40173210954822</v>
      </c>
      <c r="J58" s="177"/>
      <c r="K58" s="177"/>
      <c r="L58" s="176">
        <v>25</v>
      </c>
    </row>
    <row r="59" spans="1:13" ht="15.95" customHeight="1" x14ac:dyDescent="0.25">
      <c r="A59" s="180" t="s">
        <v>755</v>
      </c>
      <c r="B59" s="180"/>
      <c r="C59" s="180"/>
      <c r="D59" s="180"/>
      <c r="E59" s="180"/>
      <c r="F59" s="180"/>
      <c r="G59" s="180"/>
      <c r="H59" s="122"/>
      <c r="I59" s="120">
        <f>I60+I61+I62</f>
        <v>-1785.216696328645</v>
      </c>
      <c r="J59" s="180">
        <f>1734+101</f>
        <v>1835</v>
      </c>
      <c r="K59" s="186">
        <f>J59+I59-L60-L61</f>
        <v>-0.21669632864495725</v>
      </c>
      <c r="L59" s="180"/>
    </row>
    <row r="60" spans="1:13" x14ac:dyDescent="0.25">
      <c r="A60" s="190" t="s">
        <v>746</v>
      </c>
      <c r="B60" s="177">
        <v>1</v>
      </c>
      <c r="C60" s="177">
        <f>2773/1000*200</f>
        <v>554.6</v>
      </c>
      <c r="D60" s="176">
        <f t="shared" si="0"/>
        <v>83.19</v>
      </c>
      <c r="E60" s="177">
        <f>0.2*1.15</f>
        <v>0.22999999999999998</v>
      </c>
      <c r="F60" s="177">
        <f>E60/$E$77*$F$77</f>
        <v>374.53737971872658</v>
      </c>
      <c r="G60" s="177">
        <f t="shared" si="1"/>
        <v>613.47039210954836</v>
      </c>
      <c r="H60" s="122"/>
      <c r="I60" s="181">
        <f t="shared" si="2"/>
        <v>-613.47039210954836</v>
      </c>
      <c r="J60" s="177"/>
      <c r="K60" s="177"/>
      <c r="L60" s="176">
        <v>25</v>
      </c>
    </row>
    <row r="61" spans="1:13" x14ac:dyDescent="0.25">
      <c r="A61" s="190" t="s">
        <v>743</v>
      </c>
      <c r="B61" s="177">
        <v>1</v>
      </c>
      <c r="C61" s="170">
        <f>2234/1000*200</f>
        <v>446.8</v>
      </c>
      <c r="D61" s="176">
        <f t="shared" si="0"/>
        <v>67.02</v>
      </c>
      <c r="E61" s="177">
        <f>0.2*1.15</f>
        <v>0.22999999999999998</v>
      </c>
      <c r="F61" s="177">
        <f>E61/$E$77*$F$77</f>
        <v>374.53737971872658</v>
      </c>
      <c r="G61" s="177">
        <f t="shared" si="1"/>
        <v>538.34457210954838</v>
      </c>
      <c r="H61" s="122"/>
      <c r="I61" s="181">
        <f t="shared" si="2"/>
        <v>-538.34457210954838</v>
      </c>
      <c r="J61" s="177"/>
      <c r="K61" s="177"/>
      <c r="L61" s="176">
        <v>25</v>
      </c>
    </row>
    <row r="62" spans="1:13" x14ac:dyDescent="0.25">
      <c r="A62" s="190" t="s">
        <v>736</v>
      </c>
      <c r="B62" s="177">
        <v>1</v>
      </c>
      <c r="C62" s="170">
        <f>2916/1000*200</f>
        <v>583.19999999999993</v>
      </c>
      <c r="D62" s="176">
        <f t="shared" si="0"/>
        <v>87.47999999999999</v>
      </c>
      <c r="E62" s="177">
        <f>0.2*1.15</f>
        <v>0.22999999999999998</v>
      </c>
      <c r="F62" s="177">
        <f>E62/$E$77*$F$77</f>
        <v>374.53737971872658</v>
      </c>
      <c r="G62" s="177">
        <f t="shared" si="1"/>
        <v>633.40173210954822</v>
      </c>
      <c r="H62" s="122"/>
      <c r="I62" s="181">
        <f t="shared" si="2"/>
        <v>-633.40173210954822</v>
      </c>
      <c r="J62" s="177"/>
      <c r="K62" s="177"/>
      <c r="M62" s="176" t="s">
        <v>560</v>
      </c>
    </row>
    <row r="63" spans="1:13" x14ac:dyDescent="0.25">
      <c r="A63" s="180" t="s">
        <v>392</v>
      </c>
      <c r="B63" s="180"/>
      <c r="C63" s="180"/>
      <c r="D63" s="180"/>
      <c r="E63" s="180"/>
      <c r="F63" s="180"/>
      <c r="G63" s="180"/>
      <c r="H63" s="122"/>
      <c r="I63" s="120">
        <f>SUM(I64:I72)</f>
        <v>-7186.9474581717222</v>
      </c>
      <c r="J63" s="180">
        <f>3000+3974+338</f>
        <v>7312</v>
      </c>
      <c r="K63" s="186">
        <f>J63+I63-25*5</f>
        <v>5.2541828277753666E-2</v>
      </c>
      <c r="L63" s="180"/>
    </row>
    <row r="64" spans="1:13" x14ac:dyDescent="0.25">
      <c r="A64" s="190" t="s">
        <v>756</v>
      </c>
      <c r="B64" s="177">
        <v>1</v>
      </c>
      <c r="C64" s="170">
        <v>727</v>
      </c>
      <c r="D64" s="176">
        <f t="shared" si="0"/>
        <v>109.05</v>
      </c>
      <c r="E64" s="170">
        <f>0.2*1.3</f>
        <v>0.26</v>
      </c>
      <c r="F64" s="177">
        <f t="shared" ref="F64:F72" si="3">E64/$E$77*$F$77</f>
        <v>423.39008142116927</v>
      </c>
      <c r="G64" s="177">
        <f t="shared" si="1"/>
        <v>763.22068934122854</v>
      </c>
      <c r="H64" s="122"/>
      <c r="I64" s="181">
        <f t="shared" si="2"/>
        <v>-763.22068934122854</v>
      </c>
      <c r="J64" s="177"/>
      <c r="K64" s="177"/>
    </row>
    <row r="65" spans="1:13" x14ac:dyDescent="0.25">
      <c r="A65" s="190" t="s">
        <v>757</v>
      </c>
      <c r="B65" s="177">
        <v>1</v>
      </c>
      <c r="C65" s="177">
        <v>1131</v>
      </c>
      <c r="D65" s="176">
        <f t="shared" si="0"/>
        <v>169.65</v>
      </c>
      <c r="E65" s="170">
        <f>0.2*1.3</f>
        <v>0.26</v>
      </c>
      <c r="F65" s="177">
        <f t="shared" si="3"/>
        <v>423.39008142116927</v>
      </c>
      <c r="G65" s="177">
        <f t="shared" si="1"/>
        <v>1044.7682893412286</v>
      </c>
      <c r="H65" s="122"/>
      <c r="I65" s="181">
        <f t="shared" si="2"/>
        <v>-1044.7682893412286</v>
      </c>
      <c r="J65" s="177"/>
      <c r="K65" s="177"/>
    </row>
    <row r="66" spans="1:13" x14ac:dyDescent="0.25">
      <c r="A66" s="190" t="s">
        <v>732</v>
      </c>
      <c r="B66" s="177">
        <v>1</v>
      </c>
      <c r="C66" s="177">
        <f>3529/1000*200</f>
        <v>705.8</v>
      </c>
      <c r="D66" s="176">
        <f t="shared" si="0"/>
        <v>105.86999999999999</v>
      </c>
      <c r="E66" s="177">
        <f>0.2*1.15</f>
        <v>0.22999999999999998</v>
      </c>
      <c r="F66" s="177">
        <f t="shared" si="3"/>
        <v>374.53737971872658</v>
      </c>
      <c r="G66" s="177">
        <f t="shared" si="1"/>
        <v>718.8416721095482</v>
      </c>
      <c r="H66" s="122"/>
      <c r="I66" s="181">
        <f t="shared" si="2"/>
        <v>-718.8416721095482</v>
      </c>
      <c r="J66" s="177"/>
      <c r="K66" s="177"/>
      <c r="L66">
        <v>25</v>
      </c>
    </row>
    <row r="67" spans="1:13" x14ac:dyDescent="0.25">
      <c r="A67" s="190" t="s">
        <v>732</v>
      </c>
      <c r="B67" s="177">
        <v>1</v>
      </c>
      <c r="C67" s="177">
        <f>3529/1000*200</f>
        <v>705.8</v>
      </c>
      <c r="D67" s="176">
        <f t="shared" si="0"/>
        <v>105.86999999999999</v>
      </c>
      <c r="E67" s="177">
        <f>0.2*1.15</f>
        <v>0.22999999999999998</v>
      </c>
      <c r="F67" s="177">
        <f t="shared" si="3"/>
        <v>374.53737971872658</v>
      </c>
      <c r="G67" s="177">
        <f t="shared" ref="G67:G76" si="4">(C67)*$B$1+D67*$B$1+F67*$B$1</f>
        <v>718.8416721095482</v>
      </c>
      <c r="H67" s="122"/>
      <c r="I67" s="181">
        <f t="shared" ref="I67:I74" si="5">H67-G67</f>
        <v>-718.8416721095482</v>
      </c>
      <c r="J67" s="177"/>
      <c r="K67" s="177"/>
      <c r="L67">
        <v>25</v>
      </c>
    </row>
    <row r="68" spans="1:13" x14ac:dyDescent="0.25">
      <c r="A68" s="190" t="s">
        <v>742</v>
      </c>
      <c r="B68" s="177">
        <v>1</v>
      </c>
      <c r="C68" s="177">
        <f>3221/1000*300</f>
        <v>966.30000000000007</v>
      </c>
      <c r="D68" s="176">
        <f t="shared" si="0"/>
        <v>144.94499999999999</v>
      </c>
      <c r="E68" s="177">
        <f>0.3*1.15</f>
        <v>0.34499999999999997</v>
      </c>
      <c r="F68" s="177">
        <f t="shared" si="3"/>
        <v>561.80606957808993</v>
      </c>
      <c r="G68" s="177">
        <f t="shared" si="4"/>
        <v>1013.8689481643225</v>
      </c>
      <c r="H68" s="122"/>
      <c r="I68" s="181">
        <f t="shared" si="5"/>
        <v>-1013.8689481643225</v>
      </c>
      <c r="J68" s="177"/>
      <c r="K68" s="177"/>
      <c r="L68">
        <v>25</v>
      </c>
    </row>
    <row r="69" spans="1:13" x14ac:dyDescent="0.25">
      <c r="A69" s="190" t="s">
        <v>731</v>
      </c>
      <c r="B69" s="177">
        <v>1</v>
      </c>
      <c r="C69" s="170">
        <f>2234/1000*300</f>
        <v>670.2</v>
      </c>
      <c r="D69" s="176">
        <f t="shared" si="0"/>
        <v>100.53</v>
      </c>
      <c r="E69" s="177">
        <f>0.3*1.15</f>
        <v>0.34499999999999997</v>
      </c>
      <c r="F69" s="177">
        <f t="shared" si="3"/>
        <v>561.80606957808993</v>
      </c>
      <c r="G69" s="177">
        <f t="shared" si="4"/>
        <v>807.51685816432246</v>
      </c>
      <c r="H69" s="122"/>
      <c r="I69" s="181">
        <f t="shared" si="5"/>
        <v>-807.51685816432246</v>
      </c>
      <c r="J69" s="177"/>
      <c r="K69" s="177"/>
      <c r="M69" s="176" t="s">
        <v>560</v>
      </c>
    </row>
    <row r="70" spans="1:13" x14ac:dyDescent="0.25">
      <c r="A70" s="190" t="s">
        <v>733</v>
      </c>
      <c r="B70" s="177">
        <v>1</v>
      </c>
      <c r="C70" s="170">
        <f>2226/980*200</f>
        <v>454.28571428571428</v>
      </c>
      <c r="D70" s="176">
        <f t="shared" ref="D70:D74" si="6">C70*0.15</f>
        <v>68.142857142857139</v>
      </c>
      <c r="E70" s="177">
        <f>0.2*1.15</f>
        <v>0.22999999999999998</v>
      </c>
      <c r="F70" s="177">
        <f t="shared" si="3"/>
        <v>374.53737971872658</v>
      </c>
      <c r="G70" s="177">
        <f t="shared" si="4"/>
        <v>543.56136639526255</v>
      </c>
      <c r="H70" s="122"/>
      <c r="I70" s="181">
        <f t="shared" si="5"/>
        <v>-543.56136639526255</v>
      </c>
      <c r="J70" s="177"/>
      <c r="K70" s="177"/>
      <c r="L70">
        <v>25</v>
      </c>
    </row>
    <row r="71" spans="1:13" x14ac:dyDescent="0.25">
      <c r="A71" s="190" t="s">
        <v>733</v>
      </c>
      <c r="B71" s="177">
        <v>1</v>
      </c>
      <c r="C71" s="170">
        <f>2226/980*200</f>
        <v>454.28571428571428</v>
      </c>
      <c r="D71" s="176">
        <f t="shared" si="6"/>
        <v>68.142857142857139</v>
      </c>
      <c r="E71" s="177">
        <f>0.2*1.15</f>
        <v>0.22999999999999998</v>
      </c>
      <c r="F71" s="177">
        <f t="shared" si="3"/>
        <v>374.53737971872658</v>
      </c>
      <c r="G71" s="177">
        <f t="shared" si="4"/>
        <v>543.56136639526255</v>
      </c>
      <c r="H71" s="122"/>
      <c r="I71" s="181">
        <f t="shared" si="5"/>
        <v>-543.56136639526255</v>
      </c>
      <c r="J71" s="177"/>
      <c r="K71" s="177"/>
      <c r="L71">
        <v>25</v>
      </c>
    </row>
    <row r="72" spans="1:13" x14ac:dyDescent="0.25">
      <c r="A72" s="190" t="s">
        <v>758</v>
      </c>
      <c r="B72" s="177">
        <v>1</v>
      </c>
      <c r="C72" s="170">
        <f>2226/980*380</f>
        <v>863.14285714285711</v>
      </c>
      <c r="D72" s="176">
        <f t="shared" si="6"/>
        <v>129.47142857142856</v>
      </c>
      <c r="E72" s="177">
        <f>0.38*1.15</f>
        <v>0.43699999999999994</v>
      </c>
      <c r="F72" s="177">
        <f t="shared" si="3"/>
        <v>711.6210214655805</v>
      </c>
      <c r="G72" s="177">
        <f t="shared" si="4"/>
        <v>1032.7665961509988</v>
      </c>
      <c r="H72" s="122"/>
      <c r="I72" s="181">
        <f t="shared" si="5"/>
        <v>-1032.7665961509988</v>
      </c>
      <c r="J72" s="177"/>
      <c r="K72" s="177"/>
      <c r="M72" t="s">
        <v>560</v>
      </c>
    </row>
    <row r="73" spans="1:13" ht="15.95" customHeight="1" x14ac:dyDescent="0.25">
      <c r="A73" s="180" t="s">
        <v>759</v>
      </c>
      <c r="B73" s="180"/>
      <c r="C73" s="180"/>
      <c r="D73" s="180"/>
      <c r="E73" s="180"/>
      <c r="F73" s="180"/>
      <c r="G73" s="180"/>
      <c r="H73" s="122"/>
      <c r="I73" s="120">
        <f>I74</f>
        <v>-930.12017653589919</v>
      </c>
      <c r="J73" s="180">
        <f>900+30</f>
        <v>930</v>
      </c>
      <c r="K73" s="186">
        <f>J73+I73</f>
        <v>-0.12017653589919064</v>
      </c>
      <c r="L73" s="180"/>
    </row>
    <row r="74" spans="1:13" x14ac:dyDescent="0.25">
      <c r="A74" s="177" t="s">
        <v>760</v>
      </c>
      <c r="B74" s="177">
        <v>1</v>
      </c>
      <c r="C74" s="177">
        <v>1215</v>
      </c>
      <c r="D74" s="176">
        <f t="shared" si="6"/>
        <v>182.25</v>
      </c>
      <c r="E74" s="170">
        <f>0.065*1.3</f>
        <v>8.4500000000000006E-2</v>
      </c>
      <c r="F74" s="177">
        <f>E74/$E$77*$F$77</f>
        <v>137.60177646188001</v>
      </c>
      <c r="G74" s="177">
        <f t="shared" si="4"/>
        <v>930.12017653589919</v>
      </c>
      <c r="H74" s="122"/>
      <c r="I74" s="181">
        <f t="shared" si="5"/>
        <v>-930.12017653589919</v>
      </c>
      <c r="J74" s="177"/>
      <c r="K74" s="177"/>
    </row>
    <row r="75" spans="1:13" x14ac:dyDescent="0.25">
      <c r="A75" s="180" t="s">
        <v>708</v>
      </c>
      <c r="B75" s="180"/>
      <c r="C75" s="180"/>
      <c r="D75" s="180"/>
      <c r="E75" s="180"/>
      <c r="F75" s="180"/>
      <c r="G75" s="180"/>
      <c r="H75" s="122"/>
      <c r="I75" s="120"/>
      <c r="J75" s="180"/>
      <c r="K75" s="186"/>
      <c r="L75" s="180"/>
    </row>
    <row r="76" spans="1:13" x14ac:dyDescent="0.25">
      <c r="A76" s="190"/>
      <c r="B76" s="131">
        <v>1</v>
      </c>
      <c r="C76" s="170"/>
      <c r="E76" s="177">
        <f>0.1*1.15</f>
        <v>0.11499999999999999</v>
      </c>
      <c r="F76" s="177">
        <f>E76/$E$77*$F$77</f>
        <v>187.26868985936329</v>
      </c>
      <c r="G76" s="177">
        <f t="shared" si="4"/>
        <v>113.48482605477415</v>
      </c>
      <c r="H76" s="122"/>
      <c r="I76" s="181"/>
      <c r="J76" s="177"/>
      <c r="K76" s="177"/>
    </row>
    <row r="77" spans="1:13" x14ac:dyDescent="0.25">
      <c r="A77" s="196"/>
      <c r="B77" s="196"/>
      <c r="C77" s="196"/>
      <c r="D77" s="196"/>
      <c r="E77" s="197">
        <f>SUM(E5:E76)</f>
        <v>14.185500000000008</v>
      </c>
      <c r="F77" s="197">
        <v>23100</v>
      </c>
      <c r="G77" s="196"/>
      <c r="H77" s="196"/>
      <c r="I77" s="196"/>
      <c r="J77" s="196"/>
      <c r="K77" s="196"/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workbookViewId="0">
      <selection activeCell="A4" sqref="A4:A71"/>
    </sheetView>
  </sheetViews>
  <sheetFormatPr defaultRowHeight="21" x14ac:dyDescent="0.35"/>
  <cols>
    <col min="1" max="1" width="15.140625" style="143" customWidth="1"/>
    <col min="2" max="2" width="50" customWidth="1"/>
    <col min="6" max="6" width="15.28515625" style="174" customWidth="1"/>
    <col min="7" max="7" width="11" style="208" customWidth="1"/>
    <col min="8" max="8" width="9.140625" style="210"/>
    <col min="9" max="9" width="10.85546875" style="226" customWidth="1"/>
    <col min="10" max="10" width="12" customWidth="1"/>
    <col min="11" max="11" width="13.7109375" style="231" customWidth="1"/>
  </cols>
  <sheetData>
    <row r="1" spans="1:12" s="176" customFormat="1" x14ac:dyDescent="0.35">
      <c r="A1" s="214" t="s">
        <v>5</v>
      </c>
      <c r="B1" s="45">
        <f>0.606</f>
        <v>0.60599999999999998</v>
      </c>
      <c r="C1" s="1"/>
      <c r="E1" s="174"/>
      <c r="F1" s="174"/>
      <c r="G1" s="208"/>
      <c r="H1" s="210"/>
      <c r="I1" s="225" t="s">
        <v>289</v>
      </c>
      <c r="J1" s="183">
        <v>43601</v>
      </c>
      <c r="K1" s="231"/>
    </row>
    <row r="2" spans="1:12" s="176" customFormat="1" x14ac:dyDescent="0.35">
      <c r="A2" s="215" t="s">
        <v>267</v>
      </c>
      <c r="B2" s="174"/>
      <c r="E2" s="174"/>
      <c r="F2" s="174"/>
      <c r="G2" s="208"/>
      <c r="H2" s="210"/>
      <c r="I2" s="226"/>
      <c r="J2" s="184"/>
      <c r="K2" s="231"/>
    </row>
    <row r="3" spans="1:12" s="176" customFormat="1" ht="45" x14ac:dyDescent="0.25">
      <c r="A3" s="216" t="s">
        <v>804</v>
      </c>
      <c r="B3" s="193" t="s">
        <v>803</v>
      </c>
      <c r="C3" s="193" t="s">
        <v>387</v>
      </c>
      <c r="D3" s="193" t="s">
        <v>60</v>
      </c>
      <c r="E3" s="193" t="s">
        <v>59</v>
      </c>
      <c r="F3" s="193" t="s">
        <v>388</v>
      </c>
      <c r="G3" s="209" t="s">
        <v>61</v>
      </c>
      <c r="H3" s="209" t="s">
        <v>65</v>
      </c>
      <c r="I3" s="227" t="s">
        <v>805</v>
      </c>
      <c r="J3" s="194" t="s">
        <v>17</v>
      </c>
      <c r="K3" s="227" t="s">
        <v>62</v>
      </c>
      <c r="L3" s="125" t="s">
        <v>422</v>
      </c>
    </row>
    <row r="4" spans="1:12" x14ac:dyDescent="0.35">
      <c r="A4" s="218" t="s">
        <v>693</v>
      </c>
      <c r="B4" s="218" t="s">
        <v>769</v>
      </c>
      <c r="C4" s="218">
        <v>400</v>
      </c>
      <c r="D4" s="219">
        <f>2902/1000*C4</f>
        <v>1160.8</v>
      </c>
      <c r="E4" s="219">
        <f>D4*0.15</f>
        <v>174.11999999999998</v>
      </c>
      <c r="F4" s="220">
        <f>C4/1000*1.15</f>
        <v>0.45999999999999996</v>
      </c>
      <c r="G4" s="221">
        <f>F4/$F$73*$G$73</f>
        <v>753.041111706734</v>
      </c>
      <c r="H4" s="222">
        <f>(D4+E4+G4)*$B$1</f>
        <v>1265.3044336942808</v>
      </c>
      <c r="I4" s="228">
        <f>SUM(H4:H10)</f>
        <v>6964.7064788175749</v>
      </c>
      <c r="J4" s="219"/>
      <c r="K4" s="232">
        <f>-I4+J4</f>
        <v>-6964.7064788175749</v>
      </c>
      <c r="L4" s="219"/>
    </row>
    <row r="5" spans="1:12" x14ac:dyDescent="0.35">
      <c r="A5" s="218" t="s">
        <v>693</v>
      </c>
      <c r="B5" s="218" t="s">
        <v>771</v>
      </c>
      <c r="C5" s="218">
        <v>200</v>
      </c>
      <c r="D5" s="219">
        <f>3529/1000*C5</f>
        <v>705.8</v>
      </c>
      <c r="E5" s="219">
        <f>D5*0.15</f>
        <v>105.86999999999999</v>
      </c>
      <c r="F5" s="220">
        <f>C5/1000*1.15</f>
        <v>0.22999999999999998</v>
      </c>
      <c r="G5" s="221">
        <f t="shared" ref="G5:G68" si="0">F5/$F$73*$G$73</f>
        <v>376.520555853367</v>
      </c>
      <c r="H5" s="222">
        <f t="shared" ref="H5:H68" si="1">(D5+E5+G5)*$B$1</f>
        <v>720.04347684714037</v>
      </c>
      <c r="I5" s="228"/>
      <c r="J5" s="219"/>
      <c r="K5" s="232"/>
      <c r="L5" s="219"/>
    </row>
    <row r="6" spans="1:12" x14ac:dyDescent="0.35">
      <c r="A6" s="218" t="s">
        <v>693</v>
      </c>
      <c r="B6" s="218" t="s">
        <v>776</v>
      </c>
      <c r="C6" s="219">
        <v>200</v>
      </c>
      <c r="D6" s="219">
        <f>3144/1000*C6</f>
        <v>628.80000000000007</v>
      </c>
      <c r="E6" s="219">
        <f>D6*0.15</f>
        <v>94.320000000000007</v>
      </c>
      <c r="F6" s="220">
        <f>C6/1000*1.15</f>
        <v>0.22999999999999998</v>
      </c>
      <c r="G6" s="221">
        <f t="shared" si="0"/>
        <v>376.520555853367</v>
      </c>
      <c r="H6" s="222">
        <f t="shared" si="1"/>
        <v>666.38217684714039</v>
      </c>
      <c r="I6" s="228"/>
      <c r="J6" s="219"/>
      <c r="K6" s="232"/>
      <c r="L6" s="219"/>
    </row>
    <row r="7" spans="1:12" x14ac:dyDescent="0.35">
      <c r="A7" s="218" t="s">
        <v>693</v>
      </c>
      <c r="B7" s="218" t="s">
        <v>779</v>
      </c>
      <c r="C7" s="219">
        <v>200</v>
      </c>
      <c r="D7" s="219">
        <f>2773/1000*C7</f>
        <v>554.6</v>
      </c>
      <c r="E7" s="219">
        <f>D7*0.15</f>
        <v>83.19</v>
      </c>
      <c r="F7" s="220">
        <f>C7/1000*1.15</f>
        <v>0.22999999999999998</v>
      </c>
      <c r="G7" s="221">
        <f t="shared" si="0"/>
        <v>376.520555853367</v>
      </c>
      <c r="H7" s="222">
        <f t="shared" si="1"/>
        <v>614.67219684714041</v>
      </c>
      <c r="I7" s="228"/>
      <c r="J7" s="219"/>
      <c r="K7" s="232"/>
      <c r="L7" s="219"/>
    </row>
    <row r="8" spans="1:12" x14ac:dyDescent="0.35">
      <c r="A8" s="218" t="s">
        <v>693</v>
      </c>
      <c r="B8" s="218" t="s">
        <v>782</v>
      </c>
      <c r="C8" s="219">
        <v>200</v>
      </c>
      <c r="D8" s="219">
        <f>3221/1000*C8</f>
        <v>644.20000000000005</v>
      </c>
      <c r="E8" s="219">
        <f>D8*0.15</f>
        <v>96.63000000000001</v>
      </c>
      <c r="F8" s="220">
        <f>C8/1000*1.15</f>
        <v>0.22999999999999998</v>
      </c>
      <c r="G8" s="221">
        <f t="shared" si="0"/>
        <v>376.520555853367</v>
      </c>
      <c r="H8" s="222">
        <f t="shared" si="1"/>
        <v>677.11443684714038</v>
      </c>
      <c r="I8" s="228"/>
      <c r="J8" s="219"/>
      <c r="K8" s="232"/>
      <c r="L8" s="219"/>
    </row>
    <row r="9" spans="1:12" x14ac:dyDescent="0.35">
      <c r="A9" s="218" t="s">
        <v>693</v>
      </c>
      <c r="B9" s="218" t="s">
        <v>787</v>
      </c>
      <c r="C9" s="219">
        <v>600</v>
      </c>
      <c r="D9" s="219">
        <f>2762/1600*C9</f>
        <v>1035.75</v>
      </c>
      <c r="E9" s="219">
        <f>D9*0.15</f>
        <v>155.36249999999998</v>
      </c>
      <c r="F9" s="220">
        <f>C9/1000*1.15</f>
        <v>0.69</v>
      </c>
      <c r="G9" s="221">
        <f t="shared" si="0"/>
        <v>1129.5616675601009</v>
      </c>
      <c r="H9" s="222">
        <f t="shared" si="1"/>
        <v>1406.3285455414209</v>
      </c>
      <c r="I9" s="228"/>
      <c r="J9" s="219"/>
      <c r="K9" s="232"/>
      <c r="L9" s="219"/>
    </row>
    <row r="10" spans="1:12" x14ac:dyDescent="0.35">
      <c r="A10" s="223" t="s">
        <v>693</v>
      </c>
      <c r="B10" s="218" t="s">
        <v>792</v>
      </c>
      <c r="C10" s="218">
        <v>1</v>
      </c>
      <c r="D10" s="218">
        <v>1651</v>
      </c>
      <c r="E10" s="219">
        <f>D10*0.15</f>
        <v>247.64999999999998</v>
      </c>
      <c r="F10" s="220">
        <f>0.36*1.3</f>
        <v>0.46799999999999997</v>
      </c>
      <c r="G10" s="221">
        <f t="shared" si="0"/>
        <v>766.1374788668511</v>
      </c>
      <c r="H10" s="222">
        <f t="shared" si="1"/>
        <v>1614.861212193312</v>
      </c>
      <c r="I10" s="228"/>
      <c r="J10" s="219"/>
      <c r="K10" s="232"/>
      <c r="L10" s="219"/>
    </row>
    <row r="11" spans="1:12" ht="30.75" x14ac:dyDescent="0.3">
      <c r="A11" s="124" t="s">
        <v>216</v>
      </c>
      <c r="B11" s="204" t="s">
        <v>789</v>
      </c>
      <c r="C11" s="205">
        <v>2</v>
      </c>
      <c r="D11" s="203">
        <v>1882</v>
      </c>
      <c r="E11" s="177">
        <f>D11*0.15</f>
        <v>282.3</v>
      </c>
      <c r="F11" s="47">
        <f>0.12*1.3*2</f>
        <v>0.312</v>
      </c>
      <c r="G11" s="181">
        <f t="shared" si="0"/>
        <v>510.75831924456742</v>
      </c>
      <c r="H11" s="211">
        <f t="shared" si="1"/>
        <v>1621.0853414622079</v>
      </c>
      <c r="I11" s="229">
        <f>SUM(H11:H13)</f>
        <v>4471.4862964290132</v>
      </c>
      <c r="J11" s="177"/>
      <c r="K11" s="229">
        <f>-I11+J11</f>
        <v>-4471.4862964290132</v>
      </c>
      <c r="L11" s="177"/>
    </row>
    <row r="12" spans="1:12" ht="31.5" x14ac:dyDescent="0.35">
      <c r="A12" s="124" t="s">
        <v>216</v>
      </c>
      <c r="B12" s="204" t="s">
        <v>790</v>
      </c>
      <c r="C12" s="203">
        <v>1</v>
      </c>
      <c r="D12" s="203">
        <v>941</v>
      </c>
      <c r="E12" s="177">
        <f>D12*0.15</f>
        <v>141.15</v>
      </c>
      <c r="F12" s="47">
        <f>0.12*1.3</f>
        <v>0.156</v>
      </c>
      <c r="G12" s="181">
        <f t="shared" si="0"/>
        <v>255.37915962228371</v>
      </c>
      <c r="H12" s="211">
        <f t="shared" si="1"/>
        <v>810.54267073110395</v>
      </c>
      <c r="I12" s="229"/>
      <c r="J12" s="177"/>
      <c r="K12" s="233"/>
      <c r="L12" s="177"/>
    </row>
    <row r="13" spans="1:12" ht="31.5" x14ac:dyDescent="0.35">
      <c r="A13" s="124" t="s">
        <v>216</v>
      </c>
      <c r="B13" s="204" t="s">
        <v>791</v>
      </c>
      <c r="C13" s="203">
        <v>1</v>
      </c>
      <c r="D13" s="203">
        <v>1290</v>
      </c>
      <c r="E13" s="177">
        <f>D13*0.15</f>
        <v>193.5</v>
      </c>
      <c r="F13" s="47">
        <f>1*1.15</f>
        <v>1.1499999999999999</v>
      </c>
      <c r="G13" s="181">
        <f t="shared" si="0"/>
        <v>1882.6027792668349</v>
      </c>
      <c r="H13" s="211">
        <f t="shared" si="1"/>
        <v>2039.8582842357018</v>
      </c>
      <c r="I13" s="229"/>
      <c r="J13" s="177"/>
      <c r="K13" s="233"/>
      <c r="L13" s="177"/>
    </row>
    <row r="14" spans="1:12" x14ac:dyDescent="0.35">
      <c r="A14" s="223" t="s">
        <v>795</v>
      </c>
      <c r="B14" s="219" t="s">
        <v>796</v>
      </c>
      <c r="C14" s="219">
        <v>1</v>
      </c>
      <c r="D14" s="219">
        <v>790</v>
      </c>
      <c r="E14" s="219">
        <f>D14*0.15</f>
        <v>118.5</v>
      </c>
      <c r="F14" s="220">
        <f>0.13*1.3</f>
        <v>0.16900000000000001</v>
      </c>
      <c r="G14" s="221">
        <f t="shared" si="0"/>
        <v>276.66075625747402</v>
      </c>
      <c r="H14" s="222">
        <f t="shared" si="1"/>
        <v>718.20741829202927</v>
      </c>
      <c r="I14" s="228">
        <f>SUM(H14:H16)</f>
        <v>2829.0692164611773</v>
      </c>
      <c r="J14" s="219"/>
      <c r="K14" s="232">
        <f>-I14+J14</f>
        <v>-2829.0692164611773</v>
      </c>
      <c r="L14" s="219"/>
    </row>
    <row r="15" spans="1:12" x14ac:dyDescent="0.35">
      <c r="A15" s="223" t="s">
        <v>795</v>
      </c>
      <c r="B15" s="219" t="s">
        <v>797</v>
      </c>
      <c r="C15" s="219">
        <v>1</v>
      </c>
      <c r="D15" s="219">
        <v>1231</v>
      </c>
      <c r="E15" s="219">
        <f>D15*0.15</f>
        <v>184.65</v>
      </c>
      <c r="F15" s="220">
        <f>0.25*1.3</f>
        <v>0.32500000000000001</v>
      </c>
      <c r="G15" s="221">
        <f t="shared" si="0"/>
        <v>532.03991587975781</v>
      </c>
      <c r="H15" s="222">
        <f t="shared" si="1"/>
        <v>1180.3000890231333</v>
      </c>
      <c r="I15" s="228"/>
      <c r="J15" s="219"/>
      <c r="K15" s="232"/>
      <c r="L15" s="219"/>
    </row>
    <row r="16" spans="1:12" x14ac:dyDescent="0.35">
      <c r="A16" s="223" t="s">
        <v>795</v>
      </c>
      <c r="B16" s="219" t="s">
        <v>788</v>
      </c>
      <c r="C16" s="219">
        <v>1</v>
      </c>
      <c r="D16" s="219">
        <v>1215</v>
      </c>
      <c r="E16" s="219">
        <f>D16*0.15</f>
        <v>182.25</v>
      </c>
      <c r="F16" s="220">
        <f>0.065*1.3</f>
        <v>8.4500000000000006E-2</v>
      </c>
      <c r="G16" s="221">
        <f t="shared" si="0"/>
        <v>138.33037812873701</v>
      </c>
      <c r="H16" s="222">
        <f t="shared" si="1"/>
        <v>930.56170914601466</v>
      </c>
      <c r="I16" s="228"/>
      <c r="J16" s="219"/>
      <c r="K16" s="232"/>
      <c r="L16" s="219"/>
    </row>
    <row r="17" spans="1:12" ht="18.75" x14ac:dyDescent="0.3">
      <c r="A17" s="217" t="s">
        <v>777</v>
      </c>
      <c r="B17" s="203" t="s">
        <v>776</v>
      </c>
      <c r="C17" s="177">
        <v>100</v>
      </c>
      <c r="D17" s="177">
        <f>3144/1000*C17</f>
        <v>314.40000000000003</v>
      </c>
      <c r="E17" s="177">
        <f>D17*0.15</f>
        <v>47.160000000000004</v>
      </c>
      <c r="F17" s="179">
        <f>C17/1000*1.15</f>
        <v>0.11499999999999999</v>
      </c>
      <c r="G17" s="181">
        <f t="shared" si="0"/>
        <v>188.2602779266835</v>
      </c>
      <c r="H17" s="211">
        <f t="shared" si="1"/>
        <v>333.19108842357019</v>
      </c>
      <c r="I17" s="229">
        <f>H17</f>
        <v>333.19108842357019</v>
      </c>
      <c r="J17" s="177"/>
      <c r="K17" s="229">
        <f>-I17+J17</f>
        <v>-333.19108842357019</v>
      </c>
      <c r="L17" s="177"/>
    </row>
    <row r="18" spans="1:12" x14ac:dyDescent="0.35">
      <c r="A18" s="218" t="s">
        <v>283</v>
      </c>
      <c r="B18" s="218" t="s">
        <v>776</v>
      </c>
      <c r="C18" s="219">
        <v>100</v>
      </c>
      <c r="D18" s="219">
        <f>3144/1000*C18</f>
        <v>314.40000000000003</v>
      </c>
      <c r="E18" s="219">
        <f>D18*0.15</f>
        <v>47.160000000000004</v>
      </c>
      <c r="F18" s="220">
        <f>C18/1000*1.15</f>
        <v>0.11499999999999999</v>
      </c>
      <c r="G18" s="221">
        <f t="shared" si="0"/>
        <v>188.2602779266835</v>
      </c>
      <c r="H18" s="222">
        <f t="shared" si="1"/>
        <v>333.19108842357019</v>
      </c>
      <c r="I18" s="228">
        <f>SUM(H18:H20)</f>
        <v>1182.2513761942807</v>
      </c>
      <c r="J18" s="219"/>
      <c r="K18" s="232">
        <f>-I18+J18</f>
        <v>-1182.2513761942807</v>
      </c>
      <c r="L18" s="219"/>
    </row>
    <row r="19" spans="1:12" x14ac:dyDescent="0.35">
      <c r="A19" s="218" t="s">
        <v>283</v>
      </c>
      <c r="B19" s="218" t="s">
        <v>779</v>
      </c>
      <c r="C19" s="219">
        <v>200</v>
      </c>
      <c r="D19" s="219">
        <f>2773/1000*C19</f>
        <v>554.6</v>
      </c>
      <c r="E19" s="219">
        <f>D19*0.15</f>
        <v>83.19</v>
      </c>
      <c r="F19" s="220">
        <f>C19/1000*1.15</f>
        <v>0.22999999999999998</v>
      </c>
      <c r="G19" s="221">
        <f t="shared" si="0"/>
        <v>376.520555853367</v>
      </c>
      <c r="H19" s="222">
        <f t="shared" si="1"/>
        <v>614.67219684714041</v>
      </c>
      <c r="I19" s="228"/>
      <c r="J19" s="219"/>
      <c r="K19" s="232"/>
      <c r="L19" s="219"/>
    </row>
    <row r="20" spans="1:12" x14ac:dyDescent="0.35">
      <c r="A20" s="218" t="s">
        <v>283</v>
      </c>
      <c r="B20" s="218" t="s">
        <v>787</v>
      </c>
      <c r="C20" s="219">
        <v>100</v>
      </c>
      <c r="D20" s="219">
        <f>2762/1600*C20</f>
        <v>172.625</v>
      </c>
      <c r="E20" s="219">
        <f>D20*0.15</f>
        <v>25.893750000000001</v>
      </c>
      <c r="F20" s="220">
        <f>C20/1000*1.15</f>
        <v>0.11499999999999999</v>
      </c>
      <c r="G20" s="221">
        <f t="shared" si="0"/>
        <v>188.2602779266835</v>
      </c>
      <c r="H20" s="222">
        <f t="shared" si="1"/>
        <v>234.38809092357019</v>
      </c>
      <c r="I20" s="228"/>
      <c r="J20" s="219"/>
      <c r="K20" s="232"/>
      <c r="L20" s="219"/>
    </row>
    <row r="21" spans="1:12" ht="18.75" x14ac:dyDescent="0.3">
      <c r="A21" s="170" t="s">
        <v>578</v>
      </c>
      <c r="B21" s="203" t="s">
        <v>781</v>
      </c>
      <c r="C21" s="177">
        <v>300</v>
      </c>
      <c r="D21" s="177">
        <f>2920/1000*C21</f>
        <v>876</v>
      </c>
      <c r="E21" s="177">
        <f>D21*0.15</f>
        <v>131.4</v>
      </c>
      <c r="F21" s="179">
        <f>C21/1000*1.15</f>
        <v>0.34499999999999997</v>
      </c>
      <c r="G21" s="181">
        <f t="shared" si="0"/>
        <v>564.78083378005044</v>
      </c>
      <c r="H21" s="211">
        <f t="shared" si="1"/>
        <v>952.74158527071052</v>
      </c>
      <c r="I21" s="229">
        <f>H21</f>
        <v>952.74158527071052</v>
      </c>
      <c r="J21" s="177"/>
      <c r="K21" s="229">
        <f>-I21+J21</f>
        <v>-952.74158527071052</v>
      </c>
      <c r="L21" s="177"/>
    </row>
    <row r="22" spans="1:12" x14ac:dyDescent="0.35">
      <c r="A22" s="218" t="s">
        <v>143</v>
      </c>
      <c r="B22" s="218" t="s">
        <v>782</v>
      </c>
      <c r="C22" s="219">
        <v>300</v>
      </c>
      <c r="D22" s="219">
        <f>3221/1000*C22</f>
        <v>966.30000000000007</v>
      </c>
      <c r="E22" s="219">
        <f>D22*0.15</f>
        <v>144.94499999999999</v>
      </c>
      <c r="F22" s="220">
        <f>C22/1000*1.15</f>
        <v>0.34499999999999997</v>
      </c>
      <c r="G22" s="221">
        <f t="shared" si="0"/>
        <v>564.78083378005044</v>
      </c>
      <c r="H22" s="222">
        <f t="shared" si="1"/>
        <v>1015.6716552707106</v>
      </c>
      <c r="I22" s="228">
        <f>SUM(H22:H23)</f>
        <v>1909.1476920984705</v>
      </c>
      <c r="J22" s="219"/>
      <c r="K22" s="232">
        <f>-I22+J22</f>
        <v>-1909.1476920984705</v>
      </c>
      <c r="L22" s="219"/>
    </row>
    <row r="23" spans="1:12" x14ac:dyDescent="0.35">
      <c r="A23" s="218" t="s">
        <v>143</v>
      </c>
      <c r="B23" s="218" t="s">
        <v>785</v>
      </c>
      <c r="C23" s="219">
        <v>300</v>
      </c>
      <c r="D23" s="219">
        <f>2423/1000*C23</f>
        <v>726.9</v>
      </c>
      <c r="E23" s="219">
        <f>D23*0.15</f>
        <v>109.035</v>
      </c>
      <c r="F23" s="220">
        <f>C23/1000*1.3</f>
        <v>0.39</v>
      </c>
      <c r="G23" s="221">
        <f t="shared" si="0"/>
        <v>638.44789905570929</v>
      </c>
      <c r="H23" s="222">
        <f t="shared" si="1"/>
        <v>893.4760368277598</v>
      </c>
      <c r="I23" s="228"/>
      <c r="J23" s="219"/>
      <c r="K23" s="232"/>
      <c r="L23" s="219"/>
    </row>
    <row r="24" spans="1:12" ht="18.75" x14ac:dyDescent="0.3">
      <c r="A24" s="124" t="s">
        <v>515</v>
      </c>
      <c r="B24" s="177" t="s">
        <v>788</v>
      </c>
      <c r="C24" s="177">
        <v>1</v>
      </c>
      <c r="D24" s="177">
        <v>1215</v>
      </c>
      <c r="E24" s="177">
        <f>D24*0.15</f>
        <v>182.25</v>
      </c>
      <c r="F24" s="47">
        <f>0.065*1.3</f>
        <v>8.4500000000000006E-2</v>
      </c>
      <c r="G24" s="181">
        <f t="shared" si="0"/>
        <v>138.33037812873701</v>
      </c>
      <c r="H24" s="211">
        <f t="shared" si="1"/>
        <v>930.56170914601466</v>
      </c>
      <c r="I24" s="229">
        <f>H24</f>
        <v>930.56170914601466</v>
      </c>
      <c r="J24" s="177"/>
      <c r="K24" s="229">
        <f>-I24+J24</f>
        <v>-930.56170914601466</v>
      </c>
      <c r="L24" s="177"/>
    </row>
    <row r="25" spans="1:12" x14ac:dyDescent="0.35">
      <c r="A25" s="218" t="s">
        <v>661</v>
      </c>
      <c r="B25" s="218" t="s">
        <v>776</v>
      </c>
      <c r="C25" s="219">
        <v>200</v>
      </c>
      <c r="D25" s="219">
        <f>3144/1000*C25</f>
        <v>628.80000000000007</v>
      </c>
      <c r="E25" s="219">
        <f>D25*0.15</f>
        <v>94.320000000000007</v>
      </c>
      <c r="F25" s="220">
        <f>C25/1000*1.15</f>
        <v>0.22999999999999998</v>
      </c>
      <c r="G25" s="221">
        <f t="shared" si="0"/>
        <v>376.520555853367</v>
      </c>
      <c r="H25" s="222">
        <f t="shared" si="1"/>
        <v>666.38217684714039</v>
      </c>
      <c r="I25" s="228">
        <f>H25</f>
        <v>666.38217684714039</v>
      </c>
      <c r="J25" s="219"/>
      <c r="K25" s="232">
        <f>-I25+J25</f>
        <v>-666.38217684714039</v>
      </c>
      <c r="L25" s="219"/>
    </row>
    <row r="26" spans="1:12" ht="18.75" x14ac:dyDescent="0.3">
      <c r="A26" s="217" t="s">
        <v>727</v>
      </c>
      <c r="B26" s="203" t="s">
        <v>787</v>
      </c>
      <c r="C26" s="177">
        <v>500</v>
      </c>
      <c r="D26" s="177">
        <f>2762/1600*C26</f>
        <v>863.125</v>
      </c>
      <c r="E26" s="177">
        <f>D26*0.15</f>
        <v>129.46875</v>
      </c>
      <c r="F26" s="179">
        <f>C26/1000*1.15</f>
        <v>0.57499999999999996</v>
      </c>
      <c r="G26" s="181">
        <f t="shared" si="0"/>
        <v>941.30138963341744</v>
      </c>
      <c r="H26" s="211">
        <f t="shared" si="1"/>
        <v>1171.9404546178509</v>
      </c>
      <c r="I26" s="229">
        <f>H26</f>
        <v>1171.9404546178509</v>
      </c>
      <c r="J26" s="177"/>
      <c r="K26" s="229">
        <f>-I26+J26</f>
        <v>-1171.9404546178509</v>
      </c>
      <c r="L26" s="177"/>
    </row>
    <row r="27" spans="1:12" x14ac:dyDescent="0.35">
      <c r="A27" s="218" t="s">
        <v>770</v>
      </c>
      <c r="B27" s="218" t="s">
        <v>769</v>
      </c>
      <c r="C27" s="218">
        <v>300</v>
      </c>
      <c r="D27" s="219">
        <f>2902/1000*C27</f>
        <v>870.6</v>
      </c>
      <c r="E27" s="219">
        <f>D27*0.15</f>
        <v>130.59</v>
      </c>
      <c r="F27" s="220">
        <f>C27/1000*1.15</f>
        <v>0.34499999999999997</v>
      </c>
      <c r="G27" s="221">
        <f t="shared" si="0"/>
        <v>564.78083378005044</v>
      </c>
      <c r="H27" s="222">
        <f t="shared" si="1"/>
        <v>948.97832527071057</v>
      </c>
      <c r="I27" s="228">
        <f>SUM(H27:H28)</f>
        <v>1948.5515905414213</v>
      </c>
      <c r="J27" s="219"/>
      <c r="K27" s="232">
        <f>-I27+J27</f>
        <v>-1948.5515905414213</v>
      </c>
      <c r="L27" s="219"/>
    </row>
    <row r="28" spans="1:12" x14ac:dyDescent="0.35">
      <c r="A28" s="218" t="s">
        <v>770</v>
      </c>
      <c r="B28" s="218" t="s">
        <v>776</v>
      </c>
      <c r="C28" s="219">
        <v>300</v>
      </c>
      <c r="D28" s="219">
        <f>3144/1000*C28</f>
        <v>943.2</v>
      </c>
      <c r="E28" s="219">
        <f>D28*0.15</f>
        <v>141.47999999999999</v>
      </c>
      <c r="F28" s="220">
        <f>C28/1000*1.15</f>
        <v>0.34499999999999997</v>
      </c>
      <c r="G28" s="221">
        <f t="shared" si="0"/>
        <v>564.78083378005044</v>
      </c>
      <c r="H28" s="222">
        <f t="shared" si="1"/>
        <v>999.57326527071064</v>
      </c>
      <c r="I28" s="228"/>
      <c r="J28" s="219"/>
      <c r="K28" s="232"/>
      <c r="L28" s="219"/>
    </row>
    <row r="29" spans="1:12" ht="18.75" x14ac:dyDescent="0.3">
      <c r="A29" s="217" t="s">
        <v>585</v>
      </c>
      <c r="B29" s="203" t="s">
        <v>769</v>
      </c>
      <c r="C29" s="203">
        <v>100</v>
      </c>
      <c r="D29" s="177">
        <f>2902/1000*C29</f>
        <v>290.2</v>
      </c>
      <c r="E29" s="177">
        <f>D29*0.15</f>
        <v>43.529999999999994</v>
      </c>
      <c r="F29" s="179">
        <f>C29/1000*1.15</f>
        <v>0.11499999999999999</v>
      </c>
      <c r="G29" s="181">
        <f t="shared" si="0"/>
        <v>188.2602779266835</v>
      </c>
      <c r="H29" s="211">
        <f t="shared" si="1"/>
        <v>316.32610842357019</v>
      </c>
      <c r="I29" s="229">
        <f>SUM(H29:H30)</f>
        <v>1209.8021452513299</v>
      </c>
      <c r="J29" s="177"/>
      <c r="K29" s="229">
        <f>-I29+J29</f>
        <v>-1209.8021452513299</v>
      </c>
      <c r="L29" s="177"/>
    </row>
    <row r="30" spans="1:12" x14ac:dyDescent="0.35">
      <c r="A30" s="217" t="s">
        <v>585</v>
      </c>
      <c r="B30" s="203" t="s">
        <v>785</v>
      </c>
      <c r="C30" s="177">
        <v>300</v>
      </c>
      <c r="D30" s="177">
        <f>2423/1000*C30</f>
        <v>726.9</v>
      </c>
      <c r="E30" s="177">
        <f>D30*0.15</f>
        <v>109.035</v>
      </c>
      <c r="F30" s="179">
        <f>C30/1000*1.3</f>
        <v>0.39</v>
      </c>
      <c r="G30" s="181">
        <f t="shared" si="0"/>
        <v>638.44789905570929</v>
      </c>
      <c r="H30" s="211">
        <f t="shared" si="1"/>
        <v>893.4760368277598</v>
      </c>
      <c r="I30" s="229"/>
      <c r="J30" s="177"/>
      <c r="K30" s="233"/>
      <c r="L30" s="177"/>
    </row>
    <row r="31" spans="1:12" x14ac:dyDescent="0.35">
      <c r="A31" s="218" t="s">
        <v>750</v>
      </c>
      <c r="B31" s="218" t="s">
        <v>785</v>
      </c>
      <c r="C31" s="219">
        <v>200</v>
      </c>
      <c r="D31" s="219">
        <f>2423/1000*C31</f>
        <v>484.6</v>
      </c>
      <c r="E31" s="219">
        <f>D31*0.15</f>
        <v>72.69</v>
      </c>
      <c r="F31" s="220">
        <f>C31/1000*1.3</f>
        <v>0.26</v>
      </c>
      <c r="G31" s="221">
        <f t="shared" si="0"/>
        <v>425.63193270380623</v>
      </c>
      <c r="H31" s="222">
        <f t="shared" si="1"/>
        <v>595.65069121850649</v>
      </c>
      <c r="I31" s="228">
        <f>SUM(H31:H33)</f>
        <v>2175.7851704825639</v>
      </c>
      <c r="J31" s="219"/>
      <c r="K31" s="232">
        <f>-I31+J31</f>
        <v>-2175.7851704825639</v>
      </c>
      <c r="L31" s="219"/>
    </row>
    <row r="32" spans="1:12" x14ac:dyDescent="0.35">
      <c r="A32" s="218" t="s">
        <v>750</v>
      </c>
      <c r="B32" s="218" t="s">
        <v>786</v>
      </c>
      <c r="C32" s="219">
        <v>200</v>
      </c>
      <c r="D32" s="219">
        <f>2770/980*C32</f>
        <v>565.30612244897952</v>
      </c>
      <c r="E32" s="219">
        <f>D32*0.15</f>
        <v>84.795918367346928</v>
      </c>
      <c r="F32" s="220">
        <f>C32/1000*1.2</f>
        <v>0.24</v>
      </c>
      <c r="G32" s="221">
        <f t="shared" si="0"/>
        <v>392.89101480351337</v>
      </c>
      <c r="H32" s="222">
        <f t="shared" si="1"/>
        <v>632.05379170562298</v>
      </c>
      <c r="I32" s="228"/>
      <c r="J32" s="219"/>
      <c r="K32" s="232"/>
      <c r="L32" s="219"/>
    </row>
    <row r="33" spans="1:12" x14ac:dyDescent="0.35">
      <c r="A33" s="218" t="s">
        <v>750</v>
      </c>
      <c r="B33" s="218" t="s">
        <v>786</v>
      </c>
      <c r="C33" s="219">
        <v>300</v>
      </c>
      <c r="D33" s="219">
        <f>2770/980*C33</f>
        <v>847.9591836734694</v>
      </c>
      <c r="E33" s="219">
        <f>D33*0.15</f>
        <v>127.19387755102041</v>
      </c>
      <c r="F33" s="220">
        <f>C33/1000*1.2</f>
        <v>0.36</v>
      </c>
      <c r="G33" s="221">
        <f t="shared" si="0"/>
        <v>589.33652220527017</v>
      </c>
      <c r="H33" s="222">
        <f t="shared" si="1"/>
        <v>948.08068755843453</v>
      </c>
      <c r="I33" s="228"/>
      <c r="J33" s="219"/>
      <c r="K33" s="232"/>
      <c r="L33" s="219"/>
    </row>
    <row r="34" spans="1:12" ht="18.75" x14ac:dyDescent="0.3">
      <c r="A34" s="124" t="s">
        <v>800</v>
      </c>
      <c r="B34" s="177" t="s">
        <v>801</v>
      </c>
      <c r="C34" s="177">
        <v>1</v>
      </c>
      <c r="D34" s="177">
        <v>2902</v>
      </c>
      <c r="E34" s="177">
        <f>D34*0.15</f>
        <v>435.3</v>
      </c>
      <c r="F34" s="47">
        <f>1*1.15</f>
        <v>1.1499999999999999</v>
      </c>
      <c r="G34" s="181">
        <f t="shared" si="0"/>
        <v>1882.6027792668349</v>
      </c>
      <c r="H34" s="211">
        <f t="shared" si="1"/>
        <v>3163.2610842357017</v>
      </c>
      <c r="I34" s="229">
        <f>H34</f>
        <v>3163.2610842357017</v>
      </c>
      <c r="J34" s="177"/>
      <c r="K34" s="229">
        <f>-I34+J34</f>
        <v>-3163.2610842357017</v>
      </c>
      <c r="L34" s="177"/>
    </row>
    <row r="35" spans="1:12" x14ac:dyDescent="0.35">
      <c r="A35" s="219" t="s">
        <v>606</v>
      </c>
      <c r="B35" s="218" t="s">
        <v>781</v>
      </c>
      <c r="C35" s="219">
        <v>100</v>
      </c>
      <c r="D35" s="219">
        <f>2920/1000*C35</f>
        <v>292</v>
      </c>
      <c r="E35" s="219">
        <f>D35*0.15</f>
        <v>43.8</v>
      </c>
      <c r="F35" s="220">
        <f>C35/1000*1.15</f>
        <v>0.11499999999999999</v>
      </c>
      <c r="G35" s="221">
        <f t="shared" si="0"/>
        <v>188.2602779266835</v>
      </c>
      <c r="H35" s="222">
        <f t="shared" si="1"/>
        <v>317.58052842357017</v>
      </c>
      <c r="I35" s="228">
        <f>H35</f>
        <v>317.58052842357017</v>
      </c>
      <c r="J35" s="219"/>
      <c r="K35" s="232">
        <f>-I35+J35</f>
        <v>-317.58052842357017</v>
      </c>
      <c r="L35" s="219"/>
    </row>
    <row r="36" spans="1:12" ht="18.75" x14ac:dyDescent="0.3">
      <c r="A36" s="217" t="s">
        <v>772</v>
      </c>
      <c r="B36" s="203" t="s">
        <v>771</v>
      </c>
      <c r="C36" s="203">
        <v>200</v>
      </c>
      <c r="D36" s="177">
        <f>3529/1000*C36</f>
        <v>705.8</v>
      </c>
      <c r="E36" s="177">
        <f>D36*0.15</f>
        <v>105.86999999999999</v>
      </c>
      <c r="F36" s="179">
        <f>C36/1000*1.15</f>
        <v>0.22999999999999998</v>
      </c>
      <c r="G36" s="181">
        <f t="shared" si="0"/>
        <v>376.520555853367</v>
      </c>
      <c r="H36" s="211">
        <f t="shared" si="1"/>
        <v>720.04347684714037</v>
      </c>
      <c r="I36" s="229">
        <f>H36</f>
        <v>720.04347684714037</v>
      </c>
      <c r="J36" s="177"/>
      <c r="K36" s="229">
        <f>-I36+J36</f>
        <v>-720.04347684714037</v>
      </c>
      <c r="L36" s="177"/>
    </row>
    <row r="37" spans="1:12" x14ac:dyDescent="0.35">
      <c r="A37" s="218" t="s">
        <v>683</v>
      </c>
      <c r="B37" s="218" t="s">
        <v>771</v>
      </c>
      <c r="C37" s="218">
        <v>300</v>
      </c>
      <c r="D37" s="219">
        <f>3529/1000*C37</f>
        <v>1058.7</v>
      </c>
      <c r="E37" s="219">
        <f>D37*0.15</f>
        <v>158.80500000000001</v>
      </c>
      <c r="F37" s="220">
        <f>C37/1000*1.15</f>
        <v>0.34499999999999997</v>
      </c>
      <c r="G37" s="221">
        <f t="shared" si="0"/>
        <v>564.78083378005044</v>
      </c>
      <c r="H37" s="222">
        <f t="shared" si="1"/>
        <v>1080.0652152707105</v>
      </c>
      <c r="I37" s="228">
        <f>SUM(H37:H38)</f>
        <v>2079.6384805414209</v>
      </c>
      <c r="J37" s="219"/>
      <c r="K37" s="232">
        <f>-I37+J37</f>
        <v>-2079.6384805414209</v>
      </c>
      <c r="L37" s="219"/>
    </row>
    <row r="38" spans="1:12" x14ac:dyDescent="0.35">
      <c r="A38" s="218" t="s">
        <v>683</v>
      </c>
      <c r="B38" s="218" t="s">
        <v>776</v>
      </c>
      <c r="C38" s="219">
        <v>300</v>
      </c>
      <c r="D38" s="219">
        <f>3144/1000*C38</f>
        <v>943.2</v>
      </c>
      <c r="E38" s="219">
        <f>D38*0.15</f>
        <v>141.47999999999999</v>
      </c>
      <c r="F38" s="220">
        <f>C38/1000*1.15</f>
        <v>0.34499999999999997</v>
      </c>
      <c r="G38" s="221">
        <f t="shared" si="0"/>
        <v>564.78083378005044</v>
      </c>
      <c r="H38" s="222">
        <f t="shared" si="1"/>
        <v>999.57326527071064</v>
      </c>
      <c r="I38" s="228"/>
      <c r="J38" s="219"/>
      <c r="K38" s="232"/>
      <c r="L38" s="219"/>
    </row>
    <row r="39" spans="1:12" ht="18.75" x14ac:dyDescent="0.3">
      <c r="A39" s="217" t="s">
        <v>784</v>
      </c>
      <c r="B39" s="203" t="s">
        <v>785</v>
      </c>
      <c r="C39" s="177">
        <v>200</v>
      </c>
      <c r="D39" s="177">
        <f>2423/1000*C39</f>
        <v>484.6</v>
      </c>
      <c r="E39" s="177">
        <f>D39*0.15</f>
        <v>72.69</v>
      </c>
      <c r="F39" s="179">
        <f>C39/1000*1.3</f>
        <v>0.26</v>
      </c>
      <c r="G39" s="181">
        <f t="shared" si="0"/>
        <v>425.63193270380623</v>
      </c>
      <c r="H39" s="211">
        <f t="shared" si="1"/>
        <v>595.65069121850649</v>
      </c>
      <c r="I39" s="229">
        <f>H39</f>
        <v>595.65069121850649</v>
      </c>
      <c r="J39" s="177"/>
      <c r="K39" s="229">
        <f>-I39+J39</f>
        <v>-595.65069121850649</v>
      </c>
      <c r="L39" s="177"/>
    </row>
    <row r="40" spans="1:12" x14ac:dyDescent="0.35">
      <c r="A40" s="218" t="s">
        <v>744</v>
      </c>
      <c r="B40" s="218" t="s">
        <v>771</v>
      </c>
      <c r="C40" s="218">
        <v>200</v>
      </c>
      <c r="D40" s="219">
        <f>3529/1000*C40</f>
        <v>705.8</v>
      </c>
      <c r="E40" s="219">
        <f>D40*0.15</f>
        <v>105.86999999999999</v>
      </c>
      <c r="F40" s="220">
        <f>C40/1000*1.15</f>
        <v>0.22999999999999998</v>
      </c>
      <c r="G40" s="221">
        <f t="shared" si="0"/>
        <v>376.520555853367</v>
      </c>
      <c r="H40" s="222">
        <f t="shared" si="1"/>
        <v>720.04347684714037</v>
      </c>
      <c r="I40" s="228">
        <f>SUM(H40:H41)</f>
        <v>1386.4256536942808</v>
      </c>
      <c r="J40" s="219"/>
      <c r="K40" s="232">
        <f>-I40+J40</f>
        <v>-1386.4256536942808</v>
      </c>
      <c r="L40" s="219"/>
    </row>
    <row r="41" spans="1:12" x14ac:dyDescent="0.35">
      <c r="A41" s="218" t="s">
        <v>744</v>
      </c>
      <c r="B41" s="218" t="s">
        <v>776</v>
      </c>
      <c r="C41" s="219">
        <v>200</v>
      </c>
      <c r="D41" s="219">
        <f>3144/1000*C41</f>
        <v>628.80000000000007</v>
      </c>
      <c r="E41" s="219">
        <f>D41*0.15</f>
        <v>94.320000000000007</v>
      </c>
      <c r="F41" s="220">
        <f>C41/1000*1.15</f>
        <v>0.22999999999999998</v>
      </c>
      <c r="G41" s="221">
        <f t="shared" si="0"/>
        <v>376.520555853367</v>
      </c>
      <c r="H41" s="222">
        <f t="shared" si="1"/>
        <v>666.38217684714039</v>
      </c>
      <c r="I41" s="228"/>
      <c r="J41" s="219"/>
      <c r="K41" s="232"/>
      <c r="L41" s="219"/>
    </row>
    <row r="42" spans="1:12" ht="18.75" x14ac:dyDescent="0.3">
      <c r="A42" s="217" t="s">
        <v>673</v>
      </c>
      <c r="B42" s="203" t="s">
        <v>779</v>
      </c>
      <c r="C42" s="177">
        <v>100</v>
      </c>
      <c r="D42" s="177">
        <f>2773/1000*C42</f>
        <v>277.3</v>
      </c>
      <c r="E42" s="177">
        <f>D42*0.15</f>
        <v>41.594999999999999</v>
      </c>
      <c r="F42" s="179">
        <f>C42/1000*1.15</f>
        <v>0.11499999999999999</v>
      </c>
      <c r="G42" s="181">
        <f t="shared" si="0"/>
        <v>188.2602779266835</v>
      </c>
      <c r="H42" s="211">
        <f t="shared" si="1"/>
        <v>307.33609842357021</v>
      </c>
      <c r="I42" s="229">
        <f>SUM(H42:H43)</f>
        <v>1200.8121352513299</v>
      </c>
      <c r="J42" s="177"/>
      <c r="K42" s="229">
        <f>-I42+J42</f>
        <v>-1200.8121352513299</v>
      </c>
      <c r="L42" s="177"/>
    </row>
    <row r="43" spans="1:12" x14ac:dyDescent="0.35">
      <c r="A43" s="217" t="s">
        <v>673</v>
      </c>
      <c r="B43" s="203" t="s">
        <v>785</v>
      </c>
      <c r="C43" s="177">
        <v>300</v>
      </c>
      <c r="D43" s="177">
        <f>2423/1000*C43</f>
        <v>726.9</v>
      </c>
      <c r="E43" s="177">
        <f>D43*0.15</f>
        <v>109.035</v>
      </c>
      <c r="F43" s="179">
        <f>C43/1000*1.3</f>
        <v>0.39</v>
      </c>
      <c r="G43" s="181">
        <f t="shared" si="0"/>
        <v>638.44789905570929</v>
      </c>
      <c r="H43" s="211">
        <f t="shared" si="1"/>
        <v>893.4760368277598</v>
      </c>
      <c r="I43" s="229"/>
      <c r="J43" s="177"/>
      <c r="K43" s="233"/>
      <c r="L43" s="177"/>
    </row>
    <row r="44" spans="1:12" x14ac:dyDescent="0.35">
      <c r="A44" s="218" t="s">
        <v>392</v>
      </c>
      <c r="B44" s="218" t="s">
        <v>771</v>
      </c>
      <c r="C44" s="218">
        <v>300</v>
      </c>
      <c r="D44" s="219">
        <f>3529/1000*C44</f>
        <v>1058.7</v>
      </c>
      <c r="E44" s="219">
        <f>D44*0.15</f>
        <v>158.80500000000001</v>
      </c>
      <c r="F44" s="220">
        <f>C44/1000*1.15</f>
        <v>0.34499999999999997</v>
      </c>
      <c r="G44" s="221">
        <f t="shared" si="0"/>
        <v>564.78083378005044</v>
      </c>
      <c r="H44" s="222">
        <f t="shared" si="1"/>
        <v>1080.0652152707105</v>
      </c>
      <c r="I44" s="228">
        <f>SUM(H44:H49)</f>
        <v>5771.3455134536553</v>
      </c>
      <c r="J44" s="219"/>
      <c r="K44" s="232">
        <f>-I44+J44</f>
        <v>-5771.3455134536553</v>
      </c>
      <c r="L44" s="219"/>
    </row>
    <row r="45" spans="1:12" x14ac:dyDescent="0.35">
      <c r="A45" s="218" t="s">
        <v>392</v>
      </c>
      <c r="B45" s="218" t="s">
        <v>785</v>
      </c>
      <c r="C45" s="219">
        <v>400</v>
      </c>
      <c r="D45" s="219">
        <f>2423/1000*C45</f>
        <v>969.2</v>
      </c>
      <c r="E45" s="219">
        <f>D45*0.15</f>
        <v>145.38</v>
      </c>
      <c r="F45" s="220">
        <f>C45/1000*1.3</f>
        <v>0.52</v>
      </c>
      <c r="G45" s="221">
        <f t="shared" si="0"/>
        <v>851.26386540761246</v>
      </c>
      <c r="H45" s="222">
        <f t="shared" si="1"/>
        <v>1191.301382437013</v>
      </c>
      <c r="I45" s="228"/>
      <c r="J45" s="219"/>
      <c r="K45" s="232"/>
      <c r="L45" s="219"/>
    </row>
    <row r="46" spans="1:12" x14ac:dyDescent="0.35">
      <c r="A46" s="218" t="s">
        <v>392</v>
      </c>
      <c r="B46" s="218" t="s">
        <v>786</v>
      </c>
      <c r="C46" s="219">
        <v>300</v>
      </c>
      <c r="D46" s="219">
        <f>2770/980*C46</f>
        <v>847.9591836734694</v>
      </c>
      <c r="E46" s="219">
        <f>D46*0.15</f>
        <v>127.19387755102041</v>
      </c>
      <c r="F46" s="220">
        <f>C46/1000*1.2</f>
        <v>0.36</v>
      </c>
      <c r="G46" s="221">
        <f t="shared" si="0"/>
        <v>589.33652220527017</v>
      </c>
      <c r="H46" s="222">
        <f t="shared" si="1"/>
        <v>948.08068755843453</v>
      </c>
      <c r="I46" s="228"/>
      <c r="J46" s="219"/>
      <c r="K46" s="232"/>
      <c r="L46" s="219"/>
    </row>
    <row r="47" spans="1:12" x14ac:dyDescent="0.35">
      <c r="A47" s="218" t="s">
        <v>392</v>
      </c>
      <c r="B47" s="218" t="s">
        <v>787</v>
      </c>
      <c r="C47" s="219">
        <v>200</v>
      </c>
      <c r="D47" s="219">
        <f>2762/1600*C47</f>
        <v>345.25</v>
      </c>
      <c r="E47" s="219">
        <f>D47*0.15</f>
        <v>51.787500000000001</v>
      </c>
      <c r="F47" s="220">
        <f>C47/1000*1.15</f>
        <v>0.22999999999999998</v>
      </c>
      <c r="G47" s="221">
        <f t="shared" si="0"/>
        <v>376.520555853367</v>
      </c>
      <c r="H47" s="222">
        <f t="shared" si="1"/>
        <v>468.77618184714038</v>
      </c>
      <c r="I47" s="228"/>
      <c r="J47" s="219"/>
      <c r="K47" s="232"/>
      <c r="L47" s="219"/>
    </row>
    <row r="48" spans="1:12" x14ac:dyDescent="0.35">
      <c r="A48" s="223" t="s">
        <v>392</v>
      </c>
      <c r="B48" s="218" t="s">
        <v>793</v>
      </c>
      <c r="C48" s="218">
        <v>2</v>
      </c>
      <c r="D48" s="218">
        <v>860</v>
      </c>
      <c r="E48" s="219">
        <f>D48*0.15</f>
        <v>129</v>
      </c>
      <c r="F48" s="220">
        <f>0.04*2*1.3</f>
        <v>0.10400000000000001</v>
      </c>
      <c r="G48" s="221">
        <f t="shared" si="0"/>
        <v>170.25277308152249</v>
      </c>
      <c r="H48" s="222">
        <f t="shared" si="1"/>
        <v>702.50718048740259</v>
      </c>
      <c r="I48" s="228"/>
      <c r="J48" s="219"/>
      <c r="K48" s="232"/>
      <c r="L48" s="219"/>
    </row>
    <row r="49" spans="1:12" x14ac:dyDescent="0.35">
      <c r="A49" s="223" t="s">
        <v>392</v>
      </c>
      <c r="B49" s="218" t="s">
        <v>794</v>
      </c>
      <c r="C49" s="218">
        <v>1</v>
      </c>
      <c r="D49" s="219">
        <v>1722</v>
      </c>
      <c r="E49" s="219">
        <f>D49*0.15</f>
        <v>258.3</v>
      </c>
      <c r="F49" s="220">
        <f>0.14*1.3</f>
        <v>0.18200000000000002</v>
      </c>
      <c r="G49" s="221">
        <f t="shared" si="0"/>
        <v>297.94235289266436</v>
      </c>
      <c r="H49" s="222">
        <f t="shared" si="1"/>
        <v>1380.6148658529546</v>
      </c>
      <c r="I49" s="228"/>
      <c r="J49" s="219"/>
      <c r="K49" s="232"/>
      <c r="L49" s="219"/>
    </row>
    <row r="50" spans="1:12" ht="18.75" x14ac:dyDescent="0.3">
      <c r="A50" s="124" t="s">
        <v>530</v>
      </c>
      <c r="B50" s="177" t="s">
        <v>798</v>
      </c>
      <c r="C50" s="77">
        <v>3</v>
      </c>
      <c r="D50" s="177">
        <v>3297</v>
      </c>
      <c r="E50" s="177">
        <f>D50*0.15</f>
        <v>494.54999999999995</v>
      </c>
      <c r="F50" s="47">
        <f>0.12*1.3*3</f>
        <v>0.46799999999999997</v>
      </c>
      <c r="G50" s="181">
        <f t="shared" si="0"/>
        <v>766.1374788668511</v>
      </c>
      <c r="H50" s="211">
        <f t="shared" si="1"/>
        <v>2761.9586121933116</v>
      </c>
      <c r="I50" s="229">
        <f>SUM(H50:H51)</f>
        <v>4816.4517964290135</v>
      </c>
      <c r="J50" s="177"/>
      <c r="K50" s="229">
        <f>-I50+J50</f>
        <v>-4816.4517964290135</v>
      </c>
      <c r="L50" s="177"/>
    </row>
    <row r="51" spans="1:12" x14ac:dyDescent="0.35">
      <c r="A51" s="124" t="s">
        <v>530</v>
      </c>
      <c r="B51" s="177" t="s">
        <v>799</v>
      </c>
      <c r="C51" s="177">
        <v>1</v>
      </c>
      <c r="D51" s="177">
        <v>1311</v>
      </c>
      <c r="E51" s="177">
        <f>D51*0.15</f>
        <v>196.65</v>
      </c>
      <c r="F51" s="47">
        <f>1*1.15</f>
        <v>1.1499999999999999</v>
      </c>
      <c r="G51" s="181">
        <f t="shared" si="0"/>
        <v>1882.6027792668349</v>
      </c>
      <c r="H51" s="211">
        <f t="shared" si="1"/>
        <v>2054.4931842357023</v>
      </c>
      <c r="I51" s="229"/>
      <c r="J51" s="177"/>
      <c r="K51" s="233"/>
      <c r="L51" s="177"/>
    </row>
    <row r="52" spans="1:12" x14ac:dyDescent="0.35">
      <c r="A52" s="218" t="s">
        <v>768</v>
      </c>
      <c r="B52" s="218" t="s">
        <v>769</v>
      </c>
      <c r="C52" s="218">
        <v>200</v>
      </c>
      <c r="D52" s="219">
        <f>2902/1000*C52</f>
        <v>580.4</v>
      </c>
      <c r="E52" s="219">
        <f>D52*0.15</f>
        <v>87.059999999999988</v>
      </c>
      <c r="F52" s="220">
        <f>C52/1000*1.15</f>
        <v>0.22999999999999998</v>
      </c>
      <c r="G52" s="221">
        <f t="shared" si="0"/>
        <v>376.520555853367</v>
      </c>
      <c r="H52" s="222">
        <f t="shared" si="1"/>
        <v>632.65221684714038</v>
      </c>
      <c r="I52" s="228">
        <f>SUM(H52:H54)</f>
        <v>2029.8101305414211</v>
      </c>
      <c r="J52" s="219"/>
      <c r="K52" s="232">
        <f>-I52+J52</f>
        <v>-2029.8101305414211</v>
      </c>
      <c r="L52" s="219"/>
    </row>
    <row r="53" spans="1:12" x14ac:dyDescent="0.35">
      <c r="A53" s="218" t="s">
        <v>768</v>
      </c>
      <c r="B53" s="218" t="s">
        <v>771</v>
      </c>
      <c r="C53" s="218">
        <v>200</v>
      </c>
      <c r="D53" s="219">
        <f>3529/1000*C53</f>
        <v>705.8</v>
      </c>
      <c r="E53" s="219">
        <f>D53*0.15</f>
        <v>105.86999999999999</v>
      </c>
      <c r="F53" s="220">
        <f>C53/1000*1.15</f>
        <v>0.22999999999999998</v>
      </c>
      <c r="G53" s="221">
        <f t="shared" si="0"/>
        <v>376.520555853367</v>
      </c>
      <c r="H53" s="222">
        <f t="shared" si="1"/>
        <v>720.04347684714037</v>
      </c>
      <c r="I53" s="228"/>
      <c r="J53" s="219"/>
      <c r="K53" s="232"/>
      <c r="L53" s="219"/>
    </row>
    <row r="54" spans="1:12" x14ac:dyDescent="0.35">
      <c r="A54" s="218" t="s">
        <v>768</v>
      </c>
      <c r="B54" s="218" t="s">
        <v>782</v>
      </c>
      <c r="C54" s="219">
        <v>200</v>
      </c>
      <c r="D54" s="219">
        <f>3221/1000*C54</f>
        <v>644.20000000000005</v>
      </c>
      <c r="E54" s="219">
        <f>D54*0.15</f>
        <v>96.63000000000001</v>
      </c>
      <c r="F54" s="220">
        <f>C54/1000*1.15</f>
        <v>0.22999999999999998</v>
      </c>
      <c r="G54" s="221">
        <f t="shared" si="0"/>
        <v>376.520555853367</v>
      </c>
      <c r="H54" s="222">
        <f t="shared" si="1"/>
        <v>677.11443684714038</v>
      </c>
      <c r="I54" s="228"/>
      <c r="J54" s="219"/>
      <c r="K54" s="232"/>
      <c r="L54" s="219"/>
    </row>
    <row r="55" spans="1:12" ht="18.75" x14ac:dyDescent="0.3">
      <c r="A55" s="217" t="s">
        <v>778</v>
      </c>
      <c r="B55" s="203" t="s">
        <v>776</v>
      </c>
      <c r="C55" s="177">
        <v>300</v>
      </c>
      <c r="D55" s="177">
        <f>3144/1000*C55</f>
        <v>943.2</v>
      </c>
      <c r="E55" s="177">
        <f>D55*0.15</f>
        <v>141.47999999999999</v>
      </c>
      <c r="F55" s="179">
        <f>C55/1000*1.15</f>
        <v>0.34499999999999997</v>
      </c>
      <c r="G55" s="181">
        <f t="shared" si="0"/>
        <v>564.78083378005044</v>
      </c>
      <c r="H55" s="211">
        <f t="shared" si="1"/>
        <v>999.57326527071064</v>
      </c>
      <c r="I55" s="229">
        <f>SUM(H55:H56)</f>
        <v>4385.1454495064127</v>
      </c>
      <c r="J55" s="177"/>
      <c r="K55" s="229">
        <f>-I55+J55</f>
        <v>-4385.1454495064127</v>
      </c>
      <c r="L55" s="177"/>
    </row>
    <row r="56" spans="1:12" x14ac:dyDescent="0.35">
      <c r="A56" s="217" t="s">
        <v>778</v>
      </c>
      <c r="B56" s="203" t="s">
        <v>782</v>
      </c>
      <c r="C56" s="177">
        <v>1000</v>
      </c>
      <c r="D56" s="177">
        <f>3221/1000*C56</f>
        <v>3221</v>
      </c>
      <c r="E56" s="177">
        <f>D56*0.15</f>
        <v>483.15</v>
      </c>
      <c r="F56" s="179">
        <f>C56/1000*1.15</f>
        <v>1.1499999999999999</v>
      </c>
      <c r="G56" s="181">
        <f t="shared" si="0"/>
        <v>1882.6027792668349</v>
      </c>
      <c r="H56" s="211">
        <f t="shared" si="1"/>
        <v>3385.572184235702</v>
      </c>
      <c r="I56" s="229"/>
      <c r="J56" s="177"/>
      <c r="K56" s="233"/>
      <c r="L56" s="177"/>
    </row>
    <row r="57" spans="1:12" x14ac:dyDescent="0.35">
      <c r="A57" s="218" t="s">
        <v>591</v>
      </c>
      <c r="B57" s="218" t="s">
        <v>771</v>
      </c>
      <c r="C57" s="218">
        <v>300</v>
      </c>
      <c r="D57" s="219">
        <f>3529/1000*C57</f>
        <v>1058.7</v>
      </c>
      <c r="E57" s="219">
        <f>D57*0.15</f>
        <v>158.80500000000001</v>
      </c>
      <c r="F57" s="220">
        <f>C57/1000*1.15</f>
        <v>0.34499999999999997</v>
      </c>
      <c r="G57" s="221">
        <f t="shared" si="0"/>
        <v>564.78083378005044</v>
      </c>
      <c r="H57" s="222">
        <f t="shared" si="1"/>
        <v>1080.0652152707105</v>
      </c>
      <c r="I57" s="228">
        <f>H57</f>
        <v>1080.0652152707105</v>
      </c>
      <c r="J57" s="219"/>
      <c r="K57" s="232">
        <f>-I57+J57</f>
        <v>-1080.0652152707105</v>
      </c>
      <c r="L57" s="219"/>
    </row>
    <row r="58" spans="1:12" ht="18.75" x14ac:dyDescent="0.3">
      <c r="A58" s="217" t="s">
        <v>775</v>
      </c>
      <c r="B58" s="203" t="s">
        <v>771</v>
      </c>
      <c r="C58" s="203">
        <v>500</v>
      </c>
      <c r="D58" s="177">
        <f>3529/1000*C58</f>
        <v>1764.5</v>
      </c>
      <c r="E58" s="177">
        <f>D58*0.15</f>
        <v>264.67500000000001</v>
      </c>
      <c r="F58" s="179">
        <f>C58/1000*1.15</f>
        <v>0.57499999999999996</v>
      </c>
      <c r="G58" s="181">
        <f t="shared" si="0"/>
        <v>941.30138963341744</v>
      </c>
      <c r="H58" s="211">
        <f t="shared" si="1"/>
        <v>1800.108692117851</v>
      </c>
      <c r="I58" s="229">
        <f>H58</f>
        <v>1800.108692117851</v>
      </c>
      <c r="J58" s="177"/>
      <c r="K58" s="229">
        <f>-I58+J58</f>
        <v>-1800.108692117851</v>
      </c>
      <c r="L58" s="177"/>
    </row>
    <row r="59" spans="1:12" x14ac:dyDescent="0.35">
      <c r="A59" s="219" t="s">
        <v>595</v>
      </c>
      <c r="B59" s="218" t="s">
        <v>787</v>
      </c>
      <c r="C59" s="219">
        <v>200</v>
      </c>
      <c r="D59" s="219">
        <f>2762/1600*C59</f>
        <v>345.25</v>
      </c>
      <c r="E59" s="219">
        <f>D59*0.15</f>
        <v>51.787500000000001</v>
      </c>
      <c r="F59" s="220">
        <f>C59/1000*1.15</f>
        <v>0.22999999999999998</v>
      </c>
      <c r="G59" s="221">
        <f t="shared" si="0"/>
        <v>376.520555853367</v>
      </c>
      <c r="H59" s="222">
        <f t="shared" si="1"/>
        <v>468.77618184714038</v>
      </c>
      <c r="I59" s="228">
        <f>H59</f>
        <v>468.77618184714038</v>
      </c>
      <c r="J59" s="219"/>
      <c r="K59" s="232">
        <f>-I59+J59</f>
        <v>-468.77618184714038</v>
      </c>
      <c r="L59" s="219"/>
    </row>
    <row r="60" spans="1:12" ht="18.75" x14ac:dyDescent="0.3">
      <c r="A60" s="217" t="s">
        <v>780</v>
      </c>
      <c r="B60" s="203" t="s">
        <v>779</v>
      </c>
      <c r="C60" s="177">
        <v>100</v>
      </c>
      <c r="D60" s="177">
        <f>2773/1000*C60</f>
        <v>277.3</v>
      </c>
      <c r="E60" s="177">
        <f>D60*0.15</f>
        <v>41.594999999999999</v>
      </c>
      <c r="F60" s="179">
        <f>C60/1000*1.15</f>
        <v>0.11499999999999999</v>
      </c>
      <c r="G60" s="181">
        <f t="shared" si="0"/>
        <v>188.2602779266835</v>
      </c>
      <c r="H60" s="211">
        <f t="shared" si="1"/>
        <v>307.33609842357021</v>
      </c>
      <c r="I60" s="229">
        <f>SUM(H60:H61)</f>
        <v>624.91662684714038</v>
      </c>
      <c r="J60" s="177"/>
      <c r="K60" s="229">
        <f>-I60+J60</f>
        <v>-624.91662684714038</v>
      </c>
      <c r="L60" s="177"/>
    </row>
    <row r="61" spans="1:12" x14ac:dyDescent="0.35">
      <c r="A61" s="217" t="s">
        <v>780</v>
      </c>
      <c r="B61" s="203" t="s">
        <v>781</v>
      </c>
      <c r="C61" s="177">
        <v>100</v>
      </c>
      <c r="D61" s="177">
        <f>2920/1000*C61</f>
        <v>292</v>
      </c>
      <c r="E61" s="177">
        <f>D61*0.15</f>
        <v>43.8</v>
      </c>
      <c r="F61" s="179">
        <f>C61/1000*1.15</f>
        <v>0.11499999999999999</v>
      </c>
      <c r="G61" s="181">
        <f t="shared" si="0"/>
        <v>188.2602779266835</v>
      </c>
      <c r="H61" s="211">
        <f t="shared" si="1"/>
        <v>317.58052842357017</v>
      </c>
      <c r="I61" s="229"/>
      <c r="J61" s="177"/>
      <c r="K61" s="233"/>
      <c r="L61" s="177"/>
    </row>
    <row r="62" spans="1:12" x14ac:dyDescent="0.35">
      <c r="A62" s="218" t="s">
        <v>773</v>
      </c>
      <c r="B62" s="218" t="s">
        <v>771</v>
      </c>
      <c r="C62" s="218">
        <v>300</v>
      </c>
      <c r="D62" s="219">
        <f>3529/1000*C62</f>
        <v>1058.7</v>
      </c>
      <c r="E62" s="219">
        <f>D62*0.15</f>
        <v>158.80500000000001</v>
      </c>
      <c r="F62" s="220">
        <f>C62/1000*1.15</f>
        <v>0.34499999999999997</v>
      </c>
      <c r="G62" s="221">
        <f t="shared" si="0"/>
        <v>564.78083378005044</v>
      </c>
      <c r="H62" s="222">
        <f t="shared" si="1"/>
        <v>1080.0652152707105</v>
      </c>
      <c r="I62" s="228">
        <f>SUM(H62:H63)</f>
        <v>1973.5412520984703</v>
      </c>
      <c r="J62" s="219"/>
      <c r="K62" s="232">
        <f>-I62+J62</f>
        <v>-1973.5412520984703</v>
      </c>
      <c r="L62" s="219"/>
    </row>
    <row r="63" spans="1:12" x14ac:dyDescent="0.35">
      <c r="A63" s="218" t="s">
        <v>773</v>
      </c>
      <c r="B63" s="218" t="s">
        <v>785</v>
      </c>
      <c r="C63" s="219">
        <v>300</v>
      </c>
      <c r="D63" s="219">
        <f>2423/1000*C63</f>
        <v>726.9</v>
      </c>
      <c r="E63" s="219">
        <f>D63*0.15</f>
        <v>109.035</v>
      </c>
      <c r="F63" s="220">
        <f>C63/1000*1.3</f>
        <v>0.39</v>
      </c>
      <c r="G63" s="221">
        <f t="shared" si="0"/>
        <v>638.44789905570929</v>
      </c>
      <c r="H63" s="222">
        <f t="shared" si="1"/>
        <v>893.4760368277598</v>
      </c>
      <c r="I63" s="228"/>
      <c r="J63" s="219"/>
      <c r="K63" s="232"/>
      <c r="L63" s="219"/>
    </row>
    <row r="64" spans="1:12" ht="18.75" x14ac:dyDescent="0.3">
      <c r="A64" s="217" t="s">
        <v>774</v>
      </c>
      <c r="B64" s="203" t="s">
        <v>771</v>
      </c>
      <c r="C64" s="203">
        <v>500</v>
      </c>
      <c r="D64" s="177">
        <f>3529/1000*C64</f>
        <v>1764.5</v>
      </c>
      <c r="E64" s="177">
        <f>D64*0.15</f>
        <v>264.67500000000001</v>
      </c>
      <c r="F64" s="179">
        <f>C64/1000*1.15</f>
        <v>0.57499999999999996</v>
      </c>
      <c r="G64" s="181">
        <f t="shared" si="0"/>
        <v>941.30138963341744</v>
      </c>
      <c r="H64" s="211">
        <f t="shared" si="1"/>
        <v>1800.108692117851</v>
      </c>
      <c r="I64" s="229">
        <f>SUM(H64:H66)</f>
        <v>4061.7431967707626</v>
      </c>
      <c r="J64" s="177"/>
      <c r="K64" s="229">
        <f>-I64+J64</f>
        <v>-4061.7431967707626</v>
      </c>
      <c r="L64" s="177"/>
    </row>
    <row r="65" spans="1:15" x14ac:dyDescent="0.35">
      <c r="A65" s="217" t="s">
        <v>783</v>
      </c>
      <c r="B65" s="203" t="s">
        <v>782</v>
      </c>
      <c r="C65" s="177">
        <v>500</v>
      </c>
      <c r="D65" s="177">
        <f>3221/1000*C65</f>
        <v>1610.5</v>
      </c>
      <c r="E65" s="177">
        <f>D65*0.15</f>
        <v>241.57499999999999</v>
      </c>
      <c r="F65" s="179">
        <f>C65/1000*1.15</f>
        <v>0.57499999999999996</v>
      </c>
      <c r="G65" s="181">
        <f t="shared" si="0"/>
        <v>941.30138963341744</v>
      </c>
      <c r="H65" s="211">
        <f t="shared" si="1"/>
        <v>1692.786092117851</v>
      </c>
      <c r="I65" s="229"/>
      <c r="J65" s="177"/>
      <c r="K65" s="233"/>
      <c r="L65" s="177"/>
    </row>
    <row r="66" spans="1:15" x14ac:dyDescent="0.35">
      <c r="A66" s="217" t="s">
        <v>783</v>
      </c>
      <c r="B66" s="203" t="s">
        <v>786</v>
      </c>
      <c r="C66" s="177">
        <v>180</v>
      </c>
      <c r="D66" s="170">
        <f>2770/980*C66</f>
        <v>508.77551020408163</v>
      </c>
      <c r="E66" s="177">
        <f>D66*0.15</f>
        <v>76.316326530612244</v>
      </c>
      <c r="F66" s="179">
        <f>C66/1000*1.2</f>
        <v>0.216</v>
      </c>
      <c r="G66" s="181">
        <f t="shared" si="0"/>
        <v>353.60191332316208</v>
      </c>
      <c r="H66" s="211">
        <f t="shared" si="1"/>
        <v>568.84841253506067</v>
      </c>
      <c r="I66" s="229"/>
      <c r="J66" s="177"/>
      <c r="K66" s="233"/>
      <c r="L66" s="177"/>
    </row>
    <row r="67" spans="1:15" x14ac:dyDescent="0.35">
      <c r="A67" s="223" t="s">
        <v>630</v>
      </c>
      <c r="B67" s="224" t="s">
        <v>802</v>
      </c>
      <c r="C67" s="219">
        <v>1</v>
      </c>
      <c r="D67" s="219">
        <v>1722</v>
      </c>
      <c r="E67" s="219">
        <f>D67*0.15</f>
        <v>258.3</v>
      </c>
      <c r="F67" s="220">
        <f>0.14*1.3</f>
        <v>0.18200000000000002</v>
      </c>
      <c r="G67" s="221">
        <f t="shared" si="0"/>
        <v>297.94235289266436</v>
      </c>
      <c r="H67" s="222">
        <f t="shared" si="1"/>
        <v>1380.6148658529546</v>
      </c>
      <c r="I67" s="228">
        <f>H67</f>
        <v>1380.6148658529546</v>
      </c>
      <c r="J67" s="219"/>
      <c r="K67" s="232">
        <f>-I67+J67</f>
        <v>-1380.6148658529546</v>
      </c>
      <c r="L67" s="219"/>
    </row>
    <row r="68" spans="1:15" ht="18.75" x14ac:dyDescent="0.3">
      <c r="A68" s="217" t="s">
        <v>681</v>
      </c>
      <c r="B68" s="203" t="s">
        <v>781</v>
      </c>
      <c r="C68" s="177">
        <v>300</v>
      </c>
      <c r="D68" s="177">
        <f>2920/1000*C68</f>
        <v>876</v>
      </c>
      <c r="E68" s="177">
        <f>D68*0.15</f>
        <v>131.4</v>
      </c>
      <c r="F68" s="179">
        <f>C68/1000*1.15</f>
        <v>0.34499999999999997</v>
      </c>
      <c r="G68" s="181">
        <f t="shared" si="0"/>
        <v>564.78083378005044</v>
      </c>
      <c r="H68" s="211">
        <f t="shared" si="1"/>
        <v>952.74158527071052</v>
      </c>
      <c r="I68" s="229">
        <f>H68</f>
        <v>952.74158527071052</v>
      </c>
      <c r="J68" s="177"/>
      <c r="K68" s="229">
        <f>-I68+J68</f>
        <v>-952.74158527071052</v>
      </c>
      <c r="L68" s="177"/>
    </row>
    <row r="69" spans="1:15" x14ac:dyDescent="0.35">
      <c r="A69" s="219" t="s">
        <v>754</v>
      </c>
      <c r="B69" s="218" t="s">
        <v>781</v>
      </c>
      <c r="C69" s="219">
        <v>200</v>
      </c>
      <c r="D69" s="219">
        <f>2920/1000*C69</f>
        <v>584</v>
      </c>
      <c r="E69" s="219">
        <f>D69*0.15</f>
        <v>87.6</v>
      </c>
      <c r="F69" s="220">
        <f>C69/1000*1.15</f>
        <v>0.22999999999999998</v>
      </c>
      <c r="G69" s="221">
        <f t="shared" ref="G69:G72" si="2">F69/$F$73*$G$73</f>
        <v>376.520555853367</v>
      </c>
      <c r="H69" s="222">
        <f t="shared" ref="H69:H72" si="3">(D69+E69+G69)*$B$1</f>
        <v>635.16105684714034</v>
      </c>
      <c r="I69" s="228">
        <f>H69</f>
        <v>635.16105684714034</v>
      </c>
      <c r="J69" s="219"/>
      <c r="K69" s="232">
        <f>-I69+J69</f>
        <v>-635.16105684714034</v>
      </c>
      <c r="L69" s="219"/>
    </row>
    <row r="70" spans="1:15" ht="18.75" x14ac:dyDescent="0.3">
      <c r="A70" s="217" t="s">
        <v>644</v>
      </c>
      <c r="B70" s="203" t="s">
        <v>776</v>
      </c>
      <c r="C70" s="177">
        <v>300</v>
      </c>
      <c r="D70" s="177">
        <f>3144/1000*C70</f>
        <v>943.2</v>
      </c>
      <c r="E70" s="177">
        <f>D70*0.15</f>
        <v>141.47999999999999</v>
      </c>
      <c r="F70" s="179">
        <f>C70/1000*1.15</f>
        <v>0.34499999999999997</v>
      </c>
      <c r="G70" s="181">
        <f t="shared" si="2"/>
        <v>564.78083378005044</v>
      </c>
      <c r="H70" s="211">
        <f t="shared" si="3"/>
        <v>999.57326527071064</v>
      </c>
      <c r="I70" s="229">
        <f>SUM(H70:H72)</f>
        <v>4164.3739263535526</v>
      </c>
      <c r="J70" s="177"/>
      <c r="K70" s="229">
        <f>-I70+J70</f>
        <v>-4164.3739263535526</v>
      </c>
      <c r="L70" s="177"/>
    </row>
    <row r="71" spans="1:15" x14ac:dyDescent="0.35">
      <c r="A71" s="217" t="s">
        <v>644</v>
      </c>
      <c r="B71" s="203" t="s">
        <v>782</v>
      </c>
      <c r="C71" s="177">
        <v>800</v>
      </c>
      <c r="D71" s="177">
        <f>3221/1000*C71</f>
        <v>2576.8000000000002</v>
      </c>
      <c r="E71" s="177">
        <f>D71*0.15</f>
        <v>386.52000000000004</v>
      </c>
      <c r="F71" s="179">
        <f>C71/1000*1.15</f>
        <v>0.91999999999999993</v>
      </c>
      <c r="G71" s="181">
        <f t="shared" si="2"/>
        <v>1506.082223413468</v>
      </c>
      <c r="H71" s="211">
        <f t="shared" si="3"/>
        <v>2708.4577473885615</v>
      </c>
      <c r="I71" s="229"/>
      <c r="J71" s="177"/>
      <c r="K71" s="233"/>
      <c r="L71" s="177"/>
    </row>
    <row r="72" spans="1:15" x14ac:dyDescent="0.35">
      <c r="A72" s="217" t="s">
        <v>30</v>
      </c>
      <c r="B72" s="203"/>
      <c r="C72" s="203">
        <v>400</v>
      </c>
      <c r="D72" s="177"/>
      <c r="E72" s="177">
        <f>D72*0.15</f>
        <v>0</v>
      </c>
      <c r="F72" s="179">
        <f>C72/1000*1.15</f>
        <v>0.45999999999999996</v>
      </c>
      <c r="G72" s="181">
        <f t="shared" si="2"/>
        <v>753.041111706734</v>
      </c>
      <c r="H72" s="211">
        <f t="shared" si="3"/>
        <v>456.34291369428081</v>
      </c>
      <c r="I72" s="229"/>
      <c r="J72" s="177"/>
      <c r="K72" s="233"/>
      <c r="L72" s="177"/>
    </row>
    <row r="73" spans="1:15" x14ac:dyDescent="0.35">
      <c r="A73" s="170"/>
      <c r="B73" s="206"/>
      <c r="C73" s="206"/>
      <c r="D73" s="206"/>
      <c r="E73" s="206"/>
      <c r="F73" s="207">
        <f>SUM(F2:F72)</f>
        <v>24.250999999999991</v>
      </c>
      <c r="G73" s="213">
        <v>39700</v>
      </c>
      <c r="H73" s="212"/>
      <c r="I73" s="230"/>
      <c r="J73" s="206"/>
      <c r="K73" s="234"/>
      <c r="L73" s="206"/>
      <c r="M73" s="196"/>
      <c r="N73" s="196"/>
      <c r="O73" s="196"/>
    </row>
    <row r="74" spans="1:15" x14ac:dyDescent="0.35">
      <c r="A74" s="170"/>
      <c r="B74" s="203"/>
      <c r="C74" s="177"/>
      <c r="D74" s="177"/>
      <c r="E74" s="177"/>
      <c r="F74" s="179"/>
      <c r="G74" s="181"/>
      <c r="H74" s="211"/>
      <c r="I74" s="229"/>
      <c r="J74" s="177"/>
      <c r="K74" s="233"/>
      <c r="L74" s="177"/>
    </row>
    <row r="75" spans="1:15" x14ac:dyDescent="0.35">
      <c r="A75" s="170"/>
      <c r="B75" s="203"/>
      <c r="C75" s="177"/>
      <c r="D75" s="177"/>
      <c r="E75" s="177"/>
      <c r="F75" s="179"/>
      <c r="G75" s="181"/>
      <c r="H75" s="211"/>
      <c r="I75" s="229"/>
      <c r="J75" s="177"/>
      <c r="K75" s="233"/>
      <c r="L75" s="177"/>
    </row>
    <row r="76" spans="1:15" x14ac:dyDescent="0.35">
      <c r="A76" s="170"/>
      <c r="B76" s="203"/>
      <c r="C76" s="177"/>
      <c r="D76" s="177"/>
      <c r="E76" s="177"/>
      <c r="F76" s="179"/>
      <c r="G76" s="181"/>
      <c r="H76" s="211"/>
      <c r="I76" s="229"/>
      <c r="J76" s="177"/>
      <c r="K76" s="233"/>
      <c r="L76" s="177"/>
    </row>
    <row r="77" spans="1:15" x14ac:dyDescent="0.35">
      <c r="A77" s="170"/>
      <c r="B77" s="203"/>
      <c r="C77" s="177"/>
      <c r="D77" s="177"/>
      <c r="E77" s="177"/>
      <c r="F77" s="179"/>
      <c r="G77" s="181"/>
      <c r="H77" s="211"/>
      <c r="I77" s="229"/>
      <c r="J77" s="177"/>
      <c r="K77" s="233"/>
      <c r="L77" s="177"/>
    </row>
    <row r="78" spans="1:15" x14ac:dyDescent="0.35">
      <c r="A78" s="170"/>
      <c r="B78" s="203"/>
      <c r="C78" s="177"/>
      <c r="D78" s="177"/>
      <c r="E78" s="177"/>
      <c r="F78" s="179"/>
      <c r="G78" s="181"/>
      <c r="H78" s="211"/>
      <c r="I78" s="229"/>
      <c r="J78" s="177"/>
      <c r="K78" s="233"/>
      <c r="L78" s="177"/>
    </row>
    <row r="79" spans="1:15" x14ac:dyDescent="0.35">
      <c r="A79" s="170"/>
      <c r="B79" s="203"/>
      <c r="C79" s="177"/>
      <c r="D79" s="177"/>
      <c r="E79" s="177"/>
      <c r="F79" s="179"/>
      <c r="G79" s="181"/>
      <c r="H79" s="211"/>
      <c r="I79" s="229"/>
      <c r="J79" s="177"/>
      <c r="K79" s="233"/>
      <c r="L79" s="177"/>
    </row>
    <row r="80" spans="1:15" x14ac:dyDescent="0.35">
      <c r="A80" s="170"/>
      <c r="B80" s="203"/>
      <c r="C80" s="177"/>
      <c r="D80" s="177"/>
      <c r="E80" s="177"/>
      <c r="F80" s="179"/>
      <c r="G80" s="181"/>
      <c r="H80" s="211"/>
      <c r="I80" s="229"/>
      <c r="J80" s="177"/>
      <c r="K80" s="233"/>
      <c r="L80" s="177"/>
    </row>
    <row r="81" spans="1:12" x14ac:dyDescent="0.35">
      <c r="A81" s="170"/>
      <c r="B81" s="177"/>
      <c r="C81" s="177"/>
      <c r="D81" s="177"/>
      <c r="E81" s="177"/>
      <c r="F81" s="179"/>
      <c r="G81" s="181"/>
      <c r="H81" s="211"/>
      <c r="I81" s="229"/>
      <c r="J81" s="177"/>
      <c r="K81" s="233"/>
      <c r="L81" s="177"/>
    </row>
  </sheetData>
  <sortState ref="A1:F78">
    <sortCondition ref="A1:A7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1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2"/>
      <c r="I5" s="42">
        <f>SUM(I6:I7)</f>
        <v>-842.36036216606499</v>
      </c>
      <c r="J5" s="38">
        <f>400+424</f>
        <v>824</v>
      </c>
      <c r="K5" s="38">
        <f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2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>(B7*C7)*$B$1+D7+F7*$B$1</f>
        <v>433.07903148014447</v>
      </c>
      <c r="H7" s="72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2"/>
      <c r="I8" s="42">
        <f>I9</f>
        <v>-600.39916534296037</v>
      </c>
      <c r="J8" s="38">
        <f>588+12</f>
        <v>600</v>
      </c>
      <c r="K8" s="38">
        <f>J8+I8</f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>(B9*C9)*$B$1+D9+F9*$B$1</f>
        <v>600.39916534296037</v>
      </c>
      <c r="H9" s="72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2"/>
      <c r="I10" s="42">
        <f>SUM(I11:I14)</f>
        <v>-2817.9442774368235</v>
      </c>
      <c r="J10" s="38">
        <f>2756+62</f>
        <v>2818</v>
      </c>
      <c r="K10" s="38">
        <f>J10+I10</f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>(B11*C11)*$B$1+D11+F11*$B$1</f>
        <v>413.55881494584844</v>
      </c>
      <c r="H11" s="72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>(B12*C12)*$B$1+D12+F12*$B$1</f>
        <v>433.62013974729246</v>
      </c>
      <c r="H12" s="72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>B13*C13*0.1</f>
        <v>103.30000000000001</v>
      </c>
      <c r="E13" s="6">
        <f>0.2*1.3</f>
        <v>0.26</v>
      </c>
      <c r="F13" s="30">
        <f>E13/$E$47*$F$47</f>
        <v>374.64404332129965</v>
      </c>
      <c r="G13" s="30">
        <f>(B13*C13)*$B$1+D13+F13*$B$1</f>
        <v>580.49133068592062</v>
      </c>
      <c r="H13" s="72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>B14*C14*0.1</f>
        <v>229.9</v>
      </c>
      <c r="E14" s="6">
        <f>0.6*1.3</f>
        <v>0.78</v>
      </c>
      <c r="F14" s="30">
        <f>E14/$E$47*$F$47</f>
        <v>1123.9321299638989</v>
      </c>
      <c r="G14" s="30">
        <f>(B14*C14)*$B$1+D14+F14*$B$1</f>
        <v>1390.2739920577619</v>
      </c>
      <c r="H14" s="72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2"/>
      <c r="I15" s="42">
        <f>SUM(I16:I18)</f>
        <v>-3431.4126454873649</v>
      </c>
      <c r="J15" s="38">
        <f>3354+77</f>
        <v>3431</v>
      </c>
      <c r="K15" s="38">
        <f>J15+I15</f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>B16*C16*0.1</f>
        <v>122.4</v>
      </c>
      <c r="E16" s="6">
        <f>0.1*1.3</f>
        <v>0.13</v>
      </c>
      <c r="F16" s="30">
        <f>E16/$E$47*$F$47</f>
        <v>187.32202166064982</v>
      </c>
      <c r="G16" s="30">
        <f>(B16*C16)*$B$1+D16+F16*$B$1</f>
        <v>600.83816534296034</v>
      </c>
      <c r="H16" s="72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>B17*C17*0.1</f>
        <v>118.2</v>
      </c>
      <c r="E17" s="6">
        <f>0.5*1.3</f>
        <v>0.65</v>
      </c>
      <c r="F17" s="30">
        <f>E17/$E$47*$F$47</f>
        <v>936.61010830324915</v>
      </c>
      <c r="G17" s="30">
        <f>(B17*C17)*$B$1+D17+F17*$B$1</f>
        <v>836.40882671480153</v>
      </c>
      <c r="H17" s="72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>B18*C18*0.1</f>
        <v>309.60000000000002</v>
      </c>
      <c r="E18" s="6">
        <f>1*1.3</f>
        <v>1.3</v>
      </c>
      <c r="F18" s="30">
        <f>E18/$E$47*$F$47</f>
        <v>1873.2202166064983</v>
      </c>
      <c r="G18" s="30">
        <f>(B18*C18)*$B$1+D18+F18*$B$1</f>
        <v>1994.1656534296033</v>
      </c>
      <c r="H18" s="72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2"/>
      <c r="I19" s="42">
        <f>SUM(I20:I21)</f>
        <v>-1801.9031574007222</v>
      </c>
      <c r="J19" s="38">
        <v>1802</v>
      </c>
      <c r="K19" s="38">
        <f>J19+I19</f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>B20*C20*0.1</f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>(B20*C20)*$B$1+D20+F20*$B$1</f>
        <v>1322.5249093862817</v>
      </c>
      <c r="H20" s="72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>B21*C21*0.1</f>
        <v>87.5</v>
      </c>
      <c r="E21" s="6">
        <f>0.15*1.3</f>
        <v>0.19500000000000001</v>
      </c>
      <c r="F21" s="30">
        <f>E21/$E$47*$F$47</f>
        <v>280.98303249097472</v>
      </c>
      <c r="G21" s="30">
        <f>(B21*C21)*$B$1+D21+F21*$B$1</f>
        <v>479.37824801444043</v>
      </c>
      <c r="H21" s="72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2"/>
      <c r="I22" s="42">
        <f>SUM(I23:I25)</f>
        <v>-1456.5935589891697</v>
      </c>
      <c r="J22" s="38">
        <f>1425+32</f>
        <v>1457</v>
      </c>
      <c r="K22" s="38">
        <f>J22+I22</f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>B23*C23*0.1</f>
        <v>108.7</v>
      </c>
      <c r="E23" s="6">
        <f>0.25*1.3</f>
        <v>0.32500000000000001</v>
      </c>
      <c r="F23" s="30">
        <f>E23/$E$47*$F$47</f>
        <v>468.30505415162457</v>
      </c>
      <c r="G23" s="30">
        <f>(B23*C23)*$B$1+D23+F23*$B$1</f>
        <v>635.9484133574008</v>
      </c>
      <c r="H23" s="72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>B24*C24*0.1</f>
        <v>63.800000000000004</v>
      </c>
      <c r="E24" s="6">
        <f>0.2*1.3</f>
        <v>0.26</v>
      </c>
      <c r="F24" s="30">
        <f>E24/$E$47*$F$47</f>
        <v>374.64404332129965</v>
      </c>
      <c r="G24" s="30">
        <f>(B24*C24)*$B$1+D24+F24*$B$1</f>
        <v>407.08633068592059</v>
      </c>
      <c r="H24" s="72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>B25*C25*0.1</f>
        <v>75.400000000000006</v>
      </c>
      <c r="E25" s="6">
        <f>0.13*1.3</f>
        <v>0.16900000000000001</v>
      </c>
      <c r="F25" s="30">
        <f>E25/$E$47*$F$47</f>
        <v>243.51862815884479</v>
      </c>
      <c r="G25" s="30">
        <f>(B25*C25)*$B$1+D25+F25*$B$1</f>
        <v>413.55881494584844</v>
      </c>
      <c r="H25" s="72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2"/>
      <c r="I26" s="42">
        <f>I27</f>
        <v>-479.37824801444043</v>
      </c>
      <c r="J26" s="38">
        <f>464+15</f>
        <v>479</v>
      </c>
      <c r="K26" s="38">
        <f>J26+I26</f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>B27*C27*0.1</f>
        <v>87.5</v>
      </c>
      <c r="E27" s="6">
        <f>0.15*1.3</f>
        <v>0.19500000000000001</v>
      </c>
      <c r="F27" s="30">
        <f>E27/$E$47*$F$47</f>
        <v>280.98303249097472</v>
      </c>
      <c r="G27" s="30">
        <f>(B27*C27)*$B$1+D27+F27*$B$1</f>
        <v>479.37824801444043</v>
      </c>
      <c r="H27" s="72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2"/>
      <c r="I28" s="42">
        <f>SUM(I29:I31)</f>
        <v>-1903.1079408664264</v>
      </c>
      <c r="J28" s="38">
        <f>500+1362+41</f>
        <v>1903</v>
      </c>
      <c r="K28" s="38">
        <f>J28+I28</f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>(B29*C29)*$B$1+D29+F29*$B$1</f>
        <v>918.27679523465713</v>
      </c>
      <c r="H29" s="72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>B30*C30*0.1</f>
        <v>101.2</v>
      </c>
      <c r="E30" s="6">
        <f>0.2*1.3</f>
        <v>0.26</v>
      </c>
      <c r="F30" s="30">
        <f>E30/$E$47*$F$47</f>
        <v>374.64404332129965</v>
      </c>
      <c r="G30" s="30">
        <f>(B30*C30)*$B$1+D30+F30*$B$1</f>
        <v>571.27233068592068</v>
      </c>
      <c r="H30" s="72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>B31*C31*0.1</f>
        <v>75.400000000000006</v>
      </c>
      <c r="E31" s="6">
        <f>0.13*1.3</f>
        <v>0.16900000000000001</v>
      </c>
      <c r="F31" s="30">
        <f>E31/$E$47*$F$47</f>
        <v>243.51862815884479</v>
      </c>
      <c r="G31" s="30">
        <f>(B31*C31)*$B$1+D31+F31*$B$1</f>
        <v>413.55881494584844</v>
      </c>
      <c r="H31" s="72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2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>B33*C33*0.1</f>
        <v>99.800000000000011</v>
      </c>
      <c r="E33" s="6">
        <f>0.12*1.3</f>
        <v>0.156</v>
      </c>
      <c r="F33" s="30">
        <f>E33/$E$47*$F$47</f>
        <v>224.78642599277981</v>
      </c>
      <c r="G33" s="30">
        <f>(B33*C33)*$B$1+D33+F33*$B$1</f>
        <v>514.32459841155242</v>
      </c>
      <c r="H33" s="72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>B34*C34*0.1</f>
        <v>163.80000000000001</v>
      </c>
      <c r="E34" s="6">
        <f>0.36*1.3</f>
        <v>0.46799999999999997</v>
      </c>
      <c r="F34" s="30">
        <f>E34/$E$47*$F$47</f>
        <v>674.35927797833926</v>
      </c>
      <c r="G34" s="30">
        <f>(B34*C34)*$B$1+D34+F34*$B$1</f>
        <v>947.68979523465714</v>
      </c>
      <c r="H34" s="72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2"/>
      <c r="I35" s="42">
        <f>SUM(I36:I37)</f>
        <v>-1848.0801062093865</v>
      </c>
      <c r="J35" s="38">
        <f>1807+42</f>
        <v>1849</v>
      </c>
      <c r="K35" s="38">
        <f t="shared" ref="K35:K41" si="0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>B36*C36*0.1</f>
        <v>91.600000000000009</v>
      </c>
      <c r="E36" s="5">
        <v>0.312</v>
      </c>
      <c r="F36" s="30">
        <f>E36/$E$47*$F$47</f>
        <v>449.57285198555962</v>
      </c>
      <c r="G36" s="30">
        <f>(B36*C36)*$B$1+D36+F36*$B$1</f>
        <v>554.52919682310471</v>
      </c>
      <c r="H36" s="72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>B37*C37*0.1</f>
        <v>215.10000000000002</v>
      </c>
      <c r="E37" s="14">
        <v>0.71500000000000008</v>
      </c>
      <c r="F37" s="30">
        <f>E37/$E$47*$F$47</f>
        <v>1030.2711191335741</v>
      </c>
      <c r="G37" s="30">
        <f>(B37*C37)*$B$1+D37+F37*$B$1</f>
        <v>1293.5509093862818</v>
      </c>
      <c r="H37" s="72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2"/>
      <c r="I38" s="42">
        <f>SUM(I39:I40)</f>
        <v>-1178.9816613718413</v>
      </c>
      <c r="J38" s="38">
        <v>1153</v>
      </c>
      <c r="K38" s="38">
        <f t="shared" si="0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>B39*C39*0.1</f>
        <v>106.4</v>
      </c>
      <c r="E39" s="5">
        <v>0.26</v>
      </c>
      <c r="F39" s="30">
        <f>E39/$E$47*$F$47</f>
        <v>374.64404332129965</v>
      </c>
      <c r="G39" s="30">
        <f>(B39*C39)*$B$1+D39+F39*$B$1</f>
        <v>594.10033068592065</v>
      </c>
      <c r="H39" s="72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>B40*C40*0.1</f>
        <v>104.30000000000001</v>
      </c>
      <c r="E40" s="14">
        <v>0.26</v>
      </c>
      <c r="F40" s="30">
        <f>E40/$E$47*$F$47</f>
        <v>374.64404332129965</v>
      </c>
      <c r="G40" s="30">
        <f>(B40*C40)*$B$1+D40+F40*$B$1</f>
        <v>584.8813306859206</v>
      </c>
      <c r="H40" s="72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2"/>
      <c r="I41" s="42">
        <f>SUM(I42:I44)</f>
        <v>-1253.8262853790616</v>
      </c>
      <c r="J41" s="38">
        <f>1226+28</f>
        <v>1254</v>
      </c>
      <c r="K41" s="38">
        <f t="shared" si="0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>B42*C42*0.1</f>
        <v>77.800000000000011</v>
      </c>
      <c r="E42" s="5">
        <v>0.1885</v>
      </c>
      <c r="F42" s="30">
        <f>E42/$E$47*$F$47</f>
        <v>271.61693140794227</v>
      </c>
      <c r="G42" s="30">
        <f>(B42*C42)*$B$1+D42+F42*$B$1</f>
        <v>433.62013974729246</v>
      </c>
      <c r="H42" s="72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>B43*C43*0.1</f>
        <v>63.7</v>
      </c>
      <c r="E43" s="14">
        <v>0.26</v>
      </c>
      <c r="F43" s="30">
        <f>E43/$E$47*$F$47</f>
        <v>374.64404332129965</v>
      </c>
      <c r="G43" s="30">
        <f>(B43*C43)*$B$1+D43+F43*$B$1</f>
        <v>406.64733068592062</v>
      </c>
      <c r="H43" s="72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>B44*C44*0.1</f>
        <v>75.400000000000006</v>
      </c>
      <c r="E44" s="14">
        <v>0.16900000000000001</v>
      </c>
      <c r="F44" s="30">
        <f>E44/$E$47*$F$47</f>
        <v>243.51862815884479</v>
      </c>
      <c r="G44" s="30">
        <f>(B44*C44)*$B$1+D44+F44*$B$1</f>
        <v>413.55881494584844</v>
      </c>
      <c r="H44" s="72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2"/>
      <c r="I45" s="43"/>
      <c r="J45" s="38"/>
      <c r="K45" s="38"/>
    </row>
    <row r="46" spans="1:12" x14ac:dyDescent="0.25">
      <c r="A46" s="4"/>
      <c r="B46" s="4"/>
      <c r="C46" s="5"/>
      <c r="D46" s="5">
        <f>B46*C46*0.1</f>
        <v>0</v>
      </c>
      <c r="E46" s="5">
        <v>4.2560000000000002</v>
      </c>
      <c r="F46" s="30">
        <f>E46/$E$47*$F$47</f>
        <v>6132.6348014440437</v>
      </c>
      <c r="G46" s="30">
        <f>(B46*C46)*$B$1+D46+F46*$B$1</f>
        <v>2078.9631976895312</v>
      </c>
      <c r="H46" s="72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2"/>
      <c r="I47" s="28"/>
      <c r="J47" s="28"/>
      <c r="K47" s="28"/>
    </row>
    <row r="49" spans="1:5" ht="58.9" customHeight="1" x14ac:dyDescent="0.25">
      <c r="A49" s="199" t="s">
        <v>64</v>
      </c>
      <c r="B49" s="200"/>
      <c r="C49" s="200"/>
      <c r="D49" s="200"/>
      <c r="E49" s="200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1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2"/>
      <c r="I4" s="42">
        <f>I5</f>
        <v>-787.98318894009219</v>
      </c>
      <c r="J4" s="38">
        <v>814</v>
      </c>
      <c r="K4" s="38">
        <f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2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2"/>
      <c r="I6" s="42">
        <f>SUM(I7:I12)</f>
        <v>-2986.6192811059909</v>
      </c>
      <c r="J6" s="38">
        <v>3187</v>
      </c>
      <c r="K6" s="38">
        <f>J6+I6</f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 t="shared" ref="D7:D12" si="0"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2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si="0"/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2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0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2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si="0"/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2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0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2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0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2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2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2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2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2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2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2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2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2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2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2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>B23*C23*0.1</f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2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>B24*C24*0.1</f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2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>B25*C25*0.1</f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2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2"/>
      <c r="I26" s="42">
        <f>SUM(I27:I31)</f>
        <v>-2245.1748571428575</v>
      </c>
      <c r="J26" s="38">
        <v>2390</v>
      </c>
      <c r="K26" s="38">
        <f>J26+I26</f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2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2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>B29*C29*0.1</f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2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>B30*C30*0.1</f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2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>B31*C31*0.1</f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2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2"/>
      <c r="I32" s="42">
        <f>SUM(I33:I36)</f>
        <v>-2169.5613640552997</v>
      </c>
      <c r="J32" s="38">
        <v>2340</v>
      </c>
      <c r="K32" s="38">
        <f>J32+I32</f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2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2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>B35*C35*0.1</f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2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>B36*C36*0.1</f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2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2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2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>B39*C39*0.1</f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2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2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>B41*C41*0.1</f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2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2"/>
      <c r="I42" s="42">
        <f>SUM(I43:I47)</f>
        <v>-2015.8127188940091</v>
      </c>
      <c r="J42" s="38">
        <v>2154</v>
      </c>
      <c r="K42" s="38">
        <f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2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2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>B45*C45*0.1</f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2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>B46*C46*0.1</f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2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>B47*C47*0.1</f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2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2"/>
      <c r="I48" s="42"/>
      <c r="J48" s="38"/>
      <c r="K48" s="38"/>
    </row>
    <row r="49" spans="1:11" x14ac:dyDescent="0.25">
      <c r="A49" s="4"/>
      <c r="B49" s="5"/>
      <c r="C49" s="5"/>
      <c r="D49" s="5">
        <f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2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2"/>
      <c r="I50" s="28"/>
      <c r="J50" s="28"/>
      <c r="K50" s="28"/>
    </row>
    <row r="52" spans="1:11" ht="52.5" customHeight="1" x14ac:dyDescent="0.25">
      <c r="A52" s="199" t="s">
        <v>64</v>
      </c>
      <c r="B52" s="200"/>
      <c r="C52" s="200"/>
      <c r="D52" s="200"/>
      <c r="E52" s="200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43" workbookViewId="0">
      <selection activeCell="A70" sqref="A7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3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4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2"/>
      <c r="I7" s="42">
        <f>SUM(I8:I11)</f>
        <v>-2923.6158313123146</v>
      </c>
      <c r="J7" s="38">
        <f>2842+80</f>
        <v>2922</v>
      </c>
      <c r="K7" s="38">
        <f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2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>B9*C9*0.1</f>
        <v>46</v>
      </c>
      <c r="E9" s="3">
        <f>0.04*1.3</f>
        <v>5.2000000000000005E-2</v>
      </c>
      <c r="F9" s="30">
        <f>E9/$E$79*$F$79</f>
        <v>96.478146052277026</v>
      </c>
      <c r="G9" s="30">
        <f>(B9*C9)*$B$1+D9*$B$1+F9*$B$1</f>
        <v>210.86735111829694</v>
      </c>
      <c r="H9" s="72"/>
      <c r="I9" s="34">
        <f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>B10*C10*0.1</f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>(B10*C10)*$B$1+D10*$B$1+F10*$B$1</f>
        <v>826.43564672594982</v>
      </c>
      <c r="H10" s="72"/>
      <c r="I10" s="34">
        <f>H10-G10</f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>B11*C11*0.1</f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>(B11*C11)*$B$1+D11*$B$1+F11*$B$1</f>
        <v>476.2075666936135</v>
      </c>
      <c r="H11" s="72"/>
      <c r="I11" s="34">
        <f>H11-G11</f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2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>(B13*C13)*$B$1+D13*$B$1+F13*$B$1</f>
        <v>476.2075666936135</v>
      </c>
      <c r="H13" s="72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2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>(B15*C15)*$B$1+D15*$B$1+F15*$B$1</f>
        <v>1968.7679574238746</v>
      </c>
      <c r="H15" s="72"/>
      <c r="I15" s="34">
        <f>H15-G15</f>
        <v>-1968.7679574238746</v>
      </c>
      <c r="J15" s="39"/>
      <c r="K15" s="40"/>
    </row>
    <row r="16" spans="1:11" x14ac:dyDescent="0.25">
      <c r="A16" s="76" t="s">
        <v>167</v>
      </c>
      <c r="B16" s="77">
        <v>1</v>
      </c>
      <c r="C16" s="77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>(B16*C16)*$B$1+D16*$B$1+F16*$B$1</f>
        <v>685.38929668552953</v>
      </c>
      <c r="H16" s="72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>(B17*C17)*$B$1+D17*$B$1+F17*$B$1</f>
        <v>1899.8529574238751</v>
      </c>
      <c r="H17" s="72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>(B18*C18)*$B$1+D18*$B$1+F18*$B$1</f>
        <v>602.62837779574227</v>
      </c>
      <c r="H18" s="72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5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2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2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>(B22*C22)*$B$1+D22*$B$1+F22*$B$1</f>
        <v>678.29513338722711</v>
      </c>
      <c r="H22" s="72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>(B23*C23)*$B$1+D23*$B$1+F23*$B$1</f>
        <v>506.13418889787118</v>
      </c>
      <c r="H23" s="72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2"/>
      <c r="I24" s="42">
        <f>SUM(I25:I27)</f>
        <v>-1725.1949690110482</v>
      </c>
      <c r="J24" s="38">
        <f>1677+48</f>
        <v>1725</v>
      </c>
      <c r="K24" s="38">
        <f>J24+I24</f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>B25*C25*0.1</f>
        <v>77.2</v>
      </c>
      <c r="E25" s="3">
        <f>0.13*1.3</f>
        <v>0.16900000000000001</v>
      </c>
      <c r="F25" s="30">
        <f>E25/$E$79*$F$79</f>
        <v>313.55397466990036</v>
      </c>
      <c r="G25" s="30">
        <f>(B25*C25)*$B$1+D25*$B$1+F25*$B$1</f>
        <v>406.96389113446509</v>
      </c>
      <c r="H25" s="72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>B26*C26*0.1</f>
        <v>110.4</v>
      </c>
      <c r="E26" s="3">
        <f>0.3*1.3</f>
        <v>0.39</v>
      </c>
      <c r="F26" s="30">
        <f>E26/$E$79*$F$79</f>
        <v>723.58609539207771</v>
      </c>
      <c r="G26" s="30">
        <f>(B26*C26)*$B$1+D26*$B$1+F26*$B$1</f>
        <v>678.29513338722711</v>
      </c>
      <c r="H26" s="72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>B27*C27*0.1</f>
        <v>111.4</v>
      </c>
      <c r="E27" s="3">
        <f>0.25*1.3</f>
        <v>0.32500000000000001</v>
      </c>
      <c r="F27" s="30">
        <f>E27/$E$79*$F$79</f>
        <v>602.98841282673141</v>
      </c>
      <c r="G27" s="30">
        <f>(B27*C27)*$B$1+D27*$B$1+F27*$B$1</f>
        <v>639.93594448935596</v>
      </c>
      <c r="H27" s="72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2"/>
      <c r="I28" s="42">
        <f>SUM(I29:I32)</f>
        <v>-2446.168777957424</v>
      </c>
      <c r="J28" s="38">
        <f>2378+68</f>
        <v>2446</v>
      </c>
      <c r="K28" s="38">
        <f>J28+I28</f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>(B29*C29)*$B$1+D29*$B$1+F29*$B$1</f>
        <v>940.31116006467255</v>
      </c>
      <c r="H29" s="72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>B30*C30*0.1</f>
        <v>119.7</v>
      </c>
      <c r="E30" s="3">
        <f>0.24*1.3</f>
        <v>0.312</v>
      </c>
      <c r="F30" s="30">
        <f>E30/$E$79*$F$79</f>
        <v>578.8688763136621</v>
      </c>
      <c r="G30" s="30">
        <f>(B30*C30)*$B$1+D30*$B$1+F30*$B$1</f>
        <v>663.44910670978174</v>
      </c>
      <c r="H30" s="72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>B31*C31*0.1</f>
        <v>64.5</v>
      </c>
      <c r="E31" s="3">
        <f>0.2*1.3</f>
        <v>0.26</v>
      </c>
      <c r="F31" s="30">
        <f>E31/$E$79*$F$79</f>
        <v>482.3907302613851</v>
      </c>
      <c r="G31" s="30">
        <f>(B31*C31)*$B$1+D31*$B$1+F31*$B$1</f>
        <v>417.16175559148473</v>
      </c>
      <c r="H31" s="72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>B32*C32*0.1</f>
        <v>66.600000000000009</v>
      </c>
      <c r="E32" s="3">
        <f>0.2*1.3</f>
        <v>0.26</v>
      </c>
      <c r="F32" s="30">
        <f>E32/$E$79*$F$79</f>
        <v>482.3907302613851</v>
      </c>
      <c r="G32" s="30">
        <f>(B32*C32)*$B$1+D32*$B$1+F32*$B$1</f>
        <v>425.24675559148477</v>
      </c>
      <c r="H32" s="72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2"/>
      <c r="I33" s="42">
        <f>SUM(I34:I35)</f>
        <v>-1815.219373484236</v>
      </c>
      <c r="J33" s="38">
        <f>1627+50</f>
        <v>1677</v>
      </c>
      <c r="K33" s="38">
        <f>J33+I33</f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>B34*C34*0.1</f>
        <v>119.7</v>
      </c>
      <c r="E34" s="3">
        <f>0.24*1.3</f>
        <v>0.312</v>
      </c>
      <c r="F34" s="30">
        <f>E34/$E$79*$F$79</f>
        <v>578.8688763136621</v>
      </c>
      <c r="G34" s="30">
        <f>(B34*C34)*$B$1+D34*$B$1+F34*$B$1</f>
        <v>663.44910670978174</v>
      </c>
      <c r="H34" s="72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>B35*C35*0.1</f>
        <v>167.60000000000002</v>
      </c>
      <c r="E35" s="3">
        <f>0.6*1.3</f>
        <v>0.78</v>
      </c>
      <c r="F35" s="30">
        <f>E35/$E$79*$F$79</f>
        <v>1447.1721907841554</v>
      </c>
      <c r="G35" s="30">
        <f>(B35*C35)*$B$1+D35*$B$1+F35*$B$1</f>
        <v>1151.7702667744543</v>
      </c>
      <c r="H35" s="72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4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2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>(B38*C38)*$B$1+D38*$B$1+F38*$B$1</f>
        <v>940.31116006467255</v>
      </c>
      <c r="H38" s="72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2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>(B40*C40)*$B$1+D40*$B$1+F40*$B$1</f>
        <v>914.28124225276201</v>
      </c>
      <c r="H40" s="72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>B41*C41*0.1</f>
        <v>230</v>
      </c>
      <c r="E41" s="3">
        <f>0.6*1.3</f>
        <v>0.78</v>
      </c>
      <c r="F41" s="30">
        <f>E41/$E$79*$F$79</f>
        <v>1447.1721907841554</v>
      </c>
      <c r="G41" s="30">
        <f>(B41*C41)*$B$1+D41*$B$1+F41*$B$1</f>
        <v>1392.0102667744543</v>
      </c>
      <c r="H41" s="72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>(B42*C42)*$B$1+D42*$B$1+F42*$B$1</f>
        <v>506.13418889787118</v>
      </c>
      <c r="H42" s="72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>B43*C43*0.1</f>
        <v>70.900000000000006</v>
      </c>
      <c r="E43" s="3">
        <f>0.14*1.3</f>
        <v>0.18200000000000002</v>
      </c>
      <c r="F43" s="30">
        <f>E43/$E$79*$F$79</f>
        <v>337.67351118296961</v>
      </c>
      <c r="G43" s="30">
        <f>(B43*C43)*$B$1+D43*$B$1+F43*$B$1</f>
        <v>391.15072891403935</v>
      </c>
      <c r="H43" s="72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>B44*C44*0.1</f>
        <v>78.300000000000011</v>
      </c>
      <c r="E44" s="3">
        <f>0.13*1.3</f>
        <v>0.16900000000000001</v>
      </c>
      <c r="F44" s="30">
        <f>E44/$E$79*$F$79</f>
        <v>313.55397466990036</v>
      </c>
      <c r="G44" s="30">
        <f>(B44*C44)*$B$1+D44*$B$1+F44*$B$1</f>
        <v>411.19889113446504</v>
      </c>
      <c r="H44" s="72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2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>(B46*C46)*$B$1+D46*$B$1+F46*$B$1</f>
        <v>940.31116006467255</v>
      </c>
      <c r="H46" s="72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>B47*C47*0.1</f>
        <v>77.2</v>
      </c>
      <c r="E47" s="64">
        <f>0.13*1.3</f>
        <v>0.16900000000000001</v>
      </c>
      <c r="F47" s="30">
        <f>E47/$E$79*$F$79</f>
        <v>313.55397466990036</v>
      </c>
      <c r="G47" s="30">
        <f>(B47*C47)*$B$1+D47*$B$1+F47*$B$1</f>
        <v>406.96389113446509</v>
      </c>
      <c r="H47" s="72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>B48*C48*0.1</f>
        <v>106.9</v>
      </c>
      <c r="E48" s="64">
        <f>0.2*1.3</f>
        <v>0.26</v>
      </c>
      <c r="F48" s="30">
        <f>E48/$E$79*$F$79</f>
        <v>482.3907302613851</v>
      </c>
      <c r="G48" s="30">
        <f>(B48*C48)*$B$1+D48*$B$1+F48*$B$1</f>
        <v>580.40175559148474</v>
      </c>
      <c r="H48" s="72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>B49*C49*0.1</f>
        <v>105.4</v>
      </c>
      <c r="E49" s="64">
        <f>0.2*1.3</f>
        <v>0.26</v>
      </c>
      <c r="F49" s="30">
        <f>E49/$E$79*$F$79</f>
        <v>482.3907302613851</v>
      </c>
      <c r="G49" s="30">
        <f>(B49*C49)*$B$1+D49*$B$1+F49*$B$1</f>
        <v>574.62675559148477</v>
      </c>
      <c r="H49" s="72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2"/>
      <c r="I50" s="42">
        <f>SUM(I51:I52)</f>
        <v>-1781.3486445701965</v>
      </c>
      <c r="J50" s="38">
        <f>1732+49</f>
        <v>1781</v>
      </c>
      <c r="K50" s="38">
        <f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>(B51*C51)*$B$1+D51*$B$1+F51*$B$1</f>
        <v>476.2075666936135</v>
      </c>
      <c r="H51" s="72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>B52*C52*0.1</f>
        <v>218.4</v>
      </c>
      <c r="E52" s="3">
        <f>0.3*1.3+0.25*1.3</f>
        <v>0.71500000000000008</v>
      </c>
      <c r="F52" s="30">
        <f>E52/$E$79*$F$79</f>
        <v>1326.5745082188091</v>
      </c>
      <c r="G52" s="30">
        <f>(B52*C52)*$B$1+D52*$B$1+F52*$B$1</f>
        <v>1305.141077876583</v>
      </c>
      <c r="H52" s="72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2"/>
      <c r="I53" s="42">
        <f>SUM(I54:I54)</f>
        <v>-206.21918889787119</v>
      </c>
      <c r="J53" s="38">
        <v>477</v>
      </c>
      <c r="K53" s="38">
        <f>J53+I53-271</f>
        <v>-0.21918889787116314</v>
      </c>
      <c r="L53" s="79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>(B54*C54)*$B$1+D54*$B$1+F54*$B$1</f>
        <v>206.21918889787119</v>
      </c>
      <c r="H54" s="72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2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1" si="0">B56*C56*0.1</f>
        <v>90.800000000000011</v>
      </c>
      <c r="E56" s="64">
        <f>0.15*1.3*B56</f>
        <v>0.19500000000000001</v>
      </c>
      <c r="F56" s="30">
        <f t="shared" ref="F56:F61" si="1">E56/$E$79*$F$79</f>
        <v>361.79304769603885</v>
      </c>
      <c r="G56" s="30">
        <f t="shared" ref="G56:G61" si="2">(B56*C56)*$B$1+D56*$B$1+F56*$B$1</f>
        <v>476.2075666936135</v>
      </c>
      <c r="H56" s="72"/>
      <c r="I56" s="34">
        <f t="shared" ref="I56:I61" si="3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si="0"/>
        <v>108</v>
      </c>
      <c r="E57" s="3">
        <f>0.2*1.3</f>
        <v>0.26</v>
      </c>
      <c r="F57" s="30">
        <f t="shared" si="1"/>
        <v>482.3907302613851</v>
      </c>
      <c r="G57" s="30">
        <f t="shared" si="2"/>
        <v>584.63675559148476</v>
      </c>
      <c r="H57" s="72"/>
      <c r="I57" s="34">
        <f t="shared" si="3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0"/>
        <v>88</v>
      </c>
      <c r="E58" s="3">
        <f>0.24*1.3</f>
        <v>0.312</v>
      </c>
      <c r="F58" s="30">
        <f t="shared" si="1"/>
        <v>578.8688763136621</v>
      </c>
      <c r="G58" s="30">
        <f t="shared" si="2"/>
        <v>541.40410670978167</v>
      </c>
      <c r="H58" s="72"/>
      <c r="I58" s="34">
        <f t="shared" si="3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0"/>
        <v>142.70000000000002</v>
      </c>
      <c r="E59" s="3">
        <f>0.26*1.3</f>
        <v>0.33800000000000002</v>
      </c>
      <c r="F59" s="30">
        <f t="shared" si="1"/>
        <v>627.10794933980071</v>
      </c>
      <c r="G59" s="30">
        <f t="shared" si="2"/>
        <v>768.88278226893021</v>
      </c>
      <c r="H59" s="72"/>
      <c r="I59" s="34">
        <f t="shared" si="3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0"/>
        <v>70.900000000000006</v>
      </c>
      <c r="E60" s="3">
        <f>0.14*1.3</f>
        <v>0.18200000000000002</v>
      </c>
      <c r="F60" s="30">
        <f t="shared" si="1"/>
        <v>337.67351118296961</v>
      </c>
      <c r="G60" s="30">
        <f t="shared" si="2"/>
        <v>391.15072891403935</v>
      </c>
      <c r="H60" s="72"/>
      <c r="I60" s="34">
        <f t="shared" si="3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 t="shared" si="0"/>
        <v>214</v>
      </c>
      <c r="E61" s="26">
        <f>0.2*1.3*2</f>
        <v>0.52</v>
      </c>
      <c r="F61" s="30">
        <f t="shared" si="1"/>
        <v>964.7814605227702</v>
      </c>
      <c r="G61" s="30">
        <f t="shared" si="2"/>
        <v>1161.5735111829695</v>
      </c>
      <c r="H61" s="72"/>
      <c r="I61" s="34">
        <f t="shared" si="3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2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>(B63*C63)*$B$1+D63*$B$1+F63*$B$1</f>
        <v>476.2075666936135</v>
      </c>
      <c r="H63" s="72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2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>B65*C65*0.1</f>
        <v>107</v>
      </c>
      <c r="E65" s="3">
        <f>0.2*1.3</f>
        <v>0.26</v>
      </c>
      <c r="F65" s="30">
        <f>E65/$E$79*$F$79</f>
        <v>482.3907302613851</v>
      </c>
      <c r="G65" s="30">
        <f>(B65*C65)*$B$1+D65*$B$1+F65*$B$1</f>
        <v>580.78675559148473</v>
      </c>
      <c r="H65" s="72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2"/>
      <c r="I66" s="42">
        <f>SUM(I67:I69)</f>
        <v>-1757.3189423336025</v>
      </c>
      <c r="J66" s="38">
        <f>1564+144+49</f>
        <v>1757</v>
      </c>
      <c r="K66" s="38">
        <f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>B67*C67*0.1</f>
        <v>110.30000000000001</v>
      </c>
      <c r="E67" s="3">
        <f>0.24*1.3</f>
        <v>0.312</v>
      </c>
      <c r="F67" s="30">
        <f>E67/$E$79*$F$79</f>
        <v>578.8688763136621</v>
      </c>
      <c r="G67" s="30">
        <f>(B67*C67)*$B$1+D67*$B$1+F67*$B$1</f>
        <v>627.25910670978169</v>
      </c>
      <c r="H67" s="72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>B68*C68*0.1</f>
        <v>129</v>
      </c>
      <c r="E68" s="3">
        <f>0.24*1.3</f>
        <v>0.312</v>
      </c>
      <c r="F68" s="30">
        <f>E68/$E$79*$F$79</f>
        <v>578.8688763136621</v>
      </c>
      <c r="G68" s="30">
        <f>(B68*C68)*$B$1+D68*$B$1+F68*$B$1</f>
        <v>699.25410670978158</v>
      </c>
      <c r="H68" s="72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>B69*C69*0.1</f>
        <v>81.2</v>
      </c>
      <c r="E69" s="3">
        <f>0.14*1.3</f>
        <v>0.18200000000000002</v>
      </c>
      <c r="F69" s="30">
        <f>E69/$E$79*$F$79</f>
        <v>337.67351118296961</v>
      </c>
      <c r="G69" s="30">
        <f>(B69*C69)*$B$1+D69*$B$1+F69*$B$1</f>
        <v>430.80572891403938</v>
      </c>
      <c r="H69" s="72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2"/>
      <c r="I70" s="42">
        <f>SUM(I71:I73)</f>
        <v>-1608.9249690110482</v>
      </c>
      <c r="J70" s="38">
        <v>1564</v>
      </c>
      <c r="K70" s="38">
        <f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>B71*C71*0.1</f>
        <v>110.30000000000001</v>
      </c>
      <c r="E71" s="3">
        <f>0.24*1.3</f>
        <v>0.312</v>
      </c>
      <c r="F71" s="30">
        <f>E71/$E$79*$F$79</f>
        <v>578.8688763136621</v>
      </c>
      <c r="G71" s="30">
        <f>(B71*C71)*$B$1+D71*$B$1+F71*$B$1</f>
        <v>627.25910670978169</v>
      </c>
      <c r="H71" s="72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>B72*C72*0.1</f>
        <v>64.5</v>
      </c>
      <c r="E72" s="3">
        <f>0.2*1.3</f>
        <v>0.26</v>
      </c>
      <c r="F72" s="30">
        <f>E72/$E$79*$F$79</f>
        <v>482.3907302613851</v>
      </c>
      <c r="G72" s="30">
        <f>(B72*C72)*$B$1+D72*$B$1+F72*$B$1</f>
        <v>417.16175559148473</v>
      </c>
      <c r="H72" s="72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>B73*C73*0.1</f>
        <v>94</v>
      </c>
      <c r="E73" s="3">
        <f>0.24*1.3</f>
        <v>0.312</v>
      </c>
      <c r="F73" s="30">
        <f>E73/$E$79*$F$79</f>
        <v>578.8688763136621</v>
      </c>
      <c r="G73" s="30">
        <f>(B73*C73)*$B$1+D73*$B$1+F73*$B$1</f>
        <v>564.50410670978169</v>
      </c>
      <c r="H73" s="72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2"/>
      <c r="I74" s="42">
        <f>SUM(I75:I76)</f>
        <v>-555.64429668552953</v>
      </c>
      <c r="J74" s="38">
        <f>540+16</f>
        <v>556</v>
      </c>
      <c r="K74" s="38">
        <f>J74+I74</f>
        <v>0.35570331447047465</v>
      </c>
      <c r="L74" s="78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>(B75*C75)*$B$1+D75*$B$1+F75*$B$1</f>
        <v>295.14010778765834</v>
      </c>
      <c r="H75" s="72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>B76*C76*0.1</f>
        <v>56.7</v>
      </c>
      <c r="E76" s="3">
        <f>0.05*1.3</f>
        <v>6.5000000000000002E-2</v>
      </c>
      <c r="F76" s="30">
        <f>E76/$E$79*$F$79</f>
        <v>120.59768256534628</v>
      </c>
      <c r="G76" s="30">
        <f>(B76*C76)*$B$1+D76*$B$1+F76*$B$1</f>
        <v>260.50418889787119</v>
      </c>
      <c r="H76" s="72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2"/>
      <c r="I77" s="42"/>
      <c r="J77" s="38"/>
      <c r="K77" s="38"/>
    </row>
    <row r="78" spans="1:12" x14ac:dyDescent="0.25">
      <c r="A78" s="4"/>
      <c r="B78" s="5"/>
      <c r="C78" s="5"/>
      <c r="D78" s="5">
        <f>B78*C78*0.1</f>
        <v>0</v>
      </c>
      <c r="E78" s="5">
        <v>2.2799999999999998</v>
      </c>
      <c r="F78" s="30">
        <f>E78/$E$79*$F$79</f>
        <v>4230.1956345998378</v>
      </c>
      <c r="G78" s="30">
        <f>(B78*C78)*$B$1+D78*$B$1+F78*$B$1</f>
        <v>1480.5684721099431</v>
      </c>
      <c r="H78" s="72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2"/>
      <c r="I79" s="28"/>
      <c r="J79" s="28"/>
      <c r="K79" s="28"/>
    </row>
    <row r="81" spans="1:5" ht="53.25" customHeight="1" x14ac:dyDescent="0.25">
      <c r="A81" s="199" t="s">
        <v>64</v>
      </c>
      <c r="B81" s="200"/>
      <c r="C81" s="200"/>
      <c r="D81" s="200"/>
      <c r="E81" s="200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89" t="s">
        <v>177</v>
      </c>
      <c r="B4" s="9"/>
      <c r="C4" s="9"/>
      <c r="D4" s="10"/>
      <c r="E4" s="10"/>
      <c r="F4" s="10"/>
      <c r="G4" s="10"/>
      <c r="H4" s="72"/>
      <c r="I4" s="42">
        <f>SUM(I5:I6)</f>
        <v>-3025.913114931469</v>
      </c>
      <c r="J4" s="38">
        <f>3000+26</f>
        <v>3026</v>
      </c>
      <c r="K4" s="38">
        <f>J4+I4</f>
        <v>8.6885068531046272E-2</v>
      </c>
    </row>
    <row r="5" spans="1:12" x14ac:dyDescent="0.25">
      <c r="A5" s="90" t="s">
        <v>178</v>
      </c>
      <c r="B5" s="82">
        <v>1</v>
      </c>
      <c r="C5" s="82">
        <v>1700</v>
      </c>
      <c r="D5" s="80">
        <f>B5*C5*0.1</f>
        <v>170</v>
      </c>
      <c r="E5" s="82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2"/>
      <c r="I5" s="34">
        <f>H5-G5</f>
        <v>-979.27066315693924</v>
      </c>
      <c r="J5" s="39"/>
      <c r="K5" s="40"/>
    </row>
    <row r="6" spans="1:12" x14ac:dyDescent="0.25">
      <c r="A6" s="90" t="s">
        <v>179</v>
      </c>
      <c r="B6" s="82">
        <v>1</v>
      </c>
      <c r="C6" s="82">
        <v>3265</v>
      </c>
      <c r="D6" s="80">
        <f>B6*C6*0.1</f>
        <v>326.5</v>
      </c>
      <c r="E6" s="82">
        <f>1*1.15</f>
        <v>1.1499999999999999</v>
      </c>
      <c r="F6" s="30">
        <f>E6/$E$41*$F$41</f>
        <v>2118.9979123173275</v>
      </c>
      <c r="G6" s="30">
        <f>(B6*C6)*$B$1+D6*$B$1+F6*$B$1</f>
        <v>2046.6424517745299</v>
      </c>
      <c r="H6" s="72"/>
      <c r="I6" s="34">
        <f>H6-G6</f>
        <v>-2046.6424517745299</v>
      </c>
      <c r="J6" s="39"/>
      <c r="K6" s="40"/>
    </row>
    <row r="7" spans="1:12" x14ac:dyDescent="0.25">
      <c r="A7" s="87" t="s">
        <v>180</v>
      </c>
      <c r="B7" s="83"/>
      <c r="C7" s="83"/>
      <c r="D7" s="84"/>
      <c r="E7" s="83"/>
      <c r="F7" s="10"/>
      <c r="G7" s="10"/>
      <c r="H7" s="72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0" t="s">
        <v>159</v>
      </c>
      <c r="B8" s="82">
        <v>1</v>
      </c>
      <c r="C8" s="82">
        <v>664</v>
      </c>
      <c r="D8" s="81">
        <f>B8*C8*0.1</f>
        <v>66.400000000000006</v>
      </c>
      <c r="E8" s="82">
        <f>0.2*1.3</f>
        <v>0.26</v>
      </c>
      <c r="F8" s="30">
        <f>E8/$E$41*$F$41</f>
        <v>479.07778887174373</v>
      </c>
      <c r="G8" s="30">
        <f>(B8*C8)*$B$1+D8*$B$1+F8*$B$1</f>
        <v>433.47683953163289</v>
      </c>
      <c r="H8" s="72"/>
      <c r="I8" s="34">
        <f>H8-G8</f>
        <v>-433.47683953163289</v>
      </c>
      <c r="J8" s="39"/>
      <c r="K8" s="40"/>
    </row>
    <row r="9" spans="1:12" x14ac:dyDescent="0.25">
      <c r="A9" s="87" t="s">
        <v>70</v>
      </c>
      <c r="B9" s="83"/>
      <c r="C9" s="83"/>
      <c r="D9" s="84"/>
      <c r="E9" s="83"/>
      <c r="F9" s="10"/>
      <c r="G9" s="10"/>
      <c r="H9" s="72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0" t="s">
        <v>181</v>
      </c>
      <c r="B10" s="82">
        <v>1</v>
      </c>
      <c r="C10" s="82">
        <v>935</v>
      </c>
      <c r="D10" s="81">
        <f>B10*C10*0.1</f>
        <v>93.5</v>
      </c>
      <c r="E10" s="82">
        <f>0.15*1.3</f>
        <v>0.19500000000000001</v>
      </c>
      <c r="F10" s="30">
        <f t="shared" ref="F10:F20" si="0">E10/$E$41*$F$41</f>
        <v>359.30834165380782</v>
      </c>
      <c r="G10" s="30">
        <f>(B10*C10)*$B$1+D10*$B$1+F10*$B$1</f>
        <v>497.39050964872467</v>
      </c>
      <c r="H10" s="72"/>
      <c r="I10" s="34">
        <f t="shared" ref="I10:I20" si="1">H10-G10</f>
        <v>-497.39050964872467</v>
      </c>
      <c r="J10" s="39"/>
      <c r="K10" s="40"/>
    </row>
    <row r="11" spans="1:12" ht="26.25" x14ac:dyDescent="0.25">
      <c r="A11" s="90" t="s">
        <v>182</v>
      </c>
      <c r="B11" s="82">
        <v>1</v>
      </c>
      <c r="C11" s="82">
        <v>1157</v>
      </c>
      <c r="D11" s="81">
        <f>B11*C11*0.1</f>
        <v>115.7</v>
      </c>
      <c r="E11" s="82">
        <f>0.3*1.3</f>
        <v>0.39</v>
      </c>
      <c r="F11" s="30">
        <f t="shared" si="0"/>
        <v>718.61668330761563</v>
      </c>
      <c r="G11" s="30">
        <f>(B11*C11)*$B$1+D11*$B$1+F11*$B$1</f>
        <v>713.68789929744935</v>
      </c>
      <c r="H11" s="72"/>
      <c r="I11" s="34">
        <f t="shared" si="1"/>
        <v>-713.68789929744935</v>
      </c>
      <c r="J11" s="39"/>
      <c r="K11" s="40"/>
    </row>
    <row r="12" spans="1:12" ht="26.25" x14ac:dyDescent="0.25">
      <c r="A12" s="90" t="s">
        <v>183</v>
      </c>
      <c r="B12" s="85">
        <v>2</v>
      </c>
      <c r="C12" s="82">
        <v>1385</v>
      </c>
      <c r="D12" s="81">
        <f>C12*0.1</f>
        <v>138.5</v>
      </c>
      <c r="E12" s="82">
        <f>0.1*1.3</f>
        <v>0.13</v>
      </c>
      <c r="F12" s="30">
        <f t="shared" si="0"/>
        <v>239.53889443587187</v>
      </c>
      <c r="G12" s="30">
        <f>(B12*C12)*$B$1+D12*$B$1*B12+F12*$B$1*B12</f>
        <v>1263.746279531633</v>
      </c>
      <c r="H12" s="72"/>
      <c r="I12" s="34">
        <f t="shared" si="1"/>
        <v>-1263.746279531633</v>
      </c>
      <c r="J12" s="39"/>
      <c r="K12" s="40"/>
    </row>
    <row r="13" spans="1:12" ht="26.25" x14ac:dyDescent="0.25">
      <c r="A13" s="90" t="s">
        <v>184</v>
      </c>
      <c r="B13" s="82">
        <v>1</v>
      </c>
      <c r="C13" s="82">
        <v>1276</v>
      </c>
      <c r="D13" s="81">
        <f>B13*C13*0.1</f>
        <v>127.60000000000001</v>
      </c>
      <c r="E13" s="82">
        <f>0.15*1.3</f>
        <v>0.19500000000000001</v>
      </c>
      <c r="F13" s="30">
        <f t="shared" si="0"/>
        <v>359.30834165380782</v>
      </c>
      <c r="G13" s="30">
        <f t="shared" ref="G13:G20" si="2">(B13*C13)*$B$1+D13*$B$1+F13*$B$1</f>
        <v>631.82634964872477</v>
      </c>
      <c r="H13" s="72"/>
      <c r="I13" s="34">
        <f t="shared" si="1"/>
        <v>-631.82634964872477</v>
      </c>
      <c r="J13" s="39"/>
      <c r="K13" s="40"/>
    </row>
    <row r="14" spans="1:12" ht="26.25" x14ac:dyDescent="0.25">
      <c r="A14" s="90" t="s">
        <v>185</v>
      </c>
      <c r="B14" s="82">
        <v>1</v>
      </c>
      <c r="C14" s="82">
        <v>975</v>
      </c>
      <c r="D14" s="81">
        <f>C14*0.1</f>
        <v>97.5</v>
      </c>
      <c r="E14" s="82">
        <f>0.3*1.3</f>
        <v>0.39</v>
      </c>
      <c r="F14" s="30">
        <f t="shared" si="0"/>
        <v>718.61668330761563</v>
      </c>
      <c r="G14" s="30">
        <f t="shared" si="2"/>
        <v>641.9362192974495</v>
      </c>
      <c r="H14" s="72"/>
      <c r="I14" s="34">
        <f t="shared" si="1"/>
        <v>-641.9362192974495</v>
      </c>
      <c r="J14" s="39"/>
      <c r="K14" s="40"/>
    </row>
    <row r="15" spans="1:12" ht="39" x14ac:dyDescent="0.25">
      <c r="A15" s="90" t="s">
        <v>186</v>
      </c>
      <c r="B15" s="82">
        <v>1</v>
      </c>
      <c r="C15" s="82">
        <v>835</v>
      </c>
      <c r="D15" s="81">
        <f>B15*C15*0.1</f>
        <v>83.5</v>
      </c>
      <c r="E15" s="82">
        <f>0.14*1.3</f>
        <v>0.18200000000000002</v>
      </c>
      <c r="F15" s="30">
        <f t="shared" si="0"/>
        <v>335.35445221022064</v>
      </c>
      <c r="G15" s="30">
        <f t="shared" si="2"/>
        <v>449.38143567214308</v>
      </c>
      <c r="H15" s="72"/>
      <c r="I15" s="34">
        <f t="shared" si="1"/>
        <v>-449.38143567214308</v>
      </c>
      <c r="J15" s="39"/>
      <c r="K15" s="40"/>
    </row>
    <row r="16" spans="1:12" ht="26.25" x14ac:dyDescent="0.25">
      <c r="A16" s="90" t="s">
        <v>187</v>
      </c>
      <c r="B16" s="82">
        <v>1</v>
      </c>
      <c r="C16" s="82">
        <v>672</v>
      </c>
      <c r="D16" s="81">
        <f>C16*0.1</f>
        <v>67.2</v>
      </c>
      <c r="E16" s="82">
        <f>0.2*1.3</f>
        <v>0.26</v>
      </c>
      <c r="F16" s="30">
        <f t="shared" si="0"/>
        <v>479.07778887174373</v>
      </c>
      <c r="G16" s="30">
        <f t="shared" si="2"/>
        <v>436.63075953163298</v>
      </c>
      <c r="H16" s="72"/>
      <c r="I16" s="34">
        <f t="shared" si="1"/>
        <v>-436.63075953163298</v>
      </c>
      <c r="J16" s="39"/>
      <c r="K16" s="40"/>
    </row>
    <row r="17" spans="1:11" ht="26.25" x14ac:dyDescent="0.25">
      <c r="A17" s="90" t="s">
        <v>188</v>
      </c>
      <c r="B17" s="82">
        <v>1</v>
      </c>
      <c r="C17" s="82">
        <v>670</v>
      </c>
      <c r="D17" s="81">
        <f>B17*C17*0.1</f>
        <v>67</v>
      </c>
      <c r="E17" s="82">
        <f>0.2*1.3</f>
        <v>0.26</v>
      </c>
      <c r="F17" s="30">
        <f t="shared" si="0"/>
        <v>479.07778887174373</v>
      </c>
      <c r="G17" s="30">
        <f t="shared" si="2"/>
        <v>435.84227953163293</v>
      </c>
      <c r="H17" s="72"/>
      <c r="I17" s="34">
        <f t="shared" si="1"/>
        <v>-435.84227953163293</v>
      </c>
      <c r="J17" s="39"/>
      <c r="K17" s="40"/>
    </row>
    <row r="18" spans="1:11" ht="39" x14ac:dyDescent="0.25">
      <c r="A18" s="90" t="s">
        <v>189</v>
      </c>
      <c r="B18" s="82">
        <v>1</v>
      </c>
      <c r="C18" s="82">
        <v>1290</v>
      </c>
      <c r="D18" s="81">
        <f>C18*0.1</f>
        <v>129</v>
      </c>
      <c r="E18" s="82">
        <f>0.15*1.3</f>
        <v>0.19500000000000001</v>
      </c>
      <c r="F18" s="30">
        <f t="shared" si="0"/>
        <v>359.30834165380782</v>
      </c>
      <c r="G18" s="30">
        <f t="shared" si="2"/>
        <v>637.34570964872478</v>
      </c>
      <c r="H18" s="72"/>
      <c r="I18" s="34">
        <f t="shared" si="1"/>
        <v>-637.34570964872478</v>
      </c>
      <c r="J18" s="39"/>
      <c r="K18" s="40"/>
    </row>
    <row r="19" spans="1:11" ht="26.25" x14ac:dyDescent="0.25">
      <c r="A19" s="90" t="s">
        <v>190</v>
      </c>
      <c r="B19" s="82">
        <v>1</v>
      </c>
      <c r="C19" s="82">
        <v>1303</v>
      </c>
      <c r="D19" s="81">
        <f>B19*C19*0.1</f>
        <v>130.30000000000001</v>
      </c>
      <c r="E19" s="82">
        <f>0.15*1.3</f>
        <v>0.19500000000000001</v>
      </c>
      <c r="F19" s="30">
        <f t="shared" si="0"/>
        <v>359.30834165380782</v>
      </c>
      <c r="G19" s="30">
        <f t="shared" si="2"/>
        <v>642.4708296487247</v>
      </c>
      <c r="H19" s="72"/>
      <c r="I19" s="34">
        <f t="shared" si="1"/>
        <v>-642.4708296487247</v>
      </c>
      <c r="J19" s="39"/>
      <c r="K19" s="40"/>
    </row>
    <row r="20" spans="1:11" ht="26.25" x14ac:dyDescent="0.25">
      <c r="A20" s="90" t="s">
        <v>191</v>
      </c>
      <c r="B20" s="82">
        <v>1</v>
      </c>
      <c r="C20" s="82">
        <v>1290</v>
      </c>
      <c r="D20" s="81">
        <f>B20*C20*0.1</f>
        <v>129</v>
      </c>
      <c r="E20" s="82">
        <f>0.15*1.3</f>
        <v>0.19500000000000001</v>
      </c>
      <c r="F20" s="30">
        <f t="shared" si="0"/>
        <v>359.30834165380782</v>
      </c>
      <c r="G20" s="30">
        <f t="shared" si="2"/>
        <v>637.34570964872478</v>
      </c>
      <c r="H20" s="72"/>
      <c r="I20" s="34">
        <f t="shared" si="1"/>
        <v>-637.34570964872478</v>
      </c>
      <c r="J20" s="39"/>
      <c r="K20" s="40"/>
    </row>
    <row r="21" spans="1:11" x14ac:dyDescent="0.25">
      <c r="A21" s="87" t="s">
        <v>192</v>
      </c>
      <c r="B21" s="83"/>
      <c r="C21" s="83"/>
      <c r="D21" s="84"/>
      <c r="E21" s="83"/>
      <c r="F21" s="10"/>
      <c r="G21" s="10"/>
      <c r="H21" s="72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0" t="s">
        <v>193</v>
      </c>
      <c r="B22" s="82">
        <v>1</v>
      </c>
      <c r="C22" s="82">
        <v>2344</v>
      </c>
      <c r="D22" s="81">
        <f>B22*C22*0.1</f>
        <v>234.4</v>
      </c>
      <c r="E22" s="82">
        <f>0.98*1.3</f>
        <v>1.274</v>
      </c>
      <c r="F22" s="30">
        <f>E22/$E$41*$F$41</f>
        <v>2347.481165471544</v>
      </c>
      <c r="G22" s="30">
        <f>(B22*C22)*$B$1+D22*$B$1+F22*$B$1</f>
        <v>1765.4358097050012</v>
      </c>
      <c r="H22" s="72"/>
      <c r="I22" s="34">
        <f>H22-G22</f>
        <v>-1765.4358097050012</v>
      </c>
      <c r="J22" s="39"/>
      <c r="K22" s="40"/>
    </row>
    <row r="23" spans="1:11" ht="26.25" x14ac:dyDescent="0.25">
      <c r="A23" s="90" t="s">
        <v>194</v>
      </c>
      <c r="B23" s="82">
        <v>1</v>
      </c>
      <c r="C23" s="82">
        <v>1659</v>
      </c>
      <c r="D23" s="81">
        <f>B23*C23*0.1</f>
        <v>165.9</v>
      </c>
      <c r="E23" s="82">
        <f>0.72*1.3</f>
        <v>0.93599999999999994</v>
      </c>
      <c r="F23" s="30">
        <f>E23/$E$41*$F$41</f>
        <v>1724.6800399382773</v>
      </c>
      <c r="G23" s="30">
        <f>(B23*C23)*$B$1+D23*$B$1+F23*$B$1</f>
        <v>1272.1694863138787</v>
      </c>
      <c r="H23" s="72"/>
      <c r="I23" s="34">
        <f>H23-G23</f>
        <v>-1272.1694863138787</v>
      </c>
      <c r="J23" s="39"/>
      <c r="K23" s="40"/>
    </row>
    <row r="24" spans="1:11" x14ac:dyDescent="0.25">
      <c r="A24" s="87" t="s">
        <v>146</v>
      </c>
      <c r="B24" s="83"/>
      <c r="C24" s="83"/>
      <c r="D24" s="84"/>
      <c r="E24" s="83"/>
      <c r="F24" s="10"/>
      <c r="G24" s="10"/>
      <c r="H24" s="72"/>
      <c r="I24" s="42">
        <f>SUM(I25:I26)</f>
        <v>-2678.6613133303081</v>
      </c>
      <c r="J24" s="38">
        <f>2616+63</f>
        <v>2679</v>
      </c>
      <c r="K24" s="38">
        <f>J24+I24</f>
        <v>0.33868666969192418</v>
      </c>
    </row>
    <row r="25" spans="1:11" ht="51.75" x14ac:dyDescent="0.25">
      <c r="A25" s="90" t="s">
        <v>207</v>
      </c>
      <c r="B25" s="82">
        <v>1</v>
      </c>
      <c r="C25" s="82">
        <v>2411</v>
      </c>
      <c r="D25" s="81">
        <f>B25*C25*0.1</f>
        <v>241.10000000000002</v>
      </c>
      <c r="E25" s="82">
        <f>0.6*1.3</f>
        <v>0.78</v>
      </c>
      <c r="F25" s="30">
        <f>E25/$E$41*$F$41</f>
        <v>1437.2333666152313</v>
      </c>
      <c r="G25" s="30">
        <f>(B25*C25)*$B$1+D25*$B$1+F25*$B$1</f>
        <v>1465.6170785948989</v>
      </c>
      <c r="H25" s="72"/>
      <c r="I25" s="34">
        <f>H25-G25</f>
        <v>-1465.6170785948989</v>
      </c>
      <c r="J25" s="39"/>
      <c r="K25" s="40"/>
    </row>
    <row r="26" spans="1:11" ht="26.25" x14ac:dyDescent="0.25">
      <c r="A26" s="90" t="s">
        <v>195</v>
      </c>
      <c r="B26" s="82">
        <v>1</v>
      </c>
      <c r="C26" s="82">
        <v>1901</v>
      </c>
      <c r="D26" s="80">
        <f>B26*C26*0.1</f>
        <v>190.10000000000002</v>
      </c>
      <c r="E26" s="82">
        <f>0.24*1.3+0.3*1.3</f>
        <v>0.70199999999999996</v>
      </c>
      <c r="F26" s="30">
        <f>E26/$E$41*$F$41</f>
        <v>1293.510029953708</v>
      </c>
      <c r="G26" s="30">
        <f>(B26*C26)*$B$1+D26*$B$1+F26*$B$1</f>
        <v>1213.044234735409</v>
      </c>
      <c r="H26" s="72"/>
      <c r="I26" s="34">
        <f>H26-G26</f>
        <v>-1213.044234735409</v>
      </c>
      <c r="J26" s="39"/>
      <c r="K26" s="40"/>
    </row>
    <row r="27" spans="1:11" x14ac:dyDescent="0.25">
      <c r="A27" s="87" t="s">
        <v>196</v>
      </c>
      <c r="B27" s="83"/>
      <c r="C27" s="83"/>
      <c r="D27" s="84"/>
      <c r="E27" s="83"/>
      <c r="F27" s="10"/>
      <c r="G27" s="10"/>
      <c r="H27" s="72"/>
      <c r="I27" s="42">
        <f>SUM(I28:I30)</f>
        <v>-1544.0240484778069</v>
      </c>
      <c r="J27" s="38">
        <f>1508+36</f>
        <v>1544</v>
      </c>
      <c r="K27" s="38">
        <f>J27+I27</f>
        <v>-2.4048477806900337E-2</v>
      </c>
    </row>
    <row r="28" spans="1:11" x14ac:dyDescent="0.25">
      <c r="A28" s="90" t="s">
        <v>197</v>
      </c>
      <c r="B28" s="82">
        <v>1</v>
      </c>
      <c r="C28" s="82">
        <v>670</v>
      </c>
      <c r="D28" s="81">
        <f>B28*C28*0.1</f>
        <v>67</v>
      </c>
      <c r="E28" s="82">
        <f>0.2*1.3</f>
        <v>0.26</v>
      </c>
      <c r="F28" s="30">
        <f>E28/$E$41*$F$41</f>
        <v>479.07778887174373</v>
      </c>
      <c r="G28" s="30">
        <f>(B28*C28)*$B$1+D28*$B$1+F28*$B$1</f>
        <v>435.84227953163293</v>
      </c>
      <c r="H28" s="72"/>
      <c r="I28" s="34">
        <f>H28-G28</f>
        <v>-435.84227953163293</v>
      </c>
      <c r="J28" s="39"/>
      <c r="K28" s="40"/>
    </row>
    <row r="29" spans="1:11" x14ac:dyDescent="0.25">
      <c r="A29" s="90" t="s">
        <v>198</v>
      </c>
      <c r="B29" s="82">
        <v>1</v>
      </c>
      <c r="C29" s="82">
        <v>685</v>
      </c>
      <c r="D29" s="80">
        <f>B29*C29*0.1</f>
        <v>68.5</v>
      </c>
      <c r="E29" s="82">
        <f>0.2*1.3</f>
        <v>0.26</v>
      </c>
      <c r="F29" s="30">
        <f>E29/$E$41*$F$41</f>
        <v>479.07778887174373</v>
      </c>
      <c r="G29" s="30">
        <f>(B29*C29)*$B$1+D29*$B$1+F29*$B$1</f>
        <v>441.7558795316329</v>
      </c>
      <c r="H29" s="72"/>
      <c r="I29" s="34">
        <f>H29-G29</f>
        <v>-441.7558795316329</v>
      </c>
      <c r="J29" s="39"/>
      <c r="K29" s="40"/>
    </row>
    <row r="30" spans="1:11" ht="26.25" x14ac:dyDescent="0.25">
      <c r="A30" s="90" t="s">
        <v>199</v>
      </c>
      <c r="B30" s="82">
        <v>1</v>
      </c>
      <c r="C30" s="82">
        <v>1146</v>
      </c>
      <c r="D30" s="80">
        <f>B30*C30*0.1</f>
        <v>114.60000000000001</v>
      </c>
      <c r="E30" s="82">
        <f>0.25*1.3</f>
        <v>0.32500000000000001</v>
      </c>
      <c r="F30" s="30">
        <f>E30/$E$41*$F$41</f>
        <v>598.84723608967965</v>
      </c>
      <c r="G30" s="30">
        <f>(B30*C30)*$B$1+D30*$B$1+F30*$B$1</f>
        <v>666.42588941454119</v>
      </c>
      <c r="H30" s="72"/>
      <c r="I30" s="34">
        <f>H30-G30</f>
        <v>-666.42588941454119</v>
      </c>
      <c r="J30" s="39"/>
      <c r="K30" s="40"/>
    </row>
    <row r="31" spans="1:11" x14ac:dyDescent="0.25">
      <c r="A31" s="87" t="s">
        <v>114</v>
      </c>
      <c r="B31" s="83"/>
      <c r="C31" s="83"/>
      <c r="D31" s="84"/>
      <c r="E31" s="83"/>
      <c r="F31" s="10"/>
      <c r="G31" s="10"/>
      <c r="H31" s="72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0" t="s">
        <v>200</v>
      </c>
      <c r="B32" s="82">
        <v>1</v>
      </c>
      <c r="C32" s="82">
        <v>1601</v>
      </c>
      <c r="D32" s="81">
        <f>B32*C32*0.1</f>
        <v>160.10000000000002</v>
      </c>
      <c r="E32" s="82">
        <f>0.6*1.3</f>
        <v>0.78</v>
      </c>
      <c r="F32" s="30">
        <f>E32/$E$41*$F$41</f>
        <v>1437.2333666152313</v>
      </c>
      <c r="G32" s="30">
        <f>(B32*C32)*$B$1+D32*$B$1+F32*$B$1</f>
        <v>1146.2826785948989</v>
      </c>
      <c r="H32" s="72"/>
      <c r="I32" s="34">
        <f>H32-G32</f>
        <v>-1146.2826785948989</v>
      </c>
      <c r="J32" s="39"/>
      <c r="K32" s="40"/>
    </row>
    <row r="33" spans="1:11" x14ac:dyDescent="0.25">
      <c r="A33" s="87" t="s">
        <v>201</v>
      </c>
      <c r="B33" s="83"/>
      <c r="C33" s="83"/>
      <c r="D33" s="84"/>
      <c r="E33" s="83"/>
      <c r="F33" s="10"/>
      <c r="G33" s="10"/>
      <c r="H33" s="72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0" t="s">
        <v>202</v>
      </c>
      <c r="B34" s="82">
        <v>1</v>
      </c>
      <c r="C34" s="82">
        <v>1112</v>
      </c>
      <c r="D34" s="81">
        <f>B34*C34*0.1</f>
        <v>111.2</v>
      </c>
      <c r="E34" s="82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2"/>
      <c r="I34" s="34">
        <f>H34-G34</f>
        <v>-610.09635953163297</v>
      </c>
      <c r="J34" s="39"/>
      <c r="K34" s="40"/>
    </row>
    <row r="35" spans="1:11" x14ac:dyDescent="0.25">
      <c r="A35" s="90" t="s">
        <v>203</v>
      </c>
      <c r="B35" s="82">
        <v>1</v>
      </c>
      <c r="C35" s="82">
        <v>1101</v>
      </c>
      <c r="D35" s="80">
        <f>B35*C35*0.1</f>
        <v>110.10000000000001</v>
      </c>
      <c r="E35" s="82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2"/>
      <c r="I35" s="34">
        <f>H35-G35</f>
        <v>-605.75971953163287</v>
      </c>
      <c r="J35" s="39"/>
      <c r="K35" s="40"/>
    </row>
    <row r="36" spans="1:11" x14ac:dyDescent="0.25">
      <c r="A36" s="87" t="s">
        <v>143</v>
      </c>
      <c r="B36" s="83"/>
      <c r="C36" s="83"/>
      <c r="D36" s="84"/>
      <c r="E36" s="83"/>
      <c r="F36" s="10"/>
      <c r="G36" s="10"/>
      <c r="H36" s="72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0" t="s">
        <v>204</v>
      </c>
      <c r="B37" s="82">
        <v>1</v>
      </c>
      <c r="C37" s="82">
        <v>935</v>
      </c>
      <c r="D37" s="81">
        <f>B37*C37*0.1</f>
        <v>93.5</v>
      </c>
      <c r="E37" s="82">
        <f>0.15*1.3</f>
        <v>0.19500000000000001</v>
      </c>
      <c r="F37" s="30">
        <f>E37/$E$41*$F$41</f>
        <v>359.30834165380782</v>
      </c>
      <c r="G37" s="30">
        <f>(B37*C37)*$B$1+D37*$B$1+F37*$B$1</f>
        <v>497.39050964872467</v>
      </c>
      <c r="H37" s="72"/>
      <c r="I37" s="34">
        <f>H37-G37</f>
        <v>-497.39050964872467</v>
      </c>
      <c r="J37" s="39"/>
      <c r="K37" s="40"/>
    </row>
    <row r="38" spans="1:11" x14ac:dyDescent="0.25">
      <c r="A38" s="90" t="s">
        <v>205</v>
      </c>
      <c r="B38" s="82">
        <v>1</v>
      </c>
      <c r="C38" s="82">
        <v>1385</v>
      </c>
      <c r="D38" s="81">
        <f>B38*C38*0.1</f>
        <v>138.5</v>
      </c>
      <c r="E38" s="82">
        <f>0.1*1.3</f>
        <v>0.13</v>
      </c>
      <c r="F38" s="30">
        <f>E38/$E$41*$F$41</f>
        <v>239.53889443587187</v>
      </c>
      <c r="G38" s="30">
        <f>(B38*C38)*$B$1+D38*$B$1+F38*$B$1</f>
        <v>631.87313976581652</v>
      </c>
      <c r="H38" s="72"/>
      <c r="I38" s="34">
        <f>H38-G38</f>
        <v>-631.87313976581652</v>
      </c>
      <c r="J38" s="39"/>
      <c r="K38" s="40"/>
    </row>
    <row r="39" spans="1:11" x14ac:dyDescent="0.25">
      <c r="A39" s="88" t="s">
        <v>30</v>
      </c>
      <c r="B39" s="86"/>
      <c r="C39" s="86"/>
      <c r="D39" s="84"/>
      <c r="E39" s="84"/>
      <c r="F39" s="10"/>
      <c r="G39" s="10"/>
      <c r="H39" s="72"/>
      <c r="I39" s="42"/>
      <c r="J39" s="38"/>
      <c r="K39" s="38"/>
    </row>
    <row r="40" spans="1:11" x14ac:dyDescent="0.25">
      <c r="A40" s="90"/>
      <c r="B40" s="81"/>
      <c r="C40" s="81"/>
      <c r="D40" s="81">
        <f>B40*C40*0.1</f>
        <v>0</v>
      </c>
      <c r="E40" s="81">
        <v>0.39</v>
      </c>
      <c r="F40" s="30">
        <f>E40/$E$41*$F$41</f>
        <v>718.61668330761563</v>
      </c>
      <c r="G40" s="30">
        <f>(B40*C40)*$B$1+D40*$B$1+F40*$B$1</f>
        <v>257.55221929744943</v>
      </c>
      <c r="H40" s="72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2"/>
      <c r="I41" s="28"/>
      <c r="J41" s="28"/>
      <c r="K41" s="28"/>
    </row>
    <row r="43" spans="1:11" ht="60" customHeight="1" x14ac:dyDescent="0.25">
      <c r="A43" s="199" t="s">
        <v>210</v>
      </c>
      <c r="B43" s="200"/>
      <c r="C43" s="200"/>
      <c r="D43" s="200"/>
      <c r="E43" s="200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2"/>
      <c r="I4" s="42">
        <f>SUM(I5:I6)</f>
        <v>-1853.3860231173383</v>
      </c>
      <c r="J4" s="38">
        <v>1893</v>
      </c>
      <c r="K4" s="38">
        <f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0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2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0">
        <f>B6*C6*0.1</f>
        <v>110.7</v>
      </c>
      <c r="E6" s="3">
        <f>0.25*1.3</f>
        <v>0.32500000000000001</v>
      </c>
      <c r="F6" s="30">
        <f>E6/$E$35*$F$35</f>
        <v>613.28809106830136</v>
      </c>
      <c r="G6" s="30">
        <f>(B6*C6)*$B$1+D6*$B$1+F6*$B$1</f>
        <v>628.02891523642734</v>
      </c>
      <c r="H6" s="72"/>
      <c r="I6" s="34">
        <f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4"/>
      <c r="E7" s="9"/>
      <c r="F7" s="10"/>
      <c r="G7" s="10"/>
      <c r="H7" s="72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1">
        <f>B8*C8*0.1</f>
        <v>93.5</v>
      </c>
      <c r="E8" s="92">
        <f>0.15*1.3*B8</f>
        <v>0.19500000000000001</v>
      </c>
      <c r="F8" s="30">
        <f>E8/$E$35*$F$35</f>
        <v>367.97285464098081</v>
      </c>
      <c r="G8" s="30">
        <f>(B8*C8)*$B$1+D8*$B$1+F8*$B$1</f>
        <v>478.99018914185643</v>
      </c>
      <c r="H8" s="72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4"/>
      <c r="E9" s="9"/>
      <c r="F9" s="10"/>
      <c r="G9" s="10"/>
      <c r="H9" s="72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77">
        <v>2</v>
      </c>
      <c r="C10" s="3">
        <f>704</f>
        <v>704</v>
      </c>
      <c r="D10" s="81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2"/>
      <c r="I10" s="34">
        <f>H10-G10</f>
        <v>-650.33328616462359</v>
      </c>
      <c r="J10" s="39"/>
      <c r="K10" s="40"/>
    </row>
    <row r="11" spans="1:11" ht="45" x14ac:dyDescent="0.25">
      <c r="A11" s="18" t="s">
        <v>218</v>
      </c>
      <c r="B11" s="77">
        <v>2</v>
      </c>
      <c r="C11" s="3">
        <f>704</f>
        <v>704</v>
      </c>
      <c r="D11" s="81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>(B11*C11)*$B$1+D11*$B$1+F11*$B$1</f>
        <v>650.33328616462359</v>
      </c>
      <c r="H11" s="72"/>
      <c r="I11" s="34">
        <f>H11-G11</f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1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2"/>
      <c r="I12" s="34">
        <f>H12-G12</f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4"/>
      <c r="E13" s="9"/>
      <c r="F13" s="10"/>
      <c r="G13" s="10"/>
      <c r="H13" s="72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77">
        <v>2</v>
      </c>
      <c r="C14" s="3">
        <f>1232</f>
        <v>1232</v>
      </c>
      <c r="D14" s="81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>(B14*C14)*$B$1+D14*$B$1+F14*$B$1</f>
        <v>1333.5542052539406</v>
      </c>
      <c r="H14" s="72"/>
      <c r="I14" s="34">
        <f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1">
        <f>B15*C15*0.1</f>
        <v>67.2</v>
      </c>
      <c r="E15" s="3">
        <f>0.2*1.3</f>
        <v>0.26</v>
      </c>
      <c r="F15" s="30">
        <f>E15/$E$35*$F$35</f>
        <v>490.63047285464103</v>
      </c>
      <c r="G15" s="30">
        <f>(B15*C15)*$B$1+D15*$B$1+F15*$B$1</f>
        <v>421.8318521891419</v>
      </c>
      <c r="H15" s="72"/>
      <c r="I15" s="34">
        <f>H15-G15</f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1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2"/>
      <c r="I16" s="34">
        <f>H16-G16</f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4"/>
      <c r="E17" s="9"/>
      <c r="F17" s="10"/>
      <c r="G17" s="10"/>
      <c r="H17" s="72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79" t="s">
        <v>235</v>
      </c>
    </row>
    <row r="18" spans="1:12" ht="35.25" x14ac:dyDescent="0.25">
      <c r="A18" s="91" t="s">
        <v>224</v>
      </c>
      <c r="B18" s="3">
        <v>1</v>
      </c>
      <c r="C18" s="3">
        <v>2414</v>
      </c>
      <c r="D18" s="81">
        <f>B18*C18*0.1</f>
        <v>241.4</v>
      </c>
      <c r="E18" s="3">
        <f>0.6*1.3</f>
        <v>0.78</v>
      </c>
      <c r="F18" s="30">
        <f>E18/$E$35*$F$35</f>
        <v>1471.8914185639233</v>
      </c>
      <c r="G18" s="30">
        <f>(B18*C18)*$B$1+D18*$B$1+F18*$B$1</f>
        <v>1415.6609565674257</v>
      </c>
      <c r="H18" s="72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4"/>
      <c r="E19" s="9"/>
      <c r="F19" s="10"/>
      <c r="G19" s="10"/>
      <c r="H19" s="72"/>
      <c r="I19" s="42">
        <f>SUM(I20:I24)</f>
        <v>-3743.0752022767078</v>
      </c>
      <c r="J19" s="38">
        <f>3821-77</f>
        <v>3744</v>
      </c>
      <c r="K19" s="38">
        <f>J19+I19</f>
        <v>0.92479772329215848</v>
      </c>
      <c r="L19" s="79" t="s">
        <v>236</v>
      </c>
    </row>
    <row r="20" spans="1:12" ht="46.5" x14ac:dyDescent="0.25">
      <c r="A20" s="91" t="s">
        <v>225</v>
      </c>
      <c r="B20" s="3">
        <v>1</v>
      </c>
      <c r="C20" s="3">
        <v>2322</v>
      </c>
      <c r="D20" s="81">
        <f>B20*C20*0.1</f>
        <v>232.20000000000002</v>
      </c>
      <c r="E20" s="3">
        <f>0.6*1.3</f>
        <v>0.78</v>
      </c>
      <c r="F20" s="30">
        <f>E20/$E$35*$F$35</f>
        <v>1471.8914185639233</v>
      </c>
      <c r="G20" s="30">
        <f>(B20*C20)*$B$1+D20*$B$1+F20*$B$1</f>
        <v>1380.9493565674256</v>
      </c>
      <c r="H20" s="72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0">
        <f>B21*C21*0.1</f>
        <v>93.5</v>
      </c>
      <c r="E21" s="92">
        <f>0.15*1.3*B21</f>
        <v>0.19500000000000001</v>
      </c>
      <c r="F21" s="30">
        <f>E21/$E$35*$F$35</f>
        <v>367.97285464098081</v>
      </c>
      <c r="G21" s="30">
        <f>(B21*C21)*$B$1+D21*$B$1+F21*$B$1</f>
        <v>478.99018914185643</v>
      </c>
      <c r="H21" s="72"/>
      <c r="I21" s="34">
        <f>H21-G21</f>
        <v>-478.99018914185643</v>
      </c>
      <c r="J21" s="39"/>
      <c r="K21" s="40"/>
    </row>
    <row r="22" spans="1:12" x14ac:dyDescent="0.25">
      <c r="A22" s="91" t="s">
        <v>226</v>
      </c>
      <c r="B22" s="3">
        <v>1</v>
      </c>
      <c r="C22" s="3">
        <v>1385</v>
      </c>
      <c r="D22" s="81">
        <f>B22*C22*0.1</f>
        <v>138.5</v>
      </c>
      <c r="E22" s="92">
        <f>0.1*1.3</f>
        <v>0.13</v>
      </c>
      <c r="F22" s="30">
        <f>E22/$E$35*$F$35</f>
        <v>245.31523642732051</v>
      </c>
      <c r="G22" s="30">
        <f>(B22*C22)*$B$1+D22*$B$1+F22*$B$1</f>
        <v>606.70362609457095</v>
      </c>
      <c r="H22" s="72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0">
        <f>B23*C23*0.1</f>
        <v>111.10000000000001</v>
      </c>
      <c r="E23" s="26">
        <f>0.2*1.3</f>
        <v>0.26</v>
      </c>
      <c r="F23" s="30">
        <f>E23/$E$35*$F$35</f>
        <v>490.63047285464103</v>
      </c>
      <c r="G23" s="30">
        <f>(B23*C23)*$B$1+D23*$B$1+F23*$B$1</f>
        <v>587.46655218914191</v>
      </c>
      <c r="H23" s="72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0">
        <f>B24*C24*0.1</f>
        <v>115.7</v>
      </c>
      <c r="E24" s="26">
        <f>0.3*1.3</f>
        <v>0.39</v>
      </c>
      <c r="F24" s="30">
        <f>E24/$E$35*$F$35</f>
        <v>735.94570928196163</v>
      </c>
      <c r="G24" s="30">
        <f>(B24*C24)*$B$1+D24*$B$1+F24*$B$1</f>
        <v>688.96547828371286</v>
      </c>
      <c r="H24" s="72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4"/>
      <c r="E25" s="9"/>
      <c r="F25" s="10"/>
      <c r="G25" s="10"/>
      <c r="H25" s="72"/>
      <c r="I25" s="42">
        <f>SUM(I26:I26)</f>
        <v>-587.46655218914191</v>
      </c>
      <c r="J25" s="38">
        <v>600</v>
      </c>
      <c r="K25" s="38">
        <f>J25+I25</f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1">
        <f>B26*C26*0.1</f>
        <v>111.10000000000001</v>
      </c>
      <c r="E26" s="3">
        <f>0.2*1.3</f>
        <v>0.26</v>
      </c>
      <c r="F26" s="30">
        <f>E26/$E$35*$F$35</f>
        <v>490.63047285464103</v>
      </c>
      <c r="G26" s="30">
        <f>(B26*C26)*$B$1+D26*$B$1+F26*$B$1</f>
        <v>587.46655218914191</v>
      </c>
      <c r="H26" s="72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4"/>
      <c r="E27" s="9"/>
      <c r="F27" s="10"/>
      <c r="G27" s="10"/>
      <c r="H27" s="72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1">
        <f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2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0">
        <f>B29*C29*0.1</f>
        <v>135.80000000000001</v>
      </c>
      <c r="E29" s="92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2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4"/>
      <c r="E30" s="9"/>
      <c r="F30" s="10"/>
      <c r="G30" s="10"/>
      <c r="H30" s="72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1">
        <f>B31*C31*0.1</f>
        <v>111.10000000000001</v>
      </c>
      <c r="E31" s="26">
        <f>0.2*1.3</f>
        <v>0.26</v>
      </c>
      <c r="F31" s="30">
        <f>E31/$E$35*$F$35</f>
        <v>490.63047285464103</v>
      </c>
      <c r="G31" s="30">
        <f>(B31*C31)*$B$1+D31*$B$1+F31*$B$1</f>
        <v>587.46655218914191</v>
      </c>
      <c r="H31" s="72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1">
        <f>B32*C32*0.1</f>
        <v>93.600000000000009</v>
      </c>
      <c r="E32" s="3">
        <f>0.14*1.3</f>
        <v>0.18200000000000002</v>
      </c>
      <c r="F32" s="30">
        <f>E32/$E$35*$F$35</f>
        <v>343.44133099824876</v>
      </c>
      <c r="G32" s="30">
        <f>(B32*C32)*$B$1+D32*$B$1+F32*$B$1</f>
        <v>470.95317653239937</v>
      </c>
      <c r="H32" s="72"/>
      <c r="I32" s="34">
        <f>H32-G32</f>
        <v>-470.95317653239937</v>
      </c>
      <c r="J32" s="39"/>
      <c r="K32" s="40"/>
    </row>
    <row r="33" spans="1:11" x14ac:dyDescent="0.25">
      <c r="A33" s="88" t="s">
        <v>30</v>
      </c>
      <c r="B33" s="86"/>
      <c r="C33" s="86"/>
      <c r="D33" s="84"/>
      <c r="E33" s="84"/>
      <c r="F33" s="10"/>
      <c r="G33" s="10"/>
      <c r="H33" s="72"/>
      <c r="I33" s="42"/>
      <c r="J33" s="38"/>
      <c r="K33" s="38"/>
    </row>
    <row r="34" spans="1:11" x14ac:dyDescent="0.25">
      <c r="A34" s="90"/>
      <c r="B34" s="81"/>
      <c r="C34" s="81"/>
      <c r="D34" s="81">
        <f>B34*C34*0.1</f>
        <v>0</v>
      </c>
      <c r="E34" s="81">
        <v>1.3129999999999999</v>
      </c>
      <c r="F34" s="30">
        <f>E34/$E$35*$F$35</f>
        <v>2477.6838879159368</v>
      </c>
      <c r="G34" s="30">
        <f>(B34*C34)*$B$1+D34*$B$1+F34*$B$1</f>
        <v>849.84557355516642</v>
      </c>
      <c r="H34" s="72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2"/>
      <c r="I35" s="28"/>
      <c r="J35" s="28"/>
      <c r="K35" s="28"/>
    </row>
    <row r="37" spans="1:11" ht="49.5" customHeight="1" x14ac:dyDescent="0.25">
      <c r="A37" s="199" t="s">
        <v>210</v>
      </c>
      <c r="B37" s="200"/>
      <c r="C37" s="200"/>
      <c r="D37" s="200"/>
      <c r="E37" s="200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4"/>
      <c r="E4" s="9"/>
      <c r="F4" s="10"/>
      <c r="G4" s="10"/>
      <c r="H4" s="72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77" t="s">
        <v>240</v>
      </c>
      <c r="B5" s="3">
        <v>1</v>
      </c>
      <c r="C5" s="3">
        <v>1401</v>
      </c>
      <c r="D5" s="81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2"/>
      <c r="I5" s="34">
        <f>H5-G5</f>
        <v>-598.03188869694316</v>
      </c>
      <c r="J5" s="39"/>
      <c r="K5" s="40"/>
    </row>
    <row r="6" spans="1:12" x14ac:dyDescent="0.25">
      <c r="A6" s="77" t="s">
        <v>241</v>
      </c>
      <c r="B6" s="3">
        <v>1</v>
      </c>
      <c r="C6" s="3">
        <v>935</v>
      </c>
      <c r="D6" s="81">
        <f>B6*C6*0.1</f>
        <v>93.5</v>
      </c>
      <c r="E6" s="3">
        <f>0.145*1.3</f>
        <v>0.1885</v>
      </c>
      <c r="F6" s="30">
        <f>E6/$E$37*$F$37</f>
        <v>330.72407045009783</v>
      </c>
      <c r="G6" s="30">
        <f>(B6*C6)*$B$1+D6*$B$1+F6*$B$1</f>
        <v>481.16532093933461</v>
      </c>
      <c r="H6" s="72"/>
      <c r="I6" s="34">
        <f>H6-G6</f>
        <v>-481.16532093933461</v>
      </c>
      <c r="J6" s="39"/>
      <c r="K6" s="40"/>
    </row>
    <row r="7" spans="1:12" x14ac:dyDescent="0.25">
      <c r="A7" s="76" t="s">
        <v>242</v>
      </c>
      <c r="B7" s="3">
        <v>1</v>
      </c>
      <c r="C7" s="3">
        <v>1404</v>
      </c>
      <c r="D7" s="81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2"/>
      <c r="I7" s="34">
        <f>H7-G7</f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4"/>
      <c r="E8" s="9"/>
      <c r="F8" s="10"/>
      <c r="G8" s="10"/>
      <c r="H8" s="72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77" t="s">
        <v>244</v>
      </c>
      <c r="B9" s="3">
        <v>1</v>
      </c>
      <c r="C9" s="3">
        <v>1401</v>
      </c>
      <c r="D9" s="81">
        <f>B9*C9*0.1</f>
        <v>140.1</v>
      </c>
      <c r="E9" s="3">
        <f>0.06*1.3</f>
        <v>7.8E-2</v>
      </c>
      <c r="F9" s="30">
        <f>E9/$E$37*$F$37</f>
        <v>136.8513394965922</v>
      </c>
      <c r="G9" s="30">
        <f>(B9*C9)*$B$1+D9*$B$1+F9*$B$1</f>
        <v>593.99477418179367</v>
      </c>
      <c r="H9" s="72"/>
      <c r="I9" s="34">
        <f>H9-G9</f>
        <v>-593.99477418179367</v>
      </c>
      <c r="J9" s="39"/>
      <c r="K9" s="40"/>
    </row>
    <row r="10" spans="1:12" x14ac:dyDescent="0.25">
      <c r="A10" s="77" t="s">
        <v>245</v>
      </c>
      <c r="B10" s="3">
        <v>1</v>
      </c>
      <c r="C10" s="3">
        <v>1557</v>
      </c>
      <c r="D10" s="81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>(B10*C10)*$B$1+D10*$B$1+F10*$B$1</f>
        <v>929.2649612119576</v>
      </c>
      <c r="H10" s="72"/>
      <c r="I10" s="34">
        <f>H10-G10</f>
        <v>-929.2649612119576</v>
      </c>
      <c r="J10" s="39"/>
      <c r="K10" s="40"/>
    </row>
    <row r="11" spans="1:12" x14ac:dyDescent="0.25">
      <c r="A11" s="77" t="s">
        <v>246</v>
      </c>
      <c r="B11" s="3">
        <v>1</v>
      </c>
      <c r="C11" s="3">
        <v>1401</v>
      </c>
      <c r="D11" s="81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2"/>
      <c r="I11" s="34">
        <f>H11-G11</f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4"/>
      <c r="E12" s="9"/>
      <c r="F12" s="10"/>
      <c r="G12" s="10"/>
      <c r="H12" s="72"/>
      <c r="I12" s="42">
        <f>SUM(I13:I15)</f>
        <v>-3103.5649643025845</v>
      </c>
      <c r="J12" s="38">
        <f>3007+97</f>
        <v>3104</v>
      </c>
      <c r="K12" s="38">
        <f>J12+I12</f>
        <v>0.43503569741551473</v>
      </c>
      <c r="L12" s="79"/>
    </row>
    <row r="13" spans="1:12" x14ac:dyDescent="0.25">
      <c r="A13" s="77" t="s">
        <v>248</v>
      </c>
      <c r="B13" s="3">
        <v>1</v>
      </c>
      <c r="C13" s="3">
        <v>2180</v>
      </c>
      <c r="D13" s="81">
        <f>B13*C13*0.1</f>
        <v>218</v>
      </c>
      <c r="E13" s="3">
        <f>0.6*1.3</f>
        <v>0.78</v>
      </c>
      <c r="F13" s="30">
        <f>E13/$E$37*$F$37</f>
        <v>1368.5133949659221</v>
      </c>
      <c r="G13" s="30">
        <f>(B13*C13)*$B$1+D13*$B$1+F13*$B$1</f>
        <v>1333.3457418179364</v>
      </c>
      <c r="H13" s="72"/>
      <c r="I13" s="34">
        <f>H13-G13</f>
        <v>-1333.3457418179364</v>
      </c>
      <c r="J13" s="39"/>
      <c r="K13" s="40"/>
    </row>
    <row r="14" spans="1:12" x14ac:dyDescent="0.25">
      <c r="A14" s="77" t="s">
        <v>249</v>
      </c>
      <c r="B14" s="3">
        <v>1</v>
      </c>
      <c r="C14" s="3">
        <v>2595</v>
      </c>
      <c r="D14" s="80">
        <f>B14*C14*0.1</f>
        <v>259.5</v>
      </c>
      <c r="E14" s="3">
        <f>0.36*1.3</f>
        <v>0.46799999999999997</v>
      </c>
      <c r="F14" s="30">
        <f>E14/$E$37*$F$37</f>
        <v>821.10803697955316</v>
      </c>
      <c r="G14" s="30">
        <f>(B14*C14)*$B$1+D14*$B$1+F14*$B$1</f>
        <v>1301.1652450907618</v>
      </c>
      <c r="H14" s="72"/>
      <c r="I14" s="34">
        <f>H14-G14</f>
        <v>-1301.1652450907618</v>
      </c>
      <c r="J14" s="39"/>
      <c r="K14" s="40"/>
    </row>
    <row r="15" spans="1:12" x14ac:dyDescent="0.25">
      <c r="A15" s="77" t="s">
        <v>250</v>
      </c>
      <c r="B15" s="3">
        <v>1</v>
      </c>
      <c r="C15" s="3">
        <v>935</v>
      </c>
      <c r="D15" s="80">
        <f>B15*C15*0.1</f>
        <v>93.5</v>
      </c>
      <c r="E15" s="3">
        <f>0.13*1.3</f>
        <v>0.16900000000000001</v>
      </c>
      <c r="F15" s="30">
        <f>E15/$E$37*$F$37</f>
        <v>296.5112355759498</v>
      </c>
      <c r="G15" s="30">
        <f>(B15*C15)*$B$1+D15*$B$1+F15*$B$1</f>
        <v>469.05397739388621</v>
      </c>
      <c r="H15" s="72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4"/>
      <c r="E16" s="9"/>
      <c r="F16" s="10"/>
      <c r="G16" s="10"/>
      <c r="H16" s="72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6" t="s">
        <v>251</v>
      </c>
      <c r="B17" s="3">
        <v>1</v>
      </c>
      <c r="C17" s="3">
        <v>1401</v>
      </c>
      <c r="D17" s="81">
        <f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2"/>
      <c r="I17" s="34">
        <f>H17-G17</f>
        <v>-707.03398060597874</v>
      </c>
      <c r="J17" s="39"/>
      <c r="K17" s="40"/>
    </row>
    <row r="18" spans="1:12" x14ac:dyDescent="0.25">
      <c r="A18" s="76" t="s">
        <v>252</v>
      </c>
      <c r="B18" s="3">
        <v>1</v>
      </c>
      <c r="C18" s="3">
        <v>1168</v>
      </c>
      <c r="D18" s="80">
        <f>B18*C18*0.1</f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2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4"/>
      <c r="E19" s="9"/>
      <c r="F19" s="10"/>
      <c r="G19" s="10"/>
      <c r="H19" s="72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3" t="s">
        <v>253</v>
      </c>
      <c r="B20" s="3">
        <v>1</v>
      </c>
      <c r="C20" s="3">
        <v>1401</v>
      </c>
      <c r="D20" s="81">
        <f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>(B20*C20)*$B$1+D20*$B$1+F20*$B$1</f>
        <v>598.03188869694316</v>
      </c>
      <c r="H20" s="72"/>
      <c r="I20" s="34">
        <f>H20-G20</f>
        <v>-598.03188869694316</v>
      </c>
      <c r="J20" s="39"/>
      <c r="K20" s="40"/>
    </row>
    <row r="21" spans="1:12" x14ac:dyDescent="0.25">
      <c r="A21" s="93" t="s">
        <v>254</v>
      </c>
      <c r="B21" s="3">
        <v>1</v>
      </c>
      <c r="C21" s="3">
        <v>1401</v>
      </c>
      <c r="D21" s="81">
        <f>B21*C21*0.1</f>
        <v>140.1</v>
      </c>
      <c r="E21" s="3">
        <f>0.06*1.3</f>
        <v>7.8E-2</v>
      </c>
      <c r="F21" s="30">
        <f>E21/$E$37*$F$37</f>
        <v>136.8513394965922</v>
      </c>
      <c r="G21" s="30">
        <f>(B21*C21)*$B$1+D21*$B$1+F21*$B$1</f>
        <v>593.99477418179367</v>
      </c>
      <c r="H21" s="72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2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77" t="s">
        <v>255</v>
      </c>
      <c r="B23" s="3">
        <v>1</v>
      </c>
      <c r="C23" s="3">
        <v>778</v>
      </c>
      <c r="D23" s="80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2"/>
      <c r="I23" s="34">
        <f>H23-G23</f>
        <v>-367.54703224239154</v>
      </c>
      <c r="J23" s="39"/>
      <c r="K23" s="40"/>
    </row>
    <row r="24" spans="1:12" x14ac:dyDescent="0.25">
      <c r="A24" s="77" t="s">
        <v>256</v>
      </c>
      <c r="B24" s="3">
        <v>1</v>
      </c>
      <c r="C24" s="3">
        <v>935</v>
      </c>
      <c r="D24" s="80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2"/>
      <c r="I24" s="34">
        <f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4"/>
      <c r="E25" s="9"/>
      <c r="F25" s="10"/>
      <c r="G25" s="10"/>
      <c r="H25" s="72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77" t="s">
        <v>258</v>
      </c>
      <c r="B26" s="3">
        <v>1</v>
      </c>
      <c r="C26" s="3">
        <v>1168</v>
      </c>
      <c r="D26" s="81">
        <f>B26*C26*0.1</f>
        <v>116.80000000000001</v>
      </c>
      <c r="E26" s="3">
        <f>0.24*1.3</f>
        <v>0.312</v>
      </c>
      <c r="F26" s="30">
        <f>E26/$E$37*$F$37</f>
        <v>547.40535798636881</v>
      </c>
      <c r="G26" s="30">
        <f>(B26*C26)*$B$1+D26*$B$1+F26*$B$1</f>
        <v>648.60069672717452</v>
      </c>
      <c r="H26" s="72"/>
      <c r="I26" s="34">
        <f>H26-G26</f>
        <v>-648.60069672717452</v>
      </c>
      <c r="J26" s="39"/>
      <c r="K26" s="40"/>
    </row>
    <row r="27" spans="1:12" x14ac:dyDescent="0.25">
      <c r="A27" s="77" t="s">
        <v>259</v>
      </c>
      <c r="B27" s="3">
        <v>1</v>
      </c>
      <c r="C27" s="3">
        <v>1168</v>
      </c>
      <c r="D27" s="81">
        <f>B27*C27*0.1</f>
        <v>116.80000000000001</v>
      </c>
      <c r="E27" s="3">
        <f>0.3*1.3</f>
        <v>0.39</v>
      </c>
      <c r="F27" s="30">
        <f>E27/$E$37*$F$37</f>
        <v>684.25669748296104</v>
      </c>
      <c r="G27" s="30">
        <f>(B27*C27)*$B$1+D27*$B$1+F27*$B$1</f>
        <v>697.0460709089682</v>
      </c>
      <c r="H27" s="72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2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6" t="s">
        <v>242</v>
      </c>
      <c r="B29" s="3">
        <v>1</v>
      </c>
      <c r="C29" s="3">
        <v>1404</v>
      </c>
      <c r="D29" s="80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2"/>
      <c r="I29" s="34">
        <f>H29-G29</f>
        <v>-627.45989030298938</v>
      </c>
      <c r="J29" s="39"/>
      <c r="K29" s="40"/>
    </row>
    <row r="30" spans="1:12" x14ac:dyDescent="0.25">
      <c r="A30" s="77" t="s">
        <v>261</v>
      </c>
      <c r="B30" s="3">
        <v>1</v>
      </c>
      <c r="C30" s="3">
        <v>2180</v>
      </c>
      <c r="D30" s="80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2"/>
      <c r="I30" s="34">
        <f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4"/>
      <c r="E31" s="9"/>
      <c r="F31" s="10"/>
      <c r="G31" s="10"/>
      <c r="H31" s="72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5" t="s">
        <v>287</v>
      </c>
    </row>
    <row r="32" spans="1:12" x14ac:dyDescent="0.25">
      <c r="A32" s="77" t="s">
        <v>263</v>
      </c>
      <c r="B32" s="3">
        <v>1</v>
      </c>
      <c r="C32" s="3">
        <v>1168</v>
      </c>
      <c r="D32" s="81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2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4"/>
      <c r="E33" s="9"/>
      <c r="F33" s="10"/>
      <c r="G33" s="10"/>
      <c r="H33" s="72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6" t="s">
        <v>265</v>
      </c>
      <c r="B34" s="3">
        <v>1</v>
      </c>
      <c r="C34" s="3">
        <v>2336</v>
      </c>
      <c r="D34" s="81">
        <f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2"/>
      <c r="I34" s="34">
        <f>H34-G34</f>
        <v>-1266.7677609555299</v>
      </c>
      <c r="J34" s="39"/>
      <c r="K34" s="40"/>
    </row>
    <row r="35" spans="1:11" x14ac:dyDescent="0.25">
      <c r="A35" s="88" t="s">
        <v>30</v>
      </c>
      <c r="B35" s="86"/>
      <c r="C35" s="86"/>
      <c r="D35" s="84"/>
      <c r="E35" s="84"/>
      <c r="F35" s="10"/>
      <c r="G35" s="10"/>
      <c r="H35" s="72"/>
      <c r="I35" s="42"/>
      <c r="J35" s="38"/>
      <c r="K35" s="38"/>
    </row>
    <row r="36" spans="1:11" x14ac:dyDescent="0.25">
      <c r="A36" s="90"/>
      <c r="B36" s="81"/>
      <c r="C36" s="81"/>
      <c r="D36" s="81">
        <f>B36*C36*0.1</f>
        <v>0</v>
      </c>
      <c r="E36" s="81">
        <v>1.1859999999999999</v>
      </c>
      <c r="F36" s="30">
        <f>E36/$E$37*$F$37</f>
        <v>2080.8421620892095</v>
      </c>
      <c r="G36" s="30">
        <f>(B36*C36)*$B$1+D36*$B$1+F36*$B$1</f>
        <v>736.61812537958008</v>
      </c>
      <c r="H36" s="72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4">
        <v>13000</v>
      </c>
      <c r="G37" s="28">
        <f>F37/E37</f>
        <v>1754.5043525204128</v>
      </c>
      <c r="H37" s="72"/>
      <c r="I37" s="28"/>
      <c r="J37" s="28"/>
      <c r="K37" s="28"/>
    </row>
    <row r="39" spans="1:11" ht="63.75" customHeight="1" x14ac:dyDescent="0.25">
      <c r="A39" s="199" t="s">
        <v>210</v>
      </c>
      <c r="B39" s="200"/>
      <c r="C39" s="200"/>
      <c r="D39" s="200"/>
      <c r="E39" s="200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4"/>
      <c r="E4" s="9"/>
      <c r="F4" s="10"/>
      <c r="G4" s="10"/>
      <c r="H4" s="72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363</v>
      </c>
    </row>
    <row r="5" spans="1:12" x14ac:dyDescent="0.25">
      <c r="A5" s="18" t="s">
        <v>268</v>
      </c>
      <c r="B5" s="3">
        <v>1</v>
      </c>
      <c r="C5" s="3">
        <v>729</v>
      </c>
      <c r="D5" s="81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2"/>
      <c r="I5" s="34">
        <f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1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>(B6*C6)*$B$1+D6*$B$1+F6*$B$1</f>
        <v>504.65289720670393</v>
      </c>
      <c r="H6" s="72"/>
      <c r="I6" s="34">
        <f>H6-G6</f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1">
        <f>B7*C7*0.1</f>
        <v>120.5</v>
      </c>
      <c r="E7" s="26">
        <f>0.2*1.3</f>
        <v>0.26</v>
      </c>
      <c r="F7" s="30">
        <f>E7/$E$30*$F$30</f>
        <v>495.81005586592181</v>
      </c>
      <c r="G7" s="30">
        <f>(B7*C7)*$B$1+D7*$B$1+F7*$B$1</f>
        <v>639.2798296089386</v>
      </c>
      <c r="H7" s="72"/>
      <c r="I7" s="34">
        <f>H7-G7</f>
        <v>-639.2798296089386</v>
      </c>
      <c r="J7" s="39"/>
      <c r="K7" s="40"/>
    </row>
    <row r="8" spans="1:12" ht="30" x14ac:dyDescent="0.25">
      <c r="A8" s="76" t="s">
        <v>271</v>
      </c>
      <c r="B8" s="3">
        <v>1</v>
      </c>
      <c r="C8" s="3">
        <f>3364/10*2</f>
        <v>672.8</v>
      </c>
      <c r="D8" s="81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2"/>
      <c r="I8" s="34">
        <f>H8-G8</f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4"/>
      <c r="E9" s="9"/>
      <c r="F9" s="10"/>
      <c r="G9" s="10"/>
      <c r="H9" s="72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1" t="s">
        <v>272</v>
      </c>
      <c r="B10" s="3">
        <v>1</v>
      </c>
      <c r="C10" s="3">
        <v>1728</v>
      </c>
      <c r="D10" s="81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2"/>
      <c r="I10" s="34">
        <f>H10-G10</f>
        <v>-980.43359329608938</v>
      </c>
      <c r="J10" s="39"/>
      <c r="K10" s="40"/>
    </row>
    <row r="11" spans="1:12" x14ac:dyDescent="0.25">
      <c r="A11" s="91" t="s">
        <v>273</v>
      </c>
      <c r="B11" s="3">
        <v>1</v>
      </c>
      <c r="C11" s="26">
        <v>1404</v>
      </c>
      <c r="D11" s="81">
        <f>B11*C11*0.1</f>
        <v>140.4</v>
      </c>
      <c r="E11" s="26">
        <f>0.1*1.3</f>
        <v>0.13</v>
      </c>
      <c r="F11" s="30">
        <f>E11/$E$30*$F$30</f>
        <v>247.90502793296091</v>
      </c>
      <c r="G11" s="30">
        <f>(B11*C11)*$B$1+D11*$B$1+F11*$B$1</f>
        <v>629.09906480446921</v>
      </c>
      <c r="H11" s="72"/>
      <c r="I11" s="34">
        <f>H11-G11</f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1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>(B12*C12)*$B$1+D12*$B$1+F12*$B$1</f>
        <v>910.85853016759768</v>
      </c>
      <c r="H12" s="72"/>
      <c r="I12" s="34">
        <f>H12-G12</f>
        <v>-910.85853016759768</v>
      </c>
      <c r="J12" s="39"/>
      <c r="K12" s="40"/>
    </row>
    <row r="13" spans="1:12" ht="30" x14ac:dyDescent="0.25">
      <c r="A13" s="76" t="s">
        <v>275</v>
      </c>
      <c r="B13" s="3">
        <v>1</v>
      </c>
      <c r="C13" s="3">
        <f>3364/10*4</f>
        <v>1345.6</v>
      </c>
      <c r="D13" s="81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2"/>
      <c r="I13" s="34">
        <f>H13-G13</f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4"/>
      <c r="E14" s="9"/>
      <c r="F14" s="10"/>
      <c r="G14" s="10"/>
      <c r="H14" s="72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77">
        <v>2</v>
      </c>
      <c r="C15" s="3">
        <f>975</f>
        <v>975</v>
      </c>
      <c r="D15" s="81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2"/>
      <c r="I15" s="34">
        <f>H15-G15</f>
        <v>-1274.9829888268157</v>
      </c>
      <c r="J15" s="39"/>
      <c r="K15" s="40"/>
    </row>
    <row r="16" spans="1:12" ht="45" x14ac:dyDescent="0.25">
      <c r="A16" s="18" t="s">
        <v>277</v>
      </c>
      <c r="B16" s="77">
        <v>2</v>
      </c>
      <c r="C16" s="3">
        <f>1348</f>
        <v>1348</v>
      </c>
      <c r="D16" s="81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2"/>
      <c r="I16" s="34">
        <f>H16-G16</f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1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2"/>
      <c r="I17" s="34">
        <f>H17-G17</f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4"/>
      <c r="E18" s="9"/>
      <c r="F18" s="10"/>
      <c r="G18" s="10"/>
      <c r="H18" s="72"/>
      <c r="I18" s="42">
        <f>SUM(I19:I20)</f>
        <v>-1355.7998564245809</v>
      </c>
      <c r="J18" s="38">
        <f>1325+30</f>
        <v>1355</v>
      </c>
      <c r="K18" s="38">
        <f>J18+I18</f>
        <v>-0.79985642458086659</v>
      </c>
      <c r="L18" s="79"/>
    </row>
    <row r="19" spans="1:12" x14ac:dyDescent="0.25">
      <c r="A19" s="91" t="s">
        <v>124</v>
      </c>
      <c r="B19" s="3">
        <v>1</v>
      </c>
      <c r="C19" s="3">
        <v>1136</v>
      </c>
      <c r="D19" s="81">
        <f>B19*C19*0.1</f>
        <v>113.60000000000001</v>
      </c>
      <c r="E19" s="26">
        <f>0.3*1.3</f>
        <v>0.39</v>
      </c>
      <c r="F19" s="30">
        <f>E19/$E$30*$F$30</f>
        <v>743.7150837988828</v>
      </c>
      <c r="G19" s="30">
        <f>(B19*C19)*$B$1+D19*$B$1+F19*$B$1</f>
        <v>699.65359441340786</v>
      </c>
      <c r="H19" s="72"/>
      <c r="I19" s="34">
        <f>H19-G19</f>
        <v>-699.65359441340786</v>
      </c>
      <c r="J19" s="39"/>
      <c r="K19" s="40"/>
    </row>
    <row r="20" spans="1:12" x14ac:dyDescent="0.25">
      <c r="A20" s="91" t="s">
        <v>279</v>
      </c>
      <c r="B20" s="3">
        <v>1</v>
      </c>
      <c r="C20" s="3">
        <v>1136</v>
      </c>
      <c r="D20" s="80">
        <f>B20*C20*0.1</f>
        <v>113.60000000000001</v>
      </c>
      <c r="E20" s="26">
        <f>0.25*1.3</f>
        <v>0.32500000000000001</v>
      </c>
      <c r="F20" s="30">
        <f>E20/$E$30*$F$30</f>
        <v>619.76256983240228</v>
      </c>
      <c r="G20" s="30">
        <f>(B20*C20)*$B$1+D20*$B$1+F20*$B$1</f>
        <v>656.14626201117312</v>
      </c>
      <c r="H20" s="72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4"/>
      <c r="E21" s="9"/>
      <c r="F21" s="10"/>
      <c r="G21" s="10"/>
      <c r="H21" s="72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1">
        <f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2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0">
        <f>B23*C23*0.1</f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2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4"/>
      <c r="E24" s="9"/>
      <c r="F24" s="10"/>
      <c r="G24" s="10"/>
      <c r="H24" s="72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6" t="s">
        <v>275</v>
      </c>
      <c r="B25" s="3">
        <v>1</v>
      </c>
      <c r="C25" s="3">
        <f>3364/10*4</f>
        <v>1345.6</v>
      </c>
      <c r="D25" s="81">
        <f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>(B25*C25)*$B$1+D25*$B$1+F25*$B$1</f>
        <v>827.43420469273724</v>
      </c>
      <c r="H25" s="72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4"/>
      <c r="E26" s="9"/>
      <c r="F26" s="10"/>
      <c r="G26" s="10"/>
      <c r="H26" s="72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6" t="s">
        <v>288</v>
      </c>
    </row>
    <row r="27" spans="1:12" x14ac:dyDescent="0.25">
      <c r="A27" s="91" t="s">
        <v>279</v>
      </c>
      <c r="B27" s="3">
        <v>1</v>
      </c>
      <c r="C27" s="3">
        <v>2344</v>
      </c>
      <c r="D27" s="81">
        <f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2"/>
      <c r="I27" s="34">
        <f>H27-G27</f>
        <v>-1427.1063888268156</v>
      </c>
      <c r="J27" s="39"/>
      <c r="K27" s="40"/>
    </row>
    <row r="28" spans="1:12" x14ac:dyDescent="0.25">
      <c r="A28" s="88" t="s">
        <v>30</v>
      </c>
      <c r="B28" s="86"/>
      <c r="C28" s="86"/>
      <c r="D28" s="84"/>
      <c r="E28" s="84"/>
      <c r="F28" s="10"/>
      <c r="G28" s="10"/>
      <c r="H28" s="72"/>
      <c r="I28" s="42"/>
      <c r="J28" s="38"/>
      <c r="K28" s="38"/>
    </row>
    <row r="29" spans="1:12" x14ac:dyDescent="0.25">
      <c r="A29" s="90"/>
      <c r="B29" s="81"/>
      <c r="C29" s="81"/>
      <c r="D29" s="81">
        <f>B29*C29*0.1</f>
        <v>0</v>
      </c>
      <c r="E29" s="81">
        <f>1.23+0.78</f>
        <v>2.0099999999999998</v>
      </c>
      <c r="F29" s="30">
        <f>E29/$E$30*$F$30</f>
        <v>3832.9931241942413</v>
      </c>
      <c r="G29" s="30">
        <f>(B29*C29)*$B$1+D29*$B$1+F29*$B$1</f>
        <v>1345.3805865921786</v>
      </c>
      <c r="H29" s="72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4">
        <v>17750</v>
      </c>
      <c r="G30" s="28">
        <f>F30/E30</f>
        <v>1906.9617533304684</v>
      </c>
      <c r="H30" s="72"/>
      <c r="I30" s="28"/>
      <c r="J30" s="28"/>
      <c r="K30" s="28"/>
    </row>
    <row r="32" spans="1:12" ht="63.75" customHeight="1" x14ac:dyDescent="0.25">
      <c r="A32" s="199" t="s">
        <v>210</v>
      </c>
      <c r="B32" s="200"/>
      <c r="C32" s="200"/>
      <c r="D32" s="200"/>
      <c r="E32" s="200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2019-05-16T17:17:47Z</dcterms:modified>
</cp:coreProperties>
</file>