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065" yWindow="-75" windowWidth="17580" windowHeight="12690"/>
  </bookViews>
  <sheets>
    <sheet name="БАЛАНС" sheetId="6" r:id="rId1"/>
    <sheet name="1" sheetId="1" r:id="rId2"/>
    <sheet name="2" sheetId="2" r:id="rId3"/>
    <sheet name="3" sheetId="3" r:id="rId4"/>
    <sheet name="4" sheetId="4" r:id="rId5"/>
    <sheet name="5" sheetId="5" r:id="rId6"/>
    <sheet name="6" sheetId="7" r:id="rId7"/>
    <sheet name="7n" sheetId="8" r:id="rId8"/>
    <sheet name="8" sheetId="9" r:id="rId9"/>
    <sheet name="9" sheetId="10" r:id="rId10"/>
    <sheet name="10" sheetId="11" r:id="rId11"/>
    <sheet name="11" sheetId="12" r:id="rId12"/>
    <sheet name="12" sheetId="13" r:id="rId13"/>
  </sheets>
  <calcPr calcId="162913"/>
</workbook>
</file>

<file path=xl/calcChain.xml><?xml version="1.0" encoding="utf-8"?>
<calcChain xmlns="http://schemas.openxmlformats.org/spreadsheetml/2006/main">
  <c r="B18" i="6" l="1"/>
  <c r="B29" i="6"/>
  <c r="B45" i="6"/>
  <c r="B36" i="6"/>
  <c r="B15" i="6"/>
  <c r="B61" i="6"/>
  <c r="B49" i="6"/>
  <c r="B16" i="6"/>
  <c r="B10" i="6"/>
  <c r="B40" i="6"/>
  <c r="B52" i="6"/>
  <c r="B44" i="6"/>
  <c r="G49" i="13"/>
  <c r="E47" i="13"/>
  <c r="E44" i="13"/>
  <c r="C44" i="13"/>
  <c r="C34" i="13"/>
  <c r="C29" i="13"/>
  <c r="C28" i="13"/>
  <c r="C26" i="13"/>
  <c r="D26" i="13" s="1"/>
  <c r="C22" i="13"/>
  <c r="C21" i="13"/>
  <c r="D21" i="13" s="1"/>
  <c r="C20" i="13"/>
  <c r="D20" i="13" s="1"/>
  <c r="D47" i="13"/>
  <c r="D46" i="13"/>
  <c r="D45" i="13"/>
  <c r="D44" i="13"/>
  <c r="D42" i="13"/>
  <c r="D40" i="13"/>
  <c r="D25" i="13"/>
  <c r="D24" i="13"/>
  <c r="D18" i="13"/>
  <c r="D17" i="13"/>
  <c r="D16" i="13"/>
  <c r="D15" i="13"/>
  <c r="D13" i="13"/>
  <c r="D12" i="13"/>
  <c r="D11" i="13"/>
  <c r="D10" i="13"/>
  <c r="D9" i="13"/>
  <c r="B1" i="13"/>
  <c r="D38" i="13"/>
  <c r="D36" i="13"/>
  <c r="D34" i="13"/>
  <c r="D32" i="13"/>
  <c r="D31" i="13"/>
  <c r="D29" i="13"/>
  <c r="D28" i="13"/>
  <c r="D22" i="13"/>
  <c r="E48" i="13"/>
  <c r="F20" i="13" s="1"/>
  <c r="D7" i="13"/>
  <c r="D6" i="13"/>
  <c r="D5" i="13"/>
  <c r="G20" i="13" l="1"/>
  <c r="I20" i="13" s="1"/>
  <c r="F44" i="13"/>
  <c r="G44" i="13" s="1"/>
  <c r="I44" i="13" s="1"/>
  <c r="F46" i="13"/>
  <c r="G46" i="13" s="1"/>
  <c r="I46" i="13" s="1"/>
  <c r="F45" i="13"/>
  <c r="G45" i="13" s="1"/>
  <c r="I45" i="13" s="1"/>
  <c r="F47" i="13"/>
  <c r="G47" i="13" s="1"/>
  <c r="I47" i="13" s="1"/>
  <c r="F42" i="13"/>
  <c r="G42" i="13" s="1"/>
  <c r="I42" i="13" s="1"/>
  <c r="I41" i="13" s="1"/>
  <c r="K41" i="13" s="1"/>
  <c r="F40" i="13"/>
  <c r="G40" i="13" s="1"/>
  <c r="I40" i="13" s="1"/>
  <c r="I39" i="13" s="1"/>
  <c r="K39" i="13" s="1"/>
  <c r="F24" i="13"/>
  <c r="G24" i="13" s="1"/>
  <c r="I24" i="13" s="1"/>
  <c r="F25" i="13"/>
  <c r="G25" i="13" s="1"/>
  <c r="I25" i="13" s="1"/>
  <c r="F26" i="13"/>
  <c r="G26" i="13" s="1"/>
  <c r="I26" i="13" s="1"/>
  <c r="F21" i="13"/>
  <c r="G21" i="13" s="1"/>
  <c r="I21" i="13" s="1"/>
  <c r="F15" i="13"/>
  <c r="G15" i="13" s="1"/>
  <c r="I15" i="13" s="1"/>
  <c r="F16" i="13"/>
  <c r="G16" i="13" s="1"/>
  <c r="I16" i="13" s="1"/>
  <c r="F17" i="13"/>
  <c r="G17" i="13" s="1"/>
  <c r="I17" i="13" s="1"/>
  <c r="F18" i="13"/>
  <c r="G18" i="13" s="1"/>
  <c r="I18" i="13" s="1"/>
  <c r="F9" i="13"/>
  <c r="G9" i="13" s="1"/>
  <c r="I9" i="13" s="1"/>
  <c r="F10" i="13"/>
  <c r="G10" i="13" s="1"/>
  <c r="I10" i="13" s="1"/>
  <c r="F11" i="13"/>
  <c r="G11" i="13" s="1"/>
  <c r="I11" i="13" s="1"/>
  <c r="F12" i="13"/>
  <c r="G12" i="13" s="1"/>
  <c r="I12" i="13" s="1"/>
  <c r="F13" i="13"/>
  <c r="G13" i="13" s="1"/>
  <c r="I13" i="13" s="1"/>
  <c r="F32" i="13"/>
  <c r="G32" i="13" s="1"/>
  <c r="I32" i="13" s="1"/>
  <c r="F5" i="13"/>
  <c r="G5" i="13" s="1"/>
  <c r="I5" i="13" s="1"/>
  <c r="F31" i="13"/>
  <c r="G31" i="13" s="1"/>
  <c r="I31" i="13" s="1"/>
  <c r="F36" i="13"/>
  <c r="G36" i="13" s="1"/>
  <c r="I36" i="13" s="1"/>
  <c r="I35" i="13" s="1"/>
  <c r="K35" i="13" s="1"/>
  <c r="F34" i="13"/>
  <c r="G34" i="13" s="1"/>
  <c r="I34" i="13" s="1"/>
  <c r="I33" i="13" s="1"/>
  <c r="K33" i="13" s="1"/>
  <c r="F28" i="13"/>
  <c r="G28" i="13" s="1"/>
  <c r="I28" i="13" s="1"/>
  <c r="F22" i="13"/>
  <c r="G22" i="13" s="1"/>
  <c r="I22" i="13" s="1"/>
  <c r="F6" i="13"/>
  <c r="G6" i="13" s="1"/>
  <c r="I6" i="13" s="1"/>
  <c r="G48" i="13"/>
  <c r="F38" i="13"/>
  <c r="G38" i="13" s="1"/>
  <c r="I38" i="13" s="1"/>
  <c r="I37" i="13" s="1"/>
  <c r="K37" i="13" s="1"/>
  <c r="F29" i="13"/>
  <c r="G29" i="13" s="1"/>
  <c r="I29" i="13" s="1"/>
  <c r="F7" i="13"/>
  <c r="G7" i="13" s="1"/>
  <c r="I7" i="13" s="1"/>
  <c r="I19" i="13" l="1"/>
  <c r="K19" i="13" s="1"/>
  <c r="I23" i="13"/>
  <c r="K23" i="13" s="1"/>
  <c r="I8" i="13"/>
  <c r="K8" i="13" s="1"/>
  <c r="I4" i="13"/>
  <c r="K4" i="13" s="1"/>
  <c r="I43" i="13"/>
  <c r="K43" i="13" s="1"/>
  <c r="I14" i="13"/>
  <c r="K14" i="13" s="1"/>
  <c r="I30" i="13"/>
  <c r="K30" i="13" s="1"/>
  <c r="I27" i="13"/>
  <c r="K27" i="13" s="1"/>
  <c r="J19" i="12" l="1"/>
  <c r="J10" i="12" l="1"/>
  <c r="J22" i="12"/>
  <c r="J27" i="12"/>
  <c r="J4" i="12"/>
  <c r="J13" i="12"/>
  <c r="J25" i="12"/>
  <c r="J16" i="12"/>
  <c r="J29" i="12" l="1"/>
  <c r="B1" i="12" l="1"/>
  <c r="E28" i="12" l="1"/>
  <c r="E30" i="12"/>
  <c r="E26" i="12"/>
  <c r="E24" i="12"/>
  <c r="E23" i="12"/>
  <c r="E21" i="12"/>
  <c r="E20" i="12"/>
  <c r="E18" i="12"/>
  <c r="E17" i="12"/>
  <c r="E15" i="12"/>
  <c r="E14" i="12"/>
  <c r="E12" i="12"/>
  <c r="E11" i="12"/>
  <c r="E9" i="12"/>
  <c r="E8" i="12"/>
  <c r="E7" i="12"/>
  <c r="E6" i="12"/>
  <c r="E5" i="12"/>
  <c r="D28" i="12"/>
  <c r="D18" i="12"/>
  <c r="D17" i="12"/>
  <c r="D30" i="12"/>
  <c r="D26" i="12"/>
  <c r="D24" i="12"/>
  <c r="D23" i="12"/>
  <c r="D21" i="12"/>
  <c r="D20" i="12"/>
  <c r="D15" i="12"/>
  <c r="D14" i="12"/>
  <c r="D12" i="12"/>
  <c r="D11" i="12"/>
  <c r="D9" i="12"/>
  <c r="D8" i="12"/>
  <c r="D7" i="12"/>
  <c r="D6" i="12"/>
  <c r="D5" i="12"/>
  <c r="E33" i="12" l="1"/>
  <c r="F17" i="12" s="1"/>
  <c r="G17" i="12" s="1"/>
  <c r="I17" i="12" s="1"/>
  <c r="F30" i="12"/>
  <c r="G30" i="12" s="1"/>
  <c r="I30" i="12" s="1"/>
  <c r="I29" i="12" s="1"/>
  <c r="K29" i="12" s="1"/>
  <c r="F6" i="12"/>
  <c r="G6" i="12" s="1"/>
  <c r="I6" i="12" s="1"/>
  <c r="F9" i="12"/>
  <c r="G9" i="12" s="1"/>
  <c r="I9" i="12" s="1"/>
  <c r="F20" i="12"/>
  <c r="G20" i="12" s="1"/>
  <c r="I20" i="12" s="1"/>
  <c r="F12" i="12"/>
  <c r="G12" i="12" s="1"/>
  <c r="I12" i="12" s="1"/>
  <c r="F11" i="12"/>
  <c r="G11" i="12" s="1"/>
  <c r="I11" i="12" s="1"/>
  <c r="F8" i="12"/>
  <c r="G8" i="12" s="1"/>
  <c r="I8" i="12" s="1"/>
  <c r="F26" i="12"/>
  <c r="G26" i="12" s="1"/>
  <c r="I26" i="12" s="1"/>
  <c r="F32" i="12"/>
  <c r="G32" i="12" s="1"/>
  <c r="F23" i="12"/>
  <c r="G23" i="12" s="1"/>
  <c r="I23" i="12" s="1"/>
  <c r="F14" i="12"/>
  <c r="G14" i="12" s="1"/>
  <c r="I14" i="12" s="1"/>
  <c r="F7" i="12"/>
  <c r="G7" i="12" s="1"/>
  <c r="I7" i="12" s="1"/>
  <c r="F21" i="12"/>
  <c r="G21" i="12" s="1"/>
  <c r="I21" i="12" s="1"/>
  <c r="F24" i="12"/>
  <c r="G24" i="12" s="1"/>
  <c r="I24" i="12" s="1"/>
  <c r="J4" i="9"/>
  <c r="D20" i="11"/>
  <c r="E20" i="11"/>
  <c r="D12" i="11"/>
  <c r="E35" i="11"/>
  <c r="E34" i="11"/>
  <c r="E32" i="11"/>
  <c r="E31" i="11"/>
  <c r="E29" i="11"/>
  <c r="E28" i="11"/>
  <c r="E26" i="11"/>
  <c r="E24" i="11"/>
  <c r="E22" i="11"/>
  <c r="E17" i="11"/>
  <c r="E10" i="11"/>
  <c r="E9" i="11"/>
  <c r="E7" i="11"/>
  <c r="E6" i="11"/>
  <c r="E5" i="11"/>
  <c r="E38" i="11" s="1"/>
  <c r="F5" i="11" s="1"/>
  <c r="D26" i="11"/>
  <c r="D24" i="11"/>
  <c r="D7" i="11"/>
  <c r="F28" i="12" l="1"/>
  <c r="G28" i="12" s="1"/>
  <c r="I28" i="12" s="1"/>
  <c r="I27" i="12" s="1"/>
  <c r="K27" i="12" s="1"/>
  <c r="G33" i="12"/>
  <c r="G34" i="12" s="1"/>
  <c r="F5" i="12"/>
  <c r="G5" i="12" s="1"/>
  <c r="I5" i="12" s="1"/>
  <c r="I4" i="12" s="1"/>
  <c r="K4" i="12" s="1"/>
  <c r="B55" i="6" s="1"/>
  <c r="F15" i="12"/>
  <c r="G15" i="12" s="1"/>
  <c r="I15" i="12" s="1"/>
  <c r="F18" i="12"/>
  <c r="G18" i="12" s="1"/>
  <c r="I18" i="12" s="1"/>
  <c r="I16" i="12" s="1"/>
  <c r="K16" i="12" s="1"/>
  <c r="I25" i="12"/>
  <c r="K25" i="12" s="1"/>
  <c r="I10" i="12"/>
  <c r="K10" i="12" s="1"/>
  <c r="I22" i="12"/>
  <c r="K22" i="12" s="1"/>
  <c r="I13" i="12"/>
  <c r="K13" i="12" s="1"/>
  <c r="I19" i="12"/>
  <c r="K19" i="12" s="1"/>
  <c r="F12" i="11"/>
  <c r="F37" i="11"/>
  <c r="B1" i="11" l="1"/>
  <c r="G37" i="11" s="1"/>
  <c r="D18" i="11"/>
  <c r="D17" i="11"/>
  <c r="D16" i="11"/>
  <c r="D10" i="11"/>
  <c r="D9" i="11"/>
  <c r="D8" i="11"/>
  <c r="D6" i="11"/>
  <c r="D5" i="11"/>
  <c r="D14" i="11"/>
  <c r="D13" i="11"/>
  <c r="D32" i="11"/>
  <c r="D31" i="11"/>
  <c r="D29" i="11"/>
  <c r="D28" i="11"/>
  <c r="D22" i="11"/>
  <c r="D35" i="11"/>
  <c r="D34" i="11"/>
  <c r="J49" i="10"/>
  <c r="D57" i="10"/>
  <c r="D26" i="7"/>
  <c r="E26" i="7"/>
  <c r="E13" i="10"/>
  <c r="E47" i="10"/>
  <c r="J55" i="10"/>
  <c r="D56" i="10"/>
  <c r="E57" i="10"/>
  <c r="J7" i="10"/>
  <c r="J34" i="10"/>
  <c r="J46" i="10"/>
  <c r="G12" i="11" l="1"/>
  <c r="F26" i="11"/>
  <c r="G26" i="11" s="1"/>
  <c r="I26" i="11" s="1"/>
  <c r="I25" i="11" s="1"/>
  <c r="K25" i="11" s="1"/>
  <c r="B31" i="6" s="1"/>
  <c r="F24" i="11"/>
  <c r="G24" i="11" s="1"/>
  <c r="I24" i="11" s="1"/>
  <c r="I23" i="11" s="1"/>
  <c r="K23" i="11" s="1"/>
  <c r="B20" i="6" s="1"/>
  <c r="F13" i="11"/>
  <c r="G13" i="11" s="1"/>
  <c r="I13" i="11" s="1"/>
  <c r="F7" i="11"/>
  <c r="G7" i="11" s="1"/>
  <c r="I7" i="11" s="1"/>
  <c r="F20" i="11"/>
  <c r="F31" i="11"/>
  <c r="G31" i="11" s="1"/>
  <c r="I31" i="11" s="1"/>
  <c r="F16" i="11"/>
  <c r="G16" i="11" s="1"/>
  <c r="I16" i="11" s="1"/>
  <c r="F10" i="11"/>
  <c r="G10" i="11" s="1"/>
  <c r="I10" i="11" s="1"/>
  <c r="G5" i="11"/>
  <c r="I5" i="11" s="1"/>
  <c r="F14" i="11"/>
  <c r="G14" i="11" s="1"/>
  <c r="I14" i="11" s="1"/>
  <c r="F32" i="11"/>
  <c r="G32" i="11" s="1"/>
  <c r="I32" i="11" s="1"/>
  <c r="G38" i="11"/>
  <c r="F17" i="11"/>
  <c r="G17" i="11" s="1"/>
  <c r="I17" i="11" s="1"/>
  <c r="F6" i="11"/>
  <c r="G6" i="11" s="1"/>
  <c r="I6" i="11" s="1"/>
  <c r="F34" i="11"/>
  <c r="G34" i="11" s="1"/>
  <c r="I34" i="11" s="1"/>
  <c r="F8" i="11"/>
  <c r="G8" i="11" s="1"/>
  <c r="I8" i="11" s="1"/>
  <c r="I12" i="11"/>
  <c r="F28" i="11"/>
  <c r="G28" i="11" s="1"/>
  <c r="I28" i="11" s="1"/>
  <c r="F22" i="11"/>
  <c r="G22" i="11" s="1"/>
  <c r="I22" i="11" s="1"/>
  <c r="I21" i="11" s="1"/>
  <c r="K21" i="11" s="1"/>
  <c r="B21" i="6" s="1"/>
  <c r="F35" i="11"/>
  <c r="G35" i="11" s="1"/>
  <c r="I35" i="11" s="1"/>
  <c r="G20" i="11"/>
  <c r="I20" i="11" s="1"/>
  <c r="I19" i="11" s="1"/>
  <c r="K19" i="11" s="1"/>
  <c r="B51" i="6" s="1"/>
  <c r="F9" i="11"/>
  <c r="G9" i="11" s="1"/>
  <c r="I9" i="11" s="1"/>
  <c r="F29" i="11"/>
  <c r="G29" i="11" s="1"/>
  <c r="I29" i="11" s="1"/>
  <c r="F18" i="11"/>
  <c r="G18" i="11" s="1"/>
  <c r="I18" i="11" s="1"/>
  <c r="J51" i="10"/>
  <c r="J40" i="10"/>
  <c r="J9" i="10"/>
  <c r="J20" i="10"/>
  <c r="J17" i="10"/>
  <c r="J12" i="10"/>
  <c r="J30" i="10"/>
  <c r="J4" i="10"/>
  <c r="J24" i="10"/>
  <c r="I11" i="11" l="1"/>
  <c r="K11" i="11" s="1"/>
  <c r="I30" i="11"/>
  <c r="K30" i="11" s="1"/>
  <c r="I15" i="11"/>
  <c r="K15" i="11" s="1"/>
  <c r="I4" i="11"/>
  <c r="K4" i="11" s="1"/>
  <c r="B19" i="6" s="1"/>
  <c r="I33" i="11"/>
  <c r="K33" i="11" s="1"/>
  <c r="I27" i="11"/>
  <c r="K27" i="11" s="1"/>
  <c r="J14" i="10"/>
  <c r="J14" i="9" l="1"/>
  <c r="E54" i="10" l="1"/>
  <c r="E53" i="10"/>
  <c r="E52" i="10"/>
  <c r="E50" i="10"/>
  <c r="E48" i="10"/>
  <c r="E45" i="10"/>
  <c r="E43" i="10"/>
  <c r="E42" i="10"/>
  <c r="E41" i="10"/>
  <c r="E39" i="10"/>
  <c r="E37" i="10"/>
  <c r="E36" i="10"/>
  <c r="E35" i="10"/>
  <c r="E33" i="10"/>
  <c r="E32" i="10"/>
  <c r="E31" i="10"/>
  <c r="E29" i="10"/>
  <c r="E28" i="10"/>
  <c r="E27" i="10"/>
  <c r="E26" i="10"/>
  <c r="E25" i="10"/>
  <c r="E23" i="10"/>
  <c r="E22" i="10"/>
  <c r="E21" i="10"/>
  <c r="E19" i="10"/>
  <c r="E18" i="10"/>
  <c r="C41" i="10"/>
  <c r="C39" i="10"/>
  <c r="D39" i="10" s="1"/>
  <c r="C33" i="10"/>
  <c r="C19" i="10"/>
  <c r="E16" i="10"/>
  <c r="E15" i="10"/>
  <c r="E11" i="10"/>
  <c r="E10" i="10"/>
  <c r="E8" i="10"/>
  <c r="E6" i="10"/>
  <c r="E5" i="10"/>
  <c r="D54" i="10"/>
  <c r="D53" i="10"/>
  <c r="D52" i="10"/>
  <c r="D45" i="10"/>
  <c r="D37" i="10"/>
  <c r="D36" i="10"/>
  <c r="D35" i="10"/>
  <c r="D29" i="10"/>
  <c r="D28" i="10"/>
  <c r="D27" i="10"/>
  <c r="D26" i="10"/>
  <c r="D25" i="10"/>
  <c r="D33" i="10"/>
  <c r="D32" i="10"/>
  <c r="D31" i="10"/>
  <c r="D43" i="10"/>
  <c r="D42" i="10"/>
  <c r="D41" i="10"/>
  <c r="D19" i="10"/>
  <c r="D18" i="10"/>
  <c r="D16" i="10"/>
  <c r="D15" i="10"/>
  <c r="D13" i="10"/>
  <c r="D11" i="10"/>
  <c r="D10" i="10"/>
  <c r="D8" i="10"/>
  <c r="D6" i="10"/>
  <c r="D5" i="10"/>
  <c r="D59" i="10"/>
  <c r="D50" i="10"/>
  <c r="D48" i="10"/>
  <c r="D47" i="10"/>
  <c r="D23" i="10"/>
  <c r="D22" i="10"/>
  <c r="D21" i="10"/>
  <c r="E60" i="10" l="1"/>
  <c r="F52" i="10" s="1"/>
  <c r="G52" i="10" s="1"/>
  <c r="I52" i="10" s="1"/>
  <c r="F13" i="10"/>
  <c r="G13" i="10" s="1"/>
  <c r="I13" i="10" s="1"/>
  <c r="I12" i="10" s="1"/>
  <c r="K12" i="10" s="1"/>
  <c r="B70" i="6" s="1"/>
  <c r="F29" i="10"/>
  <c r="G29" i="10" s="1"/>
  <c r="I29" i="10" s="1"/>
  <c r="F39" i="10"/>
  <c r="G39" i="10" s="1"/>
  <c r="I39" i="10" s="1"/>
  <c r="I38" i="10" s="1"/>
  <c r="K38" i="10" s="1"/>
  <c r="F10" i="10"/>
  <c r="G10" i="10" s="1"/>
  <c r="I10" i="10" s="1"/>
  <c r="F27" i="10"/>
  <c r="G27" i="10" s="1"/>
  <c r="I27" i="10" s="1"/>
  <c r="F6" i="10"/>
  <c r="G6" i="10" s="1"/>
  <c r="I6" i="10" s="1"/>
  <c r="F11" i="10"/>
  <c r="G11" i="10" s="1"/>
  <c r="I11" i="10" s="1"/>
  <c r="F31" i="10"/>
  <c r="G31" i="10" s="1"/>
  <c r="I31" i="10" s="1"/>
  <c r="F28" i="10"/>
  <c r="G28" i="10" s="1"/>
  <c r="I28" i="10" s="1"/>
  <c r="F35" i="10"/>
  <c r="G35" i="10" s="1"/>
  <c r="I35" i="10" s="1"/>
  <c r="F15" i="10"/>
  <c r="G15" i="10" s="1"/>
  <c r="I15" i="10" s="1"/>
  <c r="F54" i="10"/>
  <c r="G54" i="10" s="1"/>
  <c r="I54" i="10" s="1"/>
  <c r="F59" i="10"/>
  <c r="G59" i="10" s="1"/>
  <c r="F50" i="10"/>
  <c r="G50" i="10" s="1"/>
  <c r="I50" i="10" s="1"/>
  <c r="F47" i="10"/>
  <c r="G47" i="10" s="1"/>
  <c r="I47" i="10" s="1"/>
  <c r="F23" i="10"/>
  <c r="G23" i="10" s="1"/>
  <c r="I23" i="10" s="1"/>
  <c r="F21" i="10"/>
  <c r="G21" i="10" s="1"/>
  <c r="I21" i="10" s="1"/>
  <c r="F22" i="10"/>
  <c r="G22" i="10" s="1"/>
  <c r="I22" i="10" s="1"/>
  <c r="F32" i="10" l="1"/>
  <c r="G32" i="10" s="1"/>
  <c r="I32" i="10" s="1"/>
  <c r="F5" i="10"/>
  <c r="G5" i="10" s="1"/>
  <c r="I5" i="10" s="1"/>
  <c r="F45" i="10"/>
  <c r="G45" i="10" s="1"/>
  <c r="I45" i="10" s="1"/>
  <c r="I44" i="10" s="1"/>
  <c r="K44" i="10" s="1"/>
  <c r="B41" i="6" s="1"/>
  <c r="F43" i="10"/>
  <c r="G43" i="10" s="1"/>
  <c r="I43" i="10" s="1"/>
  <c r="G60" i="10"/>
  <c r="F57" i="10"/>
  <c r="G57" i="10" s="1"/>
  <c r="I57" i="10" s="1"/>
  <c r="F8" i="10"/>
  <c r="G8" i="10" s="1"/>
  <c r="I8" i="10" s="1"/>
  <c r="I7" i="10" s="1"/>
  <c r="K7" i="10" s="1"/>
  <c r="B58" i="6" s="1"/>
  <c r="F19" i="10"/>
  <c r="G19" i="10" s="1"/>
  <c r="I19" i="10" s="1"/>
  <c r="F16" i="10"/>
  <c r="G16" i="10" s="1"/>
  <c r="I16" i="10" s="1"/>
  <c r="F33" i="10"/>
  <c r="G33" i="10" s="1"/>
  <c r="I33" i="10" s="1"/>
  <c r="F18" i="10"/>
  <c r="G18" i="10" s="1"/>
  <c r="I18" i="10" s="1"/>
  <c r="F53" i="10"/>
  <c r="G53" i="10" s="1"/>
  <c r="I53" i="10" s="1"/>
  <c r="F48" i="10"/>
  <c r="G48" i="10" s="1"/>
  <c r="I48" i="10" s="1"/>
  <c r="F56" i="10"/>
  <c r="G56" i="10" s="1"/>
  <c r="I56" i="10" s="1"/>
  <c r="I55" i="10" s="1"/>
  <c r="K55" i="10" s="1"/>
  <c r="F37" i="10"/>
  <c r="G37" i="10" s="1"/>
  <c r="I37" i="10" s="1"/>
  <c r="F42" i="10"/>
  <c r="G42" i="10" s="1"/>
  <c r="I42" i="10" s="1"/>
  <c r="F26" i="10"/>
  <c r="G26" i="10" s="1"/>
  <c r="I26" i="10" s="1"/>
  <c r="F36" i="10"/>
  <c r="G36" i="10" s="1"/>
  <c r="I36" i="10" s="1"/>
  <c r="F41" i="10"/>
  <c r="G41" i="10" s="1"/>
  <c r="I41" i="10" s="1"/>
  <c r="F25" i="10"/>
  <c r="G25" i="10" s="1"/>
  <c r="I25" i="10" s="1"/>
  <c r="I51" i="10"/>
  <c r="K51" i="10" s="1"/>
  <c r="B24" i="6" s="1"/>
  <c r="I14" i="10"/>
  <c r="K14" i="10" s="1"/>
  <c r="B60" i="6" s="1"/>
  <c r="I40" i="10"/>
  <c r="K40" i="10" s="1"/>
  <c r="B22" i="6" s="1"/>
  <c r="I17" i="10"/>
  <c r="K17" i="10" s="1"/>
  <c r="B2" i="6" s="1"/>
  <c r="I9" i="10"/>
  <c r="K9" i="10" s="1"/>
  <c r="I24" i="10"/>
  <c r="K24" i="10" s="1"/>
  <c r="B39" i="6" s="1"/>
  <c r="I4" i="10"/>
  <c r="K4" i="10" s="1"/>
  <c r="I30" i="10"/>
  <c r="K30" i="10" s="1"/>
  <c r="I20" i="10"/>
  <c r="K20" i="10" s="1"/>
  <c r="B47" i="6" s="1"/>
  <c r="I49" i="10"/>
  <c r="K49" i="10" s="1"/>
  <c r="I46" i="10"/>
  <c r="K46" i="10" s="1"/>
  <c r="B66" i="6" s="1"/>
  <c r="I34" i="10" l="1"/>
  <c r="K34" i="10" s="1"/>
  <c r="B50" i="6" s="1"/>
  <c r="E7" i="9"/>
  <c r="J18" i="9"/>
  <c r="J21" i="9" l="1"/>
  <c r="J9" i="9"/>
  <c r="J19" i="8"/>
  <c r="J26" i="9"/>
  <c r="J16" i="8"/>
  <c r="E29" i="9" l="1"/>
  <c r="J28" i="8" l="1"/>
  <c r="J22" i="8"/>
  <c r="J12" i="8"/>
  <c r="J33" i="8"/>
  <c r="J4" i="8"/>
  <c r="J8" i="8"/>
  <c r="J25" i="8"/>
  <c r="J31" i="8"/>
  <c r="E15" i="8"/>
  <c r="C16" i="9" l="1"/>
  <c r="D16" i="9" s="1"/>
  <c r="C15" i="9"/>
  <c r="D15" i="9" s="1"/>
  <c r="C13" i="9"/>
  <c r="D13" i="9" s="1"/>
  <c r="C8" i="9"/>
  <c r="E27" i="9"/>
  <c r="E25" i="9"/>
  <c r="E20" i="9"/>
  <c r="E19" i="9"/>
  <c r="E17" i="9"/>
  <c r="E16" i="9"/>
  <c r="E15" i="9"/>
  <c r="E13" i="9"/>
  <c r="E12" i="9"/>
  <c r="E11" i="9"/>
  <c r="E10" i="9"/>
  <c r="E8" i="9"/>
  <c r="E6" i="9"/>
  <c r="E5" i="9"/>
  <c r="C25" i="9"/>
  <c r="D25" i="9" s="1"/>
  <c r="D12" i="9"/>
  <c r="D11" i="9"/>
  <c r="D10" i="9"/>
  <c r="D7" i="9"/>
  <c r="D29" i="9"/>
  <c r="D27" i="9"/>
  <c r="D23" i="9"/>
  <c r="D22" i="9"/>
  <c r="D20" i="9"/>
  <c r="D19" i="9"/>
  <c r="D17" i="9"/>
  <c r="D8" i="9"/>
  <c r="D6" i="9"/>
  <c r="D5" i="9"/>
  <c r="E34" i="8"/>
  <c r="E32" i="8"/>
  <c r="E30" i="8"/>
  <c r="E29" i="8"/>
  <c r="E27" i="8"/>
  <c r="E26" i="8"/>
  <c r="E24" i="8"/>
  <c r="E23" i="8"/>
  <c r="E21" i="8"/>
  <c r="E20" i="8"/>
  <c r="E18" i="8"/>
  <c r="E17" i="8"/>
  <c r="E14" i="8"/>
  <c r="E13" i="8"/>
  <c r="E11" i="8"/>
  <c r="E10" i="8"/>
  <c r="E9" i="8"/>
  <c r="E7" i="8"/>
  <c r="E6" i="8"/>
  <c r="E5" i="8"/>
  <c r="D30" i="8"/>
  <c r="D29" i="8"/>
  <c r="D27" i="8"/>
  <c r="D26" i="8"/>
  <c r="D36" i="8"/>
  <c r="D21" i="8"/>
  <c r="D20" i="8"/>
  <c r="D18" i="8"/>
  <c r="D17" i="8"/>
  <c r="D15" i="8"/>
  <c r="D14" i="8"/>
  <c r="D13" i="8"/>
  <c r="D32" i="8"/>
  <c r="D11" i="8"/>
  <c r="D10" i="8"/>
  <c r="D9" i="8"/>
  <c r="D7" i="8"/>
  <c r="D6" i="8"/>
  <c r="D5" i="8"/>
  <c r="D34" i="8"/>
  <c r="D24" i="8"/>
  <c r="D23" i="8"/>
  <c r="E18" i="7"/>
  <c r="F14" i="1"/>
  <c r="J30" i="7"/>
  <c r="J19" i="7"/>
  <c r="J17" i="7"/>
  <c r="E11" i="7"/>
  <c r="E10" i="7"/>
  <c r="E37" i="8" l="1"/>
  <c r="F27" i="8" s="1"/>
  <c r="G27" i="8" s="1"/>
  <c r="I27" i="8" s="1"/>
  <c r="E30" i="9"/>
  <c r="G30" i="9" s="1"/>
  <c r="F9" i="8"/>
  <c r="G9" i="8" s="1"/>
  <c r="I9" i="8" s="1"/>
  <c r="F14" i="8"/>
  <c r="G14" i="8" s="1"/>
  <c r="I14" i="8" s="1"/>
  <c r="F15" i="8"/>
  <c r="G15" i="8" s="1"/>
  <c r="I15" i="8" s="1"/>
  <c r="J28" i="4"/>
  <c r="F32" i="8" l="1"/>
  <c r="G32" i="8" s="1"/>
  <c r="I32" i="8" s="1"/>
  <c r="I31" i="8" s="1"/>
  <c r="K31" i="8" s="1"/>
  <c r="B67" i="6" s="1"/>
  <c r="F26" i="8"/>
  <c r="G26" i="8" s="1"/>
  <c r="I26" i="8" s="1"/>
  <c r="F21" i="8"/>
  <c r="G21" i="8" s="1"/>
  <c r="I21" i="8" s="1"/>
  <c r="F10" i="8"/>
  <c r="G10" i="8" s="1"/>
  <c r="I10" i="8" s="1"/>
  <c r="F7" i="8"/>
  <c r="G7" i="8" s="1"/>
  <c r="I7" i="8" s="1"/>
  <c r="F34" i="8"/>
  <c r="G34" i="8" s="1"/>
  <c r="I34" i="8" s="1"/>
  <c r="I33" i="8" s="1"/>
  <c r="K33" i="8" s="1"/>
  <c r="F24" i="8"/>
  <c r="G24" i="8" s="1"/>
  <c r="I24" i="8" s="1"/>
  <c r="F20" i="8"/>
  <c r="G20" i="8" s="1"/>
  <c r="I20" i="8" s="1"/>
  <c r="F29" i="8"/>
  <c r="G29" i="8" s="1"/>
  <c r="I29" i="8" s="1"/>
  <c r="G37" i="8"/>
  <c r="F5" i="8"/>
  <c r="G5" i="8" s="1"/>
  <c r="I5" i="8" s="1"/>
  <c r="F23" i="8"/>
  <c r="G23" i="8" s="1"/>
  <c r="I23" i="8" s="1"/>
  <c r="F6" i="8"/>
  <c r="G6" i="8" s="1"/>
  <c r="I6" i="8" s="1"/>
  <c r="F11" i="8"/>
  <c r="G11" i="8" s="1"/>
  <c r="I11" i="8" s="1"/>
  <c r="F13" i="8"/>
  <c r="G13" i="8" s="1"/>
  <c r="I13" i="8" s="1"/>
  <c r="I12" i="8" s="1"/>
  <c r="K12" i="8" s="1"/>
  <c r="B65" i="6" s="1"/>
  <c r="F18" i="8"/>
  <c r="G18" i="8" s="1"/>
  <c r="I18" i="8" s="1"/>
  <c r="F17" i="8"/>
  <c r="G17" i="8" s="1"/>
  <c r="I17" i="8" s="1"/>
  <c r="I16" i="8" s="1"/>
  <c r="K16" i="8" s="1"/>
  <c r="F30" i="8"/>
  <c r="G30" i="8" s="1"/>
  <c r="I30" i="8" s="1"/>
  <c r="F36" i="8"/>
  <c r="G36" i="8" s="1"/>
  <c r="F15" i="9"/>
  <c r="G15" i="9" s="1"/>
  <c r="I15" i="9" s="1"/>
  <c r="F8" i="9"/>
  <c r="G8" i="9" s="1"/>
  <c r="I8" i="9" s="1"/>
  <c r="F7" i="9"/>
  <c r="G7" i="9" s="1"/>
  <c r="I7" i="9" s="1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29" i="9"/>
  <c r="G29" i="9" s="1"/>
  <c r="F27" i="9"/>
  <c r="G27" i="9" s="1"/>
  <c r="I27" i="9" s="1"/>
  <c r="I26" i="9" s="1"/>
  <c r="K26" i="9" s="1"/>
  <c r="F16" i="9"/>
  <c r="F25" i="9"/>
  <c r="G25" i="9" s="1"/>
  <c r="I25" i="9" s="1"/>
  <c r="I24" i="9" s="1"/>
  <c r="K24" i="9" s="1"/>
  <c r="F23" i="9"/>
  <c r="G23" i="9" s="1"/>
  <c r="I23" i="9" s="1"/>
  <c r="F20" i="9"/>
  <c r="G20" i="9" s="1"/>
  <c r="I20" i="9" s="1"/>
  <c r="F22" i="9"/>
  <c r="G22" i="9" s="1"/>
  <c r="I22" i="9" s="1"/>
  <c r="F17" i="9"/>
  <c r="G17" i="9" s="1"/>
  <c r="I17" i="9" s="1"/>
  <c r="F5" i="9"/>
  <c r="G5" i="9" s="1"/>
  <c r="I5" i="9" s="1"/>
  <c r="F6" i="9"/>
  <c r="G6" i="9" s="1"/>
  <c r="I6" i="9" s="1"/>
  <c r="F19" i="9"/>
  <c r="G19" i="9" s="1"/>
  <c r="I19" i="9" s="1"/>
  <c r="I25" i="8"/>
  <c r="K25" i="8" s="1"/>
  <c r="B26" i="6" s="1"/>
  <c r="I8" i="8"/>
  <c r="K8" i="8" s="1"/>
  <c r="I22" i="8"/>
  <c r="K22" i="8" s="1"/>
  <c r="J27" i="5"/>
  <c r="I28" i="8" l="1"/>
  <c r="K28" i="8" s="1"/>
  <c r="B6" i="6" s="1"/>
  <c r="I4" i="8"/>
  <c r="K4" i="8" s="1"/>
  <c r="I19" i="8"/>
  <c r="K19" i="8" s="1"/>
  <c r="B57" i="6"/>
  <c r="I18" i="9"/>
  <c r="K18" i="9" s="1"/>
  <c r="G16" i="9"/>
  <c r="I16" i="9" s="1"/>
  <c r="I14" i="9" s="1"/>
  <c r="K14" i="9" s="1"/>
  <c r="I4" i="9"/>
  <c r="K4" i="9" s="1"/>
  <c r="I9" i="9"/>
  <c r="K9" i="9" s="1"/>
  <c r="I21" i="9"/>
  <c r="K21" i="9" s="1"/>
  <c r="C14" i="7"/>
  <c r="C11" i="7"/>
  <c r="D11" i="7" s="1"/>
  <c r="C10" i="7"/>
  <c r="D10" i="7" s="1"/>
  <c r="E32" i="7"/>
  <c r="E31" i="7"/>
  <c r="E29" i="7"/>
  <c r="E28" i="7"/>
  <c r="E24" i="7"/>
  <c r="E23" i="7"/>
  <c r="E22" i="7"/>
  <c r="E21" i="7"/>
  <c r="E20" i="7"/>
  <c r="E16" i="7"/>
  <c r="E15" i="7"/>
  <c r="E14" i="7"/>
  <c r="E12" i="7"/>
  <c r="E8" i="7"/>
  <c r="E6" i="7"/>
  <c r="E5" i="7"/>
  <c r="E35" i="7" s="1"/>
  <c r="D14" i="7"/>
  <c r="D24" i="7"/>
  <c r="D23" i="7"/>
  <c r="D22" i="7"/>
  <c r="D16" i="7"/>
  <c r="D15" i="7"/>
  <c r="D34" i="7"/>
  <c r="D32" i="7"/>
  <c r="D31" i="7"/>
  <c r="D29" i="7"/>
  <c r="D28" i="7"/>
  <c r="D21" i="7"/>
  <c r="D20" i="7"/>
  <c r="D18" i="7"/>
  <c r="D12" i="7"/>
  <c r="D8" i="7"/>
  <c r="D6" i="7"/>
  <c r="D5" i="7"/>
  <c r="J36" i="5"/>
  <c r="J4" i="5"/>
  <c r="F10" i="7" l="1"/>
  <c r="G10" i="7" s="1"/>
  <c r="J21" i="5"/>
  <c r="F24" i="7" l="1"/>
  <c r="G24" i="7" s="1"/>
  <c r="I24" i="7" s="1"/>
  <c r="F23" i="7"/>
  <c r="G23" i="7" s="1"/>
  <c r="I23" i="7" s="1"/>
  <c r="F22" i="7"/>
  <c r="G22" i="7" s="1"/>
  <c r="I22" i="7" s="1"/>
  <c r="F16" i="7"/>
  <c r="G16" i="7" s="1"/>
  <c r="I16" i="7" s="1"/>
  <c r="F15" i="7"/>
  <c r="G15" i="7" s="1"/>
  <c r="I15" i="7" s="1"/>
  <c r="F14" i="7"/>
  <c r="G14" i="7" s="1"/>
  <c r="I14" i="7" s="1"/>
  <c r="F34" i="7"/>
  <c r="G34" i="7" s="1"/>
  <c r="F21" i="7"/>
  <c r="G21" i="7" s="1"/>
  <c r="I21" i="7" s="1"/>
  <c r="I10" i="7"/>
  <c r="F8" i="7"/>
  <c r="G8" i="7" s="1"/>
  <c r="I8" i="7" s="1"/>
  <c r="I7" i="7" s="1"/>
  <c r="K7" i="7" s="1"/>
  <c r="F6" i="7"/>
  <c r="G6" i="7" s="1"/>
  <c r="I6" i="7" s="1"/>
  <c r="G35" i="7"/>
  <c r="F31" i="7"/>
  <c r="G31" i="7" s="1"/>
  <c r="I31" i="7" s="1"/>
  <c r="F29" i="7"/>
  <c r="G29" i="7" s="1"/>
  <c r="I29" i="7" s="1"/>
  <c r="F12" i="7"/>
  <c r="G12" i="7" s="1"/>
  <c r="I12" i="7" s="1"/>
  <c r="F26" i="7"/>
  <c r="G26" i="7" s="1"/>
  <c r="I26" i="7" s="1"/>
  <c r="F32" i="7"/>
  <c r="G32" i="7" s="1"/>
  <c r="I32" i="7" s="1"/>
  <c r="F28" i="7"/>
  <c r="G28" i="7" s="1"/>
  <c r="I28" i="7" s="1"/>
  <c r="I27" i="7" s="1"/>
  <c r="K27" i="7" s="1"/>
  <c r="F5" i="7"/>
  <c r="F11" i="7"/>
  <c r="G11" i="7" s="1"/>
  <c r="I11" i="7" s="1"/>
  <c r="F18" i="7"/>
  <c r="G18" i="7" s="1"/>
  <c r="I18" i="7" s="1"/>
  <c r="F20" i="7"/>
  <c r="G20" i="7" s="1"/>
  <c r="I20" i="7" s="1"/>
  <c r="J7" i="5"/>
  <c r="J31" i="5"/>
  <c r="J33" i="5"/>
  <c r="J9" i="5"/>
  <c r="J39" i="4"/>
  <c r="J24" i="5"/>
  <c r="G5" i="7" l="1"/>
  <c r="I5" i="7" s="1"/>
  <c r="I4" i="7" s="1"/>
  <c r="K4" i="7" s="1"/>
  <c r="B46" i="6" s="1"/>
  <c r="I13" i="7"/>
  <c r="K13" i="7" s="1"/>
  <c r="B8" i="6" s="1"/>
  <c r="I19" i="7"/>
  <c r="K19" i="7" s="1"/>
  <c r="I30" i="7"/>
  <c r="K30" i="7" s="1"/>
  <c r="B68" i="6" s="1"/>
  <c r="I9" i="7"/>
  <c r="K9" i="7" s="1"/>
  <c r="B4" i="6" s="1"/>
  <c r="I25" i="7"/>
  <c r="K25" i="7" s="1"/>
  <c r="I17" i="7"/>
  <c r="K17" i="7" s="1"/>
  <c r="J45" i="4"/>
  <c r="J33" i="4"/>
  <c r="D12" i="5"/>
  <c r="E61" i="4"/>
  <c r="D61" i="4"/>
  <c r="E38" i="5"/>
  <c r="E37" i="5"/>
  <c r="E35" i="5"/>
  <c r="E34" i="5"/>
  <c r="E32" i="5"/>
  <c r="E30" i="5"/>
  <c r="E29" i="5"/>
  <c r="E28" i="5"/>
  <c r="E26" i="5"/>
  <c r="E25" i="5"/>
  <c r="E23" i="5"/>
  <c r="E22" i="5"/>
  <c r="E20" i="5"/>
  <c r="E19" i="5"/>
  <c r="E18" i="5"/>
  <c r="E17" i="5"/>
  <c r="E16" i="5"/>
  <c r="E15" i="5"/>
  <c r="E14" i="5"/>
  <c r="E13" i="5"/>
  <c r="E12" i="5"/>
  <c r="E11" i="5"/>
  <c r="E10" i="5"/>
  <c r="E8" i="5"/>
  <c r="E6" i="5"/>
  <c r="E5" i="5"/>
  <c r="D14" i="5"/>
  <c r="D13" i="5"/>
  <c r="D16" i="5"/>
  <c r="D15" i="5"/>
  <c r="D11" i="5"/>
  <c r="D18" i="5"/>
  <c r="D17" i="5"/>
  <c r="D40" i="5"/>
  <c r="D38" i="5"/>
  <c r="D37" i="5"/>
  <c r="D32" i="5"/>
  <c r="D35" i="5"/>
  <c r="D34" i="5"/>
  <c r="D30" i="5"/>
  <c r="D29" i="5"/>
  <c r="D28" i="5"/>
  <c r="D26" i="5"/>
  <c r="D25" i="5"/>
  <c r="D23" i="5"/>
  <c r="D22" i="5"/>
  <c r="D20" i="5"/>
  <c r="D19" i="5"/>
  <c r="D10" i="5"/>
  <c r="D8" i="5"/>
  <c r="D6" i="5"/>
  <c r="D5" i="5"/>
  <c r="E41" i="5" l="1"/>
  <c r="F14" i="5" s="1"/>
  <c r="G14" i="5" s="1"/>
  <c r="I14" i="5" s="1"/>
  <c r="F40" i="5" l="1"/>
  <c r="G40" i="5" s="1"/>
  <c r="F10" i="5"/>
  <c r="G10" i="5" s="1"/>
  <c r="I10" i="5" s="1"/>
  <c r="F30" i="5"/>
  <c r="G30" i="5" s="1"/>
  <c r="I30" i="5" s="1"/>
  <c r="F19" i="5"/>
  <c r="G19" i="5" s="1"/>
  <c r="I19" i="5" s="1"/>
  <c r="F22" i="5"/>
  <c r="G22" i="5" s="1"/>
  <c r="I22" i="5" s="1"/>
  <c r="F18" i="5"/>
  <c r="G18" i="5" s="1"/>
  <c r="I18" i="5" s="1"/>
  <c r="F13" i="5"/>
  <c r="G13" i="5" s="1"/>
  <c r="I13" i="5" s="1"/>
  <c r="F34" i="5"/>
  <c r="G34" i="5" s="1"/>
  <c r="I34" i="5" s="1"/>
  <c r="F38" i="5"/>
  <c r="G38" i="5" s="1"/>
  <c r="I38" i="5" s="1"/>
  <c r="F17" i="5"/>
  <c r="G17" i="5" s="1"/>
  <c r="I17" i="5" s="1"/>
  <c r="F12" i="5"/>
  <c r="G12" i="5" s="1"/>
  <c r="I12" i="5" s="1"/>
  <c r="F25" i="5"/>
  <c r="G25" i="5" s="1"/>
  <c r="I25" i="5" s="1"/>
  <c r="F32" i="5"/>
  <c r="G32" i="5" s="1"/>
  <c r="I32" i="5" s="1"/>
  <c r="I31" i="5" s="1"/>
  <c r="K31" i="5" s="1"/>
  <c r="F37" i="5"/>
  <c r="G37" i="5" s="1"/>
  <c r="I37" i="5" s="1"/>
  <c r="F26" i="5"/>
  <c r="G26" i="5" s="1"/>
  <c r="I26" i="5" s="1"/>
  <c r="F28" i="5"/>
  <c r="G28" i="5" s="1"/>
  <c r="I28" i="5" s="1"/>
  <c r="F15" i="5"/>
  <c r="G15" i="5" s="1"/>
  <c r="I15" i="5" s="1"/>
  <c r="G41" i="5"/>
  <c r="F6" i="5"/>
  <c r="G6" i="5" s="1"/>
  <c r="I6" i="5" s="1"/>
  <c r="F23" i="5"/>
  <c r="G23" i="5" s="1"/>
  <c r="I23" i="5" s="1"/>
  <c r="F16" i="5"/>
  <c r="G16" i="5" s="1"/>
  <c r="I16" i="5" s="1"/>
  <c r="F29" i="5"/>
  <c r="G29" i="5" s="1"/>
  <c r="I29" i="5" s="1"/>
  <c r="F20" i="5"/>
  <c r="G20" i="5" s="1"/>
  <c r="I20" i="5" s="1"/>
  <c r="F5" i="5"/>
  <c r="G5" i="5" s="1"/>
  <c r="I5" i="5" s="1"/>
  <c r="F35" i="5"/>
  <c r="G35" i="5" s="1"/>
  <c r="I35" i="5" s="1"/>
  <c r="F8" i="5"/>
  <c r="G8" i="5" s="1"/>
  <c r="I8" i="5" s="1"/>
  <c r="I7" i="5" s="1"/>
  <c r="K7" i="5" s="1"/>
  <c r="B56" i="6" s="1"/>
  <c r="F11" i="5"/>
  <c r="G11" i="5" s="1"/>
  <c r="I11" i="5" s="1"/>
  <c r="I36" i="5"/>
  <c r="K36" i="5" s="1"/>
  <c r="I4" i="5" l="1"/>
  <c r="K4" i="5" s="1"/>
  <c r="B63" i="6" s="1"/>
  <c r="I24" i="5"/>
  <c r="K24" i="5" s="1"/>
  <c r="I9" i="5"/>
  <c r="K9" i="5" s="1"/>
  <c r="I21" i="5"/>
  <c r="K21" i="5" s="1"/>
  <c r="B42" i="6" s="1"/>
  <c r="I27" i="5"/>
  <c r="K27" i="5" s="1"/>
  <c r="I33" i="5"/>
  <c r="K33" i="5" s="1"/>
  <c r="B13" i="6" s="1"/>
  <c r="J24" i="4"/>
  <c r="J7" i="4"/>
  <c r="J14" i="4"/>
  <c r="J50" i="4"/>
  <c r="J55" i="4"/>
  <c r="J64" i="4"/>
  <c r="J66" i="4"/>
  <c r="E75" i="4" l="1"/>
  <c r="J74" i="4" l="1"/>
  <c r="E16" i="4" l="1"/>
  <c r="D16" i="4"/>
  <c r="E76" i="4" l="1"/>
  <c r="E73" i="4"/>
  <c r="E72" i="4"/>
  <c r="E71" i="4"/>
  <c r="E69" i="4"/>
  <c r="E68" i="4"/>
  <c r="E67" i="4"/>
  <c r="E65" i="4"/>
  <c r="E63" i="4"/>
  <c r="E60" i="4"/>
  <c r="E59" i="4"/>
  <c r="E58" i="4"/>
  <c r="E57" i="4"/>
  <c r="E56" i="4"/>
  <c r="E54" i="4"/>
  <c r="E52" i="4"/>
  <c r="E51" i="4"/>
  <c r="E49" i="4"/>
  <c r="E48" i="4"/>
  <c r="E47" i="4"/>
  <c r="E46" i="4"/>
  <c r="E44" i="4"/>
  <c r="E43" i="4"/>
  <c r="E42" i="4"/>
  <c r="E41" i="4"/>
  <c r="E40" i="4"/>
  <c r="E38" i="4"/>
  <c r="D73" i="4"/>
  <c r="D72" i="4"/>
  <c r="D71" i="4"/>
  <c r="D69" i="4"/>
  <c r="D68" i="4"/>
  <c r="D67" i="4"/>
  <c r="D65" i="4"/>
  <c r="D63" i="4"/>
  <c r="D57" i="4"/>
  <c r="D60" i="4"/>
  <c r="D59" i="4"/>
  <c r="D58" i="4"/>
  <c r="D56" i="4"/>
  <c r="D52" i="4"/>
  <c r="D51" i="4"/>
  <c r="D54" i="4"/>
  <c r="D49" i="4"/>
  <c r="D48" i="4"/>
  <c r="D47" i="4"/>
  <c r="D46" i="4"/>
  <c r="D42" i="4"/>
  <c r="D38" i="4"/>
  <c r="E35" i="4"/>
  <c r="E34" i="4"/>
  <c r="E32" i="4"/>
  <c r="E31" i="4"/>
  <c r="E30" i="4"/>
  <c r="E29" i="4"/>
  <c r="E27" i="4"/>
  <c r="E26" i="4"/>
  <c r="E25" i="4"/>
  <c r="E23" i="4"/>
  <c r="E22" i="4"/>
  <c r="E20" i="4"/>
  <c r="E18" i="4"/>
  <c r="E17" i="4"/>
  <c r="E15" i="4"/>
  <c r="E13" i="4"/>
  <c r="E11" i="4"/>
  <c r="E10" i="4"/>
  <c r="E9" i="4"/>
  <c r="E8" i="4"/>
  <c r="D15" i="4"/>
  <c r="E79" i="4" l="1"/>
  <c r="G79" i="4" s="1"/>
  <c r="D78" i="4"/>
  <c r="D76" i="4"/>
  <c r="D75" i="4"/>
  <c r="D44" i="4"/>
  <c r="D43" i="4"/>
  <c r="D41" i="4"/>
  <c r="D40" i="4"/>
  <c r="D35" i="4"/>
  <c r="D34" i="4"/>
  <c r="D32" i="4"/>
  <c r="D31" i="4"/>
  <c r="D30" i="4"/>
  <c r="D29" i="4"/>
  <c r="D27" i="4"/>
  <c r="D26" i="4"/>
  <c r="D25" i="4"/>
  <c r="D23" i="4"/>
  <c r="D22" i="4"/>
  <c r="D18" i="4"/>
  <c r="D17" i="4"/>
  <c r="D13" i="4"/>
  <c r="D11" i="4"/>
  <c r="D10" i="4"/>
  <c r="D9" i="4"/>
  <c r="D8" i="4"/>
  <c r="D20" i="4"/>
  <c r="F16" i="4" l="1"/>
  <c r="G16" i="4" s="1"/>
  <c r="I16" i="4" s="1"/>
  <c r="F8" i="4"/>
  <c r="G8" i="4" s="1"/>
  <c r="I8" i="4" s="1"/>
  <c r="F76" i="4"/>
  <c r="G76" i="4" s="1"/>
  <c r="I76" i="4" s="1"/>
  <c r="F61" i="4"/>
  <c r="F73" i="4"/>
  <c r="G73" i="4" s="1"/>
  <c r="I73" i="4" s="1"/>
  <c r="F72" i="4"/>
  <c r="G72" i="4" s="1"/>
  <c r="I72" i="4" s="1"/>
  <c r="F71" i="4"/>
  <c r="G71" i="4" s="1"/>
  <c r="I71" i="4" s="1"/>
  <c r="F69" i="4"/>
  <c r="G69" i="4" s="1"/>
  <c r="I69" i="4" s="1"/>
  <c r="F68" i="4"/>
  <c r="G68" i="4" s="1"/>
  <c r="I68" i="4" s="1"/>
  <c r="F67" i="4"/>
  <c r="G67" i="4" s="1"/>
  <c r="I67" i="4" s="1"/>
  <c r="F65" i="4"/>
  <c r="G65" i="4" s="1"/>
  <c r="I65" i="4" s="1"/>
  <c r="I64" i="4" s="1"/>
  <c r="K64" i="4" s="1"/>
  <c r="F57" i="4"/>
  <c r="G57" i="4" s="1"/>
  <c r="I57" i="4" s="1"/>
  <c r="F63" i="4"/>
  <c r="G63" i="4" s="1"/>
  <c r="I63" i="4" s="1"/>
  <c r="I62" i="4" s="1"/>
  <c r="K62" i="4" s="1"/>
  <c r="F60" i="4"/>
  <c r="G60" i="4" s="1"/>
  <c r="I60" i="4" s="1"/>
  <c r="F59" i="4"/>
  <c r="G59" i="4" s="1"/>
  <c r="I59" i="4" s="1"/>
  <c r="F58" i="4"/>
  <c r="G58" i="4" s="1"/>
  <c r="I58" i="4" s="1"/>
  <c r="F56" i="4"/>
  <c r="G56" i="4" s="1"/>
  <c r="I56" i="4" s="1"/>
  <c r="F52" i="4"/>
  <c r="G52" i="4" s="1"/>
  <c r="I52" i="4" s="1"/>
  <c r="F51" i="4"/>
  <c r="G51" i="4" s="1"/>
  <c r="I51" i="4" s="1"/>
  <c r="F54" i="4"/>
  <c r="G54" i="4" s="1"/>
  <c r="I54" i="4" s="1"/>
  <c r="F42" i="4"/>
  <c r="G42" i="4" s="1"/>
  <c r="I42" i="4" s="1"/>
  <c r="F49" i="4"/>
  <c r="G49" i="4" s="1"/>
  <c r="I49" i="4" s="1"/>
  <c r="F48" i="4"/>
  <c r="G48" i="4" s="1"/>
  <c r="I48" i="4" s="1"/>
  <c r="F47" i="4"/>
  <c r="G47" i="4" s="1"/>
  <c r="I47" i="4" s="1"/>
  <c r="F46" i="4"/>
  <c r="G46" i="4" s="1"/>
  <c r="I46" i="4" s="1"/>
  <c r="F11" i="4"/>
  <c r="G11" i="4" s="1"/>
  <c r="I11" i="4" s="1"/>
  <c r="F38" i="4"/>
  <c r="G38" i="4" s="1"/>
  <c r="I38" i="4" s="1"/>
  <c r="F10" i="4"/>
  <c r="G10" i="4" s="1"/>
  <c r="I10" i="4" s="1"/>
  <c r="F15" i="4"/>
  <c r="G15" i="4" s="1"/>
  <c r="I15" i="4" s="1"/>
  <c r="F13" i="4"/>
  <c r="G13" i="4" s="1"/>
  <c r="I13" i="4" s="1"/>
  <c r="I12" i="4" s="1"/>
  <c r="K12" i="4" s="1"/>
  <c r="F20" i="4"/>
  <c r="G20" i="4" s="1"/>
  <c r="F9" i="4"/>
  <c r="G9" i="4" s="1"/>
  <c r="I9" i="4" s="1"/>
  <c r="F17" i="4"/>
  <c r="G17" i="4" s="1"/>
  <c r="I17" i="4" s="1"/>
  <c r="F41" i="4"/>
  <c r="G41" i="4" s="1"/>
  <c r="I41" i="4" s="1"/>
  <c r="F78" i="4"/>
  <c r="G78" i="4" s="1"/>
  <c r="F44" i="4"/>
  <c r="G44" i="4" s="1"/>
  <c r="I44" i="4" s="1"/>
  <c r="F35" i="4"/>
  <c r="G35" i="4" s="1"/>
  <c r="I35" i="4" s="1"/>
  <c r="F32" i="4"/>
  <c r="G32" i="4" s="1"/>
  <c r="I32" i="4" s="1"/>
  <c r="F29" i="4"/>
  <c r="G29" i="4" s="1"/>
  <c r="I29" i="4" s="1"/>
  <c r="F25" i="4"/>
  <c r="G25" i="4" s="1"/>
  <c r="I25" i="4" s="1"/>
  <c r="F22" i="4"/>
  <c r="G22" i="4" s="1"/>
  <c r="I22" i="4" s="1"/>
  <c r="F18" i="4"/>
  <c r="G18" i="4" s="1"/>
  <c r="I18" i="4" s="1"/>
  <c r="F23" i="4"/>
  <c r="G23" i="4" s="1"/>
  <c r="I23" i="4" s="1"/>
  <c r="F26" i="4"/>
  <c r="G26" i="4" s="1"/>
  <c r="I26" i="4" s="1"/>
  <c r="F27" i="4"/>
  <c r="G27" i="4" s="1"/>
  <c r="I27" i="4" s="1"/>
  <c r="F30" i="4"/>
  <c r="G30" i="4" s="1"/>
  <c r="I30" i="4" s="1"/>
  <c r="F31" i="4"/>
  <c r="G31" i="4" s="1"/>
  <c r="I31" i="4" s="1"/>
  <c r="F34" i="4"/>
  <c r="G34" i="4" s="1"/>
  <c r="I34" i="4" s="1"/>
  <c r="F40" i="4"/>
  <c r="G40" i="4" s="1"/>
  <c r="I40" i="4" s="1"/>
  <c r="F43" i="4"/>
  <c r="G43" i="4" s="1"/>
  <c r="I43" i="4" s="1"/>
  <c r="F75" i="4"/>
  <c r="G75" i="4" s="1"/>
  <c r="I75" i="4" s="1"/>
  <c r="I74" i="4" l="1"/>
  <c r="G61" i="4"/>
  <c r="I61" i="4" s="1"/>
  <c r="I55" i="4" s="1"/>
  <c r="K55" i="4" s="1"/>
  <c r="B11" i="6" s="1"/>
  <c r="I20" i="4"/>
  <c r="I19" i="4" s="1"/>
  <c r="K19" i="4" s="1"/>
  <c r="I70" i="4"/>
  <c r="K70" i="4" s="1"/>
  <c r="B38" i="6" s="1"/>
  <c r="I66" i="4"/>
  <c r="K66" i="4" s="1"/>
  <c r="B53" i="6" s="1"/>
  <c r="I50" i="4"/>
  <c r="K50" i="4" s="1"/>
  <c r="I37" i="4"/>
  <c r="K37" i="4" s="1"/>
  <c r="I53" i="4"/>
  <c r="K53" i="4" s="1"/>
  <c r="I39" i="4"/>
  <c r="I45" i="4"/>
  <c r="I14" i="4"/>
  <c r="K14" i="4" s="1"/>
  <c r="I7" i="4"/>
  <c r="K7" i="4" s="1"/>
  <c r="B35" i="6" s="1"/>
  <c r="I21" i="4"/>
  <c r="K21" i="4" s="1"/>
  <c r="I28" i="4"/>
  <c r="K28" i="4" s="1"/>
  <c r="B17" i="6" s="1"/>
  <c r="I24" i="4"/>
  <c r="K24" i="4" s="1"/>
  <c r="B14" i="6" s="1"/>
  <c r="K74" i="4"/>
  <c r="B34" i="6" s="1"/>
  <c r="K39" i="4"/>
  <c r="I33" i="4"/>
  <c r="K33" i="4" s="1"/>
  <c r="K45" i="4" l="1"/>
  <c r="B25" i="6" s="1"/>
  <c r="E47" i="3"/>
  <c r="E46" i="3"/>
  <c r="E45" i="3"/>
  <c r="E44" i="3"/>
  <c r="E43" i="3"/>
  <c r="E41" i="3"/>
  <c r="E40" i="3"/>
  <c r="E39" i="3"/>
  <c r="E38" i="3"/>
  <c r="E36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7" i="3"/>
  <c r="E16" i="3"/>
  <c r="E14" i="3"/>
  <c r="E12" i="3"/>
  <c r="E11" i="3"/>
  <c r="E10" i="3"/>
  <c r="E9" i="3"/>
  <c r="E8" i="3"/>
  <c r="E7" i="3"/>
  <c r="E5" i="3"/>
  <c r="D5" i="3"/>
  <c r="C16" i="3"/>
  <c r="D16" i="3" s="1"/>
  <c r="D45" i="3"/>
  <c r="D44" i="3"/>
  <c r="D39" i="3"/>
  <c r="D38" i="3"/>
  <c r="D34" i="3"/>
  <c r="D29" i="3"/>
  <c r="D28" i="3"/>
  <c r="D23" i="3"/>
  <c r="D9" i="3"/>
  <c r="D8" i="3"/>
  <c r="D49" i="3"/>
  <c r="D47" i="3"/>
  <c r="D46" i="3"/>
  <c r="D43" i="3"/>
  <c r="D41" i="3"/>
  <c r="D40" i="3"/>
  <c r="D36" i="3"/>
  <c r="D35" i="3"/>
  <c r="D33" i="3"/>
  <c r="D14" i="3"/>
  <c r="D31" i="3"/>
  <c r="D30" i="3"/>
  <c r="D27" i="3"/>
  <c r="D20" i="3"/>
  <c r="D19" i="3"/>
  <c r="D25" i="3"/>
  <c r="D24" i="3"/>
  <c r="D22" i="3"/>
  <c r="D12" i="3"/>
  <c r="D11" i="3"/>
  <c r="D10" i="3"/>
  <c r="D7" i="3"/>
  <c r="D17" i="3"/>
  <c r="J32" i="2"/>
  <c r="J22" i="2"/>
  <c r="J10" i="2"/>
  <c r="J8" i="2"/>
  <c r="J35" i="2"/>
  <c r="J26" i="2"/>
  <c r="E50" i="3" l="1"/>
  <c r="G50" i="3" s="1"/>
  <c r="J28" i="2"/>
  <c r="J41" i="2"/>
  <c r="J15" i="2"/>
  <c r="J5" i="2"/>
  <c r="F5" i="3" l="1"/>
  <c r="G5" i="3" s="1"/>
  <c r="F45" i="3"/>
  <c r="F44" i="3"/>
  <c r="F34" i="3"/>
  <c r="F39" i="3"/>
  <c r="F38" i="3"/>
  <c r="F23" i="3"/>
  <c r="F29" i="3"/>
  <c r="F28" i="3"/>
  <c r="F24" i="3"/>
  <c r="F9" i="3"/>
  <c r="F8" i="3"/>
  <c r="F22" i="3"/>
  <c r="F43" i="3"/>
  <c r="F20" i="3"/>
  <c r="F47" i="3"/>
  <c r="F19" i="3"/>
  <c r="F35" i="3"/>
  <c r="F33" i="3"/>
  <c r="F10" i="3"/>
  <c r="F16" i="3"/>
  <c r="F14" i="3"/>
  <c r="F30" i="3"/>
  <c r="F49" i="3"/>
  <c r="G49" i="3" s="1"/>
  <c r="F36" i="3"/>
  <c r="F17" i="3"/>
  <c r="F12" i="3"/>
  <c r="F41" i="3"/>
  <c r="F40" i="3"/>
  <c r="F7" i="3"/>
  <c r="F31" i="3"/>
  <c r="F11" i="3"/>
  <c r="F46" i="3"/>
  <c r="F27" i="3"/>
  <c r="F25" i="3"/>
  <c r="E34" i="2"/>
  <c r="E33" i="2"/>
  <c r="E31" i="2"/>
  <c r="E30" i="2"/>
  <c r="E29" i="2"/>
  <c r="E27" i="2"/>
  <c r="E25" i="2"/>
  <c r="E24" i="2"/>
  <c r="E23" i="2"/>
  <c r="E21" i="2"/>
  <c r="E20" i="2"/>
  <c r="E18" i="2"/>
  <c r="E17" i="2"/>
  <c r="E16" i="2"/>
  <c r="D46" i="2"/>
  <c r="D37" i="2"/>
  <c r="D36" i="2"/>
  <c r="D34" i="2"/>
  <c r="D33" i="2"/>
  <c r="D40" i="2"/>
  <c r="D39" i="2"/>
  <c r="D31" i="2"/>
  <c r="D30" i="2"/>
  <c r="D29" i="2"/>
  <c r="D27" i="2"/>
  <c r="D25" i="2"/>
  <c r="D24" i="2"/>
  <c r="D23" i="2"/>
  <c r="D43" i="2"/>
  <c r="D42" i="2"/>
  <c r="D16" i="2"/>
  <c r="E9" i="2"/>
  <c r="E7" i="2"/>
  <c r="E6" i="2"/>
  <c r="E14" i="2"/>
  <c r="E13" i="2"/>
  <c r="E12" i="2"/>
  <c r="E11" i="2"/>
  <c r="D21" i="2"/>
  <c r="D44" i="2"/>
  <c r="D20" i="2"/>
  <c r="D12" i="2"/>
  <c r="D13" i="2"/>
  <c r="D14" i="2"/>
  <c r="D17" i="2"/>
  <c r="D18" i="2"/>
  <c r="D11" i="2"/>
  <c r="D9" i="2"/>
  <c r="D7" i="2"/>
  <c r="D6" i="2"/>
  <c r="E47" i="2" l="1"/>
  <c r="G40" i="3"/>
  <c r="I40" i="3" s="1"/>
  <c r="G14" i="3"/>
  <c r="I14" i="3" s="1"/>
  <c r="I13" i="3" s="1"/>
  <c r="K13" i="3" s="1"/>
  <c r="B9" i="6" s="1"/>
  <c r="G24" i="3"/>
  <c r="I24" i="3" s="1"/>
  <c r="G45" i="3"/>
  <c r="I45" i="3" s="1"/>
  <c r="G7" i="3"/>
  <c r="I7" i="3" s="1"/>
  <c r="G30" i="3"/>
  <c r="I30" i="3" s="1"/>
  <c r="G20" i="3"/>
  <c r="I20" i="3" s="1"/>
  <c r="G9" i="3"/>
  <c r="I9" i="3" s="1"/>
  <c r="G44" i="3"/>
  <c r="I44" i="3" s="1"/>
  <c r="G25" i="3"/>
  <c r="I25" i="3" s="1"/>
  <c r="G31" i="3"/>
  <c r="I31" i="3" s="1"/>
  <c r="G12" i="3"/>
  <c r="I12" i="3" s="1"/>
  <c r="G10" i="3"/>
  <c r="I10" i="3" s="1"/>
  <c r="G47" i="3"/>
  <c r="I47" i="3" s="1"/>
  <c r="G8" i="3"/>
  <c r="I8" i="3" s="1"/>
  <c r="G29" i="3"/>
  <c r="I29" i="3" s="1"/>
  <c r="G34" i="3"/>
  <c r="I34" i="3" s="1"/>
  <c r="G46" i="3"/>
  <c r="I46" i="3" s="1"/>
  <c r="G35" i="3"/>
  <c r="I35" i="3" s="1"/>
  <c r="G43" i="3"/>
  <c r="I43" i="3" s="1"/>
  <c r="G38" i="3"/>
  <c r="I38" i="3" s="1"/>
  <c r="G27" i="3"/>
  <c r="I27" i="3" s="1"/>
  <c r="G17" i="3"/>
  <c r="I17" i="3" s="1"/>
  <c r="G33" i="3"/>
  <c r="I33" i="3" s="1"/>
  <c r="G23" i="3"/>
  <c r="I23" i="3" s="1"/>
  <c r="G11" i="3"/>
  <c r="I11" i="3" s="1"/>
  <c r="G41" i="3"/>
  <c r="I41" i="3" s="1"/>
  <c r="G36" i="3"/>
  <c r="I36" i="3" s="1"/>
  <c r="G16" i="3"/>
  <c r="I16" i="3" s="1"/>
  <c r="G19" i="3"/>
  <c r="I19" i="3" s="1"/>
  <c r="G22" i="3"/>
  <c r="I22" i="3" s="1"/>
  <c r="G28" i="3"/>
  <c r="I28" i="3" s="1"/>
  <c r="G39" i="3"/>
  <c r="I39" i="3" s="1"/>
  <c r="I5" i="3"/>
  <c r="I4" i="3" s="1"/>
  <c r="K4" i="3" s="1"/>
  <c r="B59" i="6" s="1"/>
  <c r="G5" i="1"/>
  <c r="F44" i="2" l="1"/>
  <c r="G44" i="2" s="1"/>
  <c r="I44" i="2" s="1"/>
  <c r="G47" i="2"/>
  <c r="F6" i="2"/>
  <c r="G6" i="2" s="1"/>
  <c r="I6" i="2" s="1"/>
  <c r="I6" i="3"/>
  <c r="I18" i="3"/>
  <c r="K18" i="3" s="1"/>
  <c r="B69" i="6" s="1"/>
  <c r="I37" i="3"/>
  <c r="K37" i="3" s="1"/>
  <c r="B5" i="6" s="1"/>
  <c r="I21" i="3"/>
  <c r="I26" i="3"/>
  <c r="K26" i="3" s="1"/>
  <c r="B54" i="6" s="1"/>
  <c r="I15" i="3"/>
  <c r="K15" i="3" s="1"/>
  <c r="I42" i="3"/>
  <c r="K42" i="3" s="1"/>
  <c r="B3" i="6" s="1"/>
  <c r="I32" i="3"/>
  <c r="K32" i="3" s="1"/>
  <c r="K6" i="3"/>
  <c r="B33" i="6" s="1"/>
  <c r="F46" i="2"/>
  <c r="G46" i="2" s="1"/>
  <c r="F27" i="2"/>
  <c r="G27" i="2" s="1"/>
  <c r="I27" i="2" s="1"/>
  <c r="I26" i="2" s="1"/>
  <c r="K26" i="2" s="1"/>
  <c r="B27" i="6" s="1"/>
  <c r="F37" i="2"/>
  <c r="G37" i="2" s="1"/>
  <c r="I37" i="2" s="1"/>
  <c r="F36" i="2"/>
  <c r="G36" i="2" s="1"/>
  <c r="I36" i="2" s="1"/>
  <c r="F16" i="2"/>
  <c r="G16" i="2" s="1"/>
  <c r="I16" i="2" s="1"/>
  <c r="F24" i="2"/>
  <c r="G24" i="2" s="1"/>
  <c r="I24" i="2" s="1"/>
  <c r="F17" i="2"/>
  <c r="G17" i="2" s="1"/>
  <c r="I17" i="2" s="1"/>
  <c r="F18" i="2"/>
  <c r="G18" i="2" s="1"/>
  <c r="I18" i="2" s="1"/>
  <c r="F33" i="2"/>
  <c r="G33" i="2" s="1"/>
  <c r="I33" i="2" s="1"/>
  <c r="F34" i="2"/>
  <c r="G34" i="2" s="1"/>
  <c r="I34" i="2" s="1"/>
  <c r="F11" i="2"/>
  <c r="G11" i="2" s="1"/>
  <c r="I11" i="2" s="1"/>
  <c r="F12" i="2"/>
  <c r="G12" i="2" s="1"/>
  <c r="I12" i="2" s="1"/>
  <c r="F25" i="2"/>
  <c r="G25" i="2" s="1"/>
  <c r="I25" i="2" s="1"/>
  <c r="F31" i="2"/>
  <c r="G31" i="2" s="1"/>
  <c r="I31" i="2" s="1"/>
  <c r="F7" i="2"/>
  <c r="G7" i="2" s="1"/>
  <c r="I7" i="2" s="1"/>
  <c r="F39" i="2"/>
  <c r="G39" i="2" s="1"/>
  <c r="I39" i="2" s="1"/>
  <c r="F13" i="2"/>
  <c r="G13" i="2" s="1"/>
  <c r="I13" i="2" s="1"/>
  <c r="F20" i="2"/>
  <c r="G20" i="2" s="1"/>
  <c r="I20" i="2" s="1"/>
  <c r="F9" i="2"/>
  <c r="G9" i="2" s="1"/>
  <c r="I9" i="2" s="1"/>
  <c r="I8" i="2" s="1"/>
  <c r="K8" i="2" s="1"/>
  <c r="B32" i="6" s="1"/>
  <c r="F14" i="2"/>
  <c r="G14" i="2" s="1"/>
  <c r="I14" i="2" s="1"/>
  <c r="F21" i="2"/>
  <c r="G21" i="2" s="1"/>
  <c r="I21" i="2" s="1"/>
  <c r="F43" i="2"/>
  <c r="G43" i="2" s="1"/>
  <c r="I43" i="2" s="1"/>
  <c r="F42" i="2"/>
  <c r="G42" i="2" s="1"/>
  <c r="I42" i="2" s="1"/>
  <c r="F23" i="2"/>
  <c r="G23" i="2" s="1"/>
  <c r="I23" i="2" s="1"/>
  <c r="F30" i="2"/>
  <c r="G30" i="2" s="1"/>
  <c r="I30" i="2" s="1"/>
  <c r="F29" i="2"/>
  <c r="G29" i="2" s="1"/>
  <c r="I29" i="2" s="1"/>
  <c r="F40" i="2"/>
  <c r="G40" i="2" s="1"/>
  <c r="I40" i="2" s="1"/>
  <c r="H5" i="1"/>
  <c r="B14" i="1"/>
  <c r="D9" i="1"/>
  <c r="D7" i="1"/>
  <c r="D11" i="1"/>
  <c r="D12" i="1"/>
  <c r="D13" i="1"/>
  <c r="D5" i="1"/>
  <c r="K21" i="3" l="1"/>
  <c r="B23" i="6" s="1"/>
  <c r="I22" i="2"/>
  <c r="K22" i="2" s="1"/>
  <c r="I5" i="2"/>
  <c r="K5" i="2" s="1"/>
  <c r="B7" i="6" s="1"/>
  <c r="I41" i="2"/>
  <c r="K41" i="2" s="1"/>
  <c r="B12" i="6" s="1"/>
  <c r="I35" i="2"/>
  <c r="K35" i="2" s="1"/>
  <c r="B48" i="6" s="1"/>
  <c r="I28" i="2"/>
  <c r="K28" i="2" s="1"/>
  <c r="B28" i="6" s="1"/>
  <c r="I19" i="2"/>
  <c r="K19" i="2" s="1"/>
  <c r="B62" i="6" s="1"/>
  <c r="I15" i="2"/>
  <c r="K15" i="2" s="1"/>
  <c r="B64" i="6" s="1"/>
  <c r="I38" i="2"/>
  <c r="K38" i="2" s="1"/>
  <c r="B43" i="6" s="1"/>
  <c r="I10" i="2"/>
  <c r="K10" i="2" s="1"/>
  <c r="B30" i="6" s="1"/>
  <c r="I32" i="2"/>
  <c r="K32" i="2" s="1"/>
  <c r="B37" i="6" s="1"/>
  <c r="D14" i="1"/>
  <c r="E13" i="1" s="1"/>
  <c r="F13" i="1" s="1"/>
  <c r="E12" i="1" l="1"/>
  <c r="F12" i="1" s="1"/>
  <c r="E9" i="1"/>
  <c r="F9" i="1" s="1"/>
  <c r="E5" i="1"/>
  <c r="F5" i="1" s="1"/>
  <c r="E7" i="1"/>
  <c r="F7" i="1" s="1"/>
  <c r="E11" i="1"/>
  <c r="F11" i="1" s="1"/>
</calcChain>
</file>

<file path=xl/comments1.xml><?xml version="1.0" encoding="utf-8"?>
<comments xmlns="http://schemas.openxmlformats.org/spreadsheetml/2006/main">
  <authors>
    <author>Автор</author>
  </authors>
  <commentList>
    <comment ref="G48" authorId="0" shapeId="0">
      <text>
        <r>
          <rPr>
            <sz val="9"/>
            <color indexed="81"/>
            <rFont val="Tahoma"/>
            <family val="2"/>
            <charset val="204"/>
          </rPr>
          <t xml:space="preserve">цена за 1 кг в иенах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цена за 1 кг в рублях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<sst xmlns="http://schemas.openxmlformats.org/spreadsheetml/2006/main" count="724" uniqueCount="430">
  <si>
    <t>LebeL Io cream sill key repair (200 ml)</t>
  </si>
  <si>
    <t>Цена, иены</t>
  </si>
  <si>
    <t xml:space="preserve">LebeL Io mask (170 g) Lebel IAU essence - color care (color) - damage hair (high damage) </t>
  </si>
  <si>
    <t>(240ml)Lebel HAPPIEST 1</t>
  </si>
  <si>
    <t>(240ml)Lebel HAPPIEST 2</t>
  </si>
  <si>
    <t>Курс иены к рублю</t>
  </si>
  <si>
    <t>Вес (примерный)</t>
  </si>
  <si>
    <t>Объем</t>
  </si>
  <si>
    <t>ИТОГО</t>
  </si>
  <si>
    <t>Доставка, иен</t>
  </si>
  <si>
    <t xml:space="preserve">LebeL Io cream Melt repair (200 ml) </t>
  </si>
  <si>
    <t>магазин bibi7</t>
  </si>
  <si>
    <t>tnm1980</t>
  </si>
  <si>
    <t>hellcat222</t>
  </si>
  <si>
    <t>Могу разделить на троих, у кого в  заказе был объем 30 мл. (luddy, Оля&amp;Никита, LaPetite)</t>
  </si>
  <si>
    <t>Пропорционально общему примерному весу сделан расчет доставки. Стоимость доставки посчитала с учетом фактического списания. Такой расчет самый точный, для мягких упаково можно брать более низкий коэффициент, т.к. они легче.</t>
  </si>
  <si>
    <t>Lin4ik</t>
  </si>
  <si>
    <t>Оплачено</t>
  </si>
  <si>
    <t>An@stasia</t>
  </si>
  <si>
    <t>шампунь LebeL cool orange hair soap UC (200 ml)</t>
  </si>
  <si>
    <t>EP egg protein</t>
  </si>
  <si>
    <t>luddy</t>
  </si>
  <si>
    <t xml:space="preserve"> IAU Forti Essense</t>
  </si>
  <si>
    <t>LaPetite</t>
  </si>
  <si>
    <t>Очиститель для жирной кожи головы</t>
  </si>
  <si>
    <t>Шелковый бальзам для волос</t>
  </si>
  <si>
    <t>Шампунь IAU 600 мл.</t>
  </si>
  <si>
    <t>Вес
(примерный)</t>
  </si>
  <si>
    <t>Количество, 
шт</t>
  </si>
  <si>
    <t>Очищающий мусс для кожи головы LebeL pro float cleansing (145 g)</t>
  </si>
  <si>
    <t>я</t>
  </si>
  <si>
    <t>Натюрморт</t>
  </si>
  <si>
    <t>LebeL Io extract leak (100 g)</t>
  </si>
  <si>
    <t>LebeL Io pure booster (50 g) Lebel IAU essence</t>
  </si>
  <si>
    <t>LebeL Io cream Mel avian pair (refill /1000ml)</t>
  </si>
  <si>
    <t>Настяяя</t>
  </si>
  <si>
    <t>LebeL pro care works shampoo curl fitting shampoo &amp; treatment (300ml&amp;250ml)</t>
  </si>
  <si>
    <t xml:space="preserve">Trie Thermalmake Mist 2 </t>
  </si>
  <si>
    <t>cattberry</t>
  </si>
  <si>
    <t xml:space="preserve">Маска Proedit Soft Fit + Treatment </t>
  </si>
  <si>
    <t>шампунь холоденый апельсин</t>
  </si>
  <si>
    <t>julary</t>
  </si>
  <si>
    <t xml:space="preserve">JulyaS </t>
  </si>
  <si>
    <t>Освежающий крем для кожи головы и волос Splash</t>
  </si>
  <si>
    <t>IAU Freshment Освежающий аромашампунь для глубокого очищения</t>
  </si>
  <si>
    <t xml:space="preserve">Cool Orange Scalp Conditioner (Очиститель для жирной кожи головы) </t>
  </si>
  <si>
    <t>musy100</t>
  </si>
  <si>
    <t xml:space="preserve">LebeL cool orange fresh shower (225 g) - scalp care (treatment) </t>
  </si>
  <si>
    <t>НЕ БЫЛО!!!</t>
  </si>
  <si>
    <t>LebeL pro hair skin energy water ring (120 ml)</t>
  </si>
  <si>
    <t xml:space="preserve">LebeL pro hair skin energy relaxing (360 g) - scalp care (treatment) </t>
  </si>
  <si>
    <t>Rosочка</t>
  </si>
  <si>
    <t>melt repair (200 ml) Lebel</t>
  </si>
  <si>
    <t>Lebel IAU essence - color care (color) - scalp care (shampoo)</t>
  </si>
  <si>
    <t>Di Na</t>
  </si>
  <si>
    <t>LebeL pro float cleansing (145 g)</t>
  </si>
  <si>
    <t>LebeL cool orange hair soap SC (200 ml)</t>
  </si>
  <si>
    <t>shampoo soft &amp;amp; treatment soft fit （300 ml &amp;amp; 250 ml)</t>
  </si>
  <si>
    <t xml:space="preserve">hair soap with CYd cypress </t>
  </si>
  <si>
    <t>Орг %, 
иен</t>
  </si>
  <si>
    <t>Цена, 
иен</t>
  </si>
  <si>
    <t>Доставка, 
иен</t>
  </si>
  <si>
    <t>Долг (-), 
депозит (+)</t>
  </si>
  <si>
    <r>
      <rPr>
        <b/>
        <sz val="10"/>
        <color theme="1"/>
        <rFont val="Calibri"/>
        <family val="2"/>
        <charset val="204"/>
        <scheme val="minor"/>
      </rPr>
      <t>Пояснение:</t>
    </r>
    <r>
      <rPr>
        <sz val="10"/>
        <color theme="1"/>
        <rFont val="Calibri"/>
        <family val="2"/>
        <charset val="204"/>
        <scheme val="minor"/>
      </rPr>
      <t xml:space="preserve"> реальный вес посылки был больше, но т.к. раскидывать его отдельно не имеет смысла, посчитала исходя из объема содержимого и примерного коэффициента веса 1,25</t>
    </r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</si>
  <si>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5 пост)
Если есть вопросы, пишите в теме.</t>
    </r>
  </si>
  <si>
    <t>ИТОГО, 
руб.</t>
  </si>
  <si>
    <t>депозит с танфа учтен</t>
  </si>
  <si>
    <t>по факту</t>
  </si>
  <si>
    <t>Клевер удачи</t>
  </si>
  <si>
    <t xml:space="preserve">Lebel IAU essence - color care (color) - damage hair (high damage) </t>
  </si>
  <si>
    <t>Marihuanna</t>
  </si>
  <si>
    <t>1. Сэт шампунь+ маска Leb*el Proe*dit Sof*t Fit </t>
  </si>
  <si>
    <t>2. Аромакрем Le*bel Silk*y Repa*ir</t>
  </si>
  <si>
    <t>3. Шампунь Leb*el IAU Relaxin*g </t>
  </si>
  <si>
    <t>4. Концентрат Leb*el IAU CEL*L. Mel*t self care 5 m </t>
  </si>
  <si>
    <t>5. Спрей термозащита Leb*el Trie Mis*t 2 </t>
  </si>
  <si>
    <t>Le*bel Proedit Floa*t cleansing scalp care </t>
  </si>
  <si>
    <t>bella d`estate</t>
  </si>
  <si>
    <t xml:space="preserve">Lebel cool Orange Conditioner </t>
  </si>
  <si>
    <t>Trie Thermalmake Mist 2  - 2 шт</t>
  </si>
  <si>
    <t>маска cream melt repair</t>
  </si>
  <si>
    <t>ЮляПо</t>
  </si>
  <si>
    <t>набор</t>
  </si>
  <si>
    <t>silky repair</t>
  </si>
  <si>
    <t>float cleansing</t>
  </si>
  <si>
    <t>Веро4ка</t>
  </si>
  <si>
    <t>cool orange hair soap SC</t>
  </si>
  <si>
    <t>cool Orange Conditioner</t>
  </si>
  <si>
    <t>Lebel IAU essence-Chromotherapy</t>
  </si>
  <si>
    <t xml:space="preserve">Pro edit care works hair treatment soft fit plus </t>
  </si>
  <si>
    <t>catberry</t>
  </si>
  <si>
    <t>Float Cleansing Очищающий мусс для кожи головы серия проедит </t>
  </si>
  <si>
    <t>Шампунь Super Cool Orange  в большом объеме</t>
  </si>
  <si>
    <t xml:space="preserve">IAU Melt Repair </t>
  </si>
  <si>
    <t>123tango</t>
  </si>
  <si>
    <t>1. Аромакрем Le*bel Silk*y Repa*ir </t>
  </si>
  <si>
    <t>2. Шампунь Leb*el IAU Relaxin*g </t>
  </si>
  <si>
    <t>3.Le*bel Proedit Floa*t cleansing scalp care</t>
  </si>
  <si>
    <t>4. Спрей термозащита Leb*el Trie Mis*t 2 </t>
  </si>
  <si>
    <t>*olenka*</t>
  </si>
  <si>
    <t>1. термозащита - </t>
  </si>
  <si>
    <t>2. очиститель -</t>
  </si>
  <si>
    <t>3. маска - </t>
  </si>
  <si>
    <t>4. шампунь - </t>
  </si>
  <si>
    <t>5. концентрат - </t>
  </si>
  <si>
    <t>http://global.rakuten.com/en/store/netsbee/item/21074/ 1 шт. </t>
  </si>
  <si>
    <t>http://global.rakuten.com/en/store/netsbee/item/21073/ 1 шт. </t>
  </si>
  <si>
    <t>выбраны в др.магазине, а в магазине выкупа bibi7 такого нет</t>
  </si>
  <si>
    <t>http://global.rakuten.com/en/store/bibi7/item/le_co_sk75/ </t>
  </si>
  <si>
    <t>к нам не шлют такое -спрей</t>
  </si>
  <si>
    <t>http://global.rakuten.com/en/store/bibi7/item/le_co_sk225/ </t>
  </si>
  <si>
    <t>Барышни, посылку разбила при отправке на 2 части, чтобы не было проблем с тамо*жней</t>
  </si>
  <si>
    <t>Т.к. посылки могут прийти не вместе, то отметила, у кого в какой посылке.</t>
  </si>
  <si>
    <t>посылка часть 1</t>
  </si>
  <si>
    <t>Milan</t>
  </si>
  <si>
    <t>Шампунь для волос COOL ORANGE HAIR SOAP COOL + Кондиционер-очиститель</t>
  </si>
  <si>
    <t>Lebel IAU essence-Chromotherapy (color)  scalp care (shampoo)-</t>
  </si>
  <si>
    <t xml:space="preserve">sleek </t>
  </si>
  <si>
    <t>cream silky repair (600 ml) Lebel IAU essence-Chromotherapy - 1 шт. (600 мл)</t>
  </si>
  <si>
    <t xml:space="preserve">IAU DEEP MASK </t>
  </si>
  <si>
    <t>Pro edit care works Shampoo</t>
  </si>
  <si>
    <t>IO pure booster (50 g) Lebel IAU essence-Chromotherapy</t>
  </si>
  <si>
    <t>Elena090</t>
  </si>
  <si>
    <t xml:space="preserve">cool Orange Conditioner </t>
  </si>
  <si>
    <t xml:space="preserve">Pro edit care works shampoo curl </t>
  </si>
  <si>
    <t>Pro edit care works hair treatment curls</t>
  </si>
  <si>
    <t>Femme</t>
  </si>
  <si>
    <t>1. Крем для волос Lebel Pro edit Hairskin Splash Relaxing, 360 г, ¥ 2035</t>
  </si>
  <si>
    <t>2. Очиститель для жирной кожи головы Cool Orange Scalp Conditioner</t>
  </si>
  <si>
    <t>3. Шампунь Cool Orange Hair Soap, 200 мл</t>
  </si>
  <si>
    <t>4. Шампунь Cool Orange UC Hair Soap, 200 мл</t>
  </si>
  <si>
    <t>очиститель для жирной кожи Lebel cool Orange 240мл </t>
  </si>
  <si>
    <t>шампунь ультра cool Orange в большой бутылке на 600мл. </t>
  </si>
  <si>
    <t xml:space="preserve">Крем для волос PROEDIT HAIRSKIN SPLASH RELAXING </t>
  </si>
  <si>
    <t xml:space="preserve"> IO deep mask (170 g) Lebel IAU essence-Chromotherapy (color) </t>
  </si>
  <si>
    <t xml:space="preserve">IO cleansing (shampoo) 600 ml. </t>
  </si>
  <si>
    <t xml:space="preserve"> IO pure booster (50 g) Lebel IAU essence-Chromotherapy (color) </t>
  </si>
  <si>
    <t xml:space="preserve">hair treatment with rice protein RP old fresh WP (140 g) Lebel Natural HairTreatment </t>
  </si>
  <si>
    <t>cool Orange scalp conditioner M (mild type) (130 g) </t>
  </si>
  <si>
    <t>jane26</t>
  </si>
  <si>
    <t>Кондиционер очиститель COOL ORANGE</t>
  </si>
  <si>
    <t>Бальзам-ополаскиватель COOL ORANGE HAIR RINCE</t>
  </si>
  <si>
    <t xml:space="preserve"> Шампунь для волос COOL ORANGE HAIR SOAP SUPER COOL </t>
  </si>
  <si>
    <t>Elenn</t>
  </si>
  <si>
    <t xml:space="preserve">сет bounce </t>
  </si>
  <si>
    <t xml:space="preserve">Lebel IAU CELL </t>
  </si>
  <si>
    <t>COCO</t>
  </si>
  <si>
    <t>Lebel IAU essence-Chromotherapy  (shampoo)</t>
  </si>
  <si>
    <t xml:space="preserve">Lebel Natural HairSoap marigold </t>
  </si>
  <si>
    <t>hair treatment with egg protein</t>
  </si>
  <si>
    <t xml:space="preserve"> hair treatment with rice protein</t>
  </si>
  <si>
    <t>IO cream silky repair (200 ml)</t>
  </si>
  <si>
    <t>cream silky repair (200 ml)</t>
  </si>
  <si>
    <t>айринка</t>
  </si>
  <si>
    <t>очиститель для жирной кожи M</t>
  </si>
  <si>
    <t xml:space="preserve">шампунь  Cypress </t>
  </si>
  <si>
    <t xml:space="preserve">маска egg protein </t>
  </si>
  <si>
    <t>olga_kir</t>
  </si>
  <si>
    <t xml:space="preserve">Orange scalp conditioner M (mild type) (240 g) </t>
  </si>
  <si>
    <t>cool Orange шампунь</t>
  </si>
  <si>
    <t>W seaweed (240 ml) Lebel Natural HairSoap</t>
  </si>
  <si>
    <t>may-lyudmila</t>
  </si>
  <si>
    <t>wax free move 7 (55 g) Lebel Trie Homme</t>
  </si>
  <si>
    <t xml:space="preserve">HB makeup series nuance styling (50 g) napla CARETECT HB Hair Make </t>
  </si>
  <si>
    <t>посылка часть 2</t>
  </si>
  <si>
    <t>IAU CELL SILKY LIPID 5S/40ml(light) -</t>
  </si>
  <si>
    <t xml:space="preserve"> + смотри долг сп2</t>
  </si>
  <si>
    <t xml:space="preserve">Triennale move emulsion 10 </t>
  </si>
  <si>
    <t>Нельзя к нам заказать:</t>
  </si>
  <si>
    <t>НИК</t>
  </si>
  <si>
    <t xml:space="preserve">баланс: 
долг (-), депозит </t>
  </si>
  <si>
    <t>В каждой закладке представлены расчеты стоимости заказов</t>
  </si>
  <si>
    <t>закладки с расчетами
(номера СП)</t>
  </si>
  <si>
    <t>2, 4</t>
  </si>
  <si>
    <t>16 р добавила с депозита по лаки 13</t>
  </si>
  <si>
    <t>135 убрала в счет праймера</t>
  </si>
  <si>
    <t>271 убрала на лаки 15</t>
  </si>
  <si>
    <t>Натси</t>
  </si>
  <si>
    <t>Lebel Pro edit Hairskin Splash Relaxing</t>
  </si>
  <si>
    <t xml:space="preserve">IAU cleansing RELAXMENT </t>
  </si>
  <si>
    <t>Дашишичка</t>
  </si>
  <si>
    <t xml:space="preserve">Rubelles Triennale サーマルメイク mist 2 (150 ml) Lebel Trie </t>
  </si>
  <si>
    <t xml:space="preserve">Bounce fit for rubelles Pro edit care works Shampoo (300 ml) </t>
  </si>
  <si>
    <t xml:space="preserve">Rubelles イオエッセンス Forti (100 ml) </t>
  </si>
  <si>
    <t xml:space="preserve">Rubelles Pro edit care works PPT (150 ml) Lebel proedit CAREWORKS </t>
  </si>
  <si>
    <t>Proxenio Shampoo (300 ml) Lebel PROSCENIA </t>
  </si>
  <si>
    <t>Rubelles natural hair treatment with egg protein (140 g) Lebel Natural HairTreatment</t>
  </si>
  <si>
    <t>Rubelles cool Orange ヘアソープ SC (200 ml) Lebel COOL ORANGE-scalp care</t>
  </si>
  <si>
    <t>Rubelles cool Orange dimethylsilicone (200 ml) Lebel COOL ORANGE </t>
  </si>
  <si>
    <t>Rubelles Pro edit ケアワークスエレメントフィクス (150 ml) Lebel proedit CAREWORKS</t>
  </si>
  <si>
    <t>Rubelles Pro edit care works NMF (150 ml) Lebel proedit CAREWORKS </t>
  </si>
  <si>
    <t>Rubelles Pro edit care works CMC (150 ml) Lebel proedit CAREWORKS </t>
  </si>
  <si>
    <t>RaccoonCoon</t>
  </si>
  <si>
    <t xml:space="preserve">Lebel PROSCENIA M (refill /980g) </t>
  </si>
  <si>
    <t xml:space="preserve">MG marigold (720 ml) Lebel Natural HairSoap </t>
  </si>
  <si>
    <t>treatment M (+240 g of 300 ml) Lebel PROSCENIA</t>
  </si>
  <si>
    <t>shsh</t>
  </si>
  <si>
    <t xml:space="preserve">cool orange hair rinse / 200mL </t>
  </si>
  <si>
    <t xml:space="preserve">cool orange hair soap UC / 200mL </t>
  </si>
  <si>
    <t xml:space="preserve">professional edit home care works charge treatment curl fit / 250mL </t>
  </si>
  <si>
    <t xml:space="preserve">Lebel COOL ORANGE-scalp care 600 </t>
  </si>
  <si>
    <t>Djessika</t>
  </si>
  <si>
    <t>аромашампунь  IAU cleansing RELAXMENT</t>
  </si>
  <si>
    <t>IAU cream SILKY REPAIR</t>
  </si>
  <si>
    <t>мист</t>
  </si>
  <si>
    <t>гель форти</t>
  </si>
  <si>
    <t>курс будет уточнен по приходу</t>
  </si>
  <si>
    <t>Rubelles IO cleansing フレッシュメント (600 ml)-Chromotherapy (color)-scalp care (shampoo)-Lebel IAU essence</t>
  </si>
  <si>
    <t>3, 4, 5</t>
  </si>
  <si>
    <t>4, 5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</si>
  <si>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1 пост)
Если есть вопросы, пишите в теме.</t>
    </r>
  </si>
  <si>
    <t>10 р сняла за доставку</t>
  </si>
  <si>
    <t>вернула 190 р. 08.05.14</t>
  </si>
  <si>
    <t>solushka</t>
  </si>
  <si>
    <t>JO jojoba (720 ml) Lebel Natural HairSoap</t>
  </si>
  <si>
    <t>маска Баунс Фит.</t>
  </si>
  <si>
    <t>_серьезная</t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</si>
  <si>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 xml:space="preserve"> цвет WB-9G - 2 шт., </t>
    </r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</si>
  <si>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>- цвет WB - 8G - 2шт.,</t>
    </r>
  </si>
  <si>
    <t>Materia oxy 3% 1,000 ml</t>
  </si>
  <si>
    <t>Asian_butterfly</t>
  </si>
  <si>
    <t>Scalp Lebel cool Orange Conditioner</t>
  </si>
  <si>
    <t>cool Orange SC (200 ml) Lebel</t>
  </si>
  <si>
    <t>Lebel proedit hairskin energy</t>
  </si>
  <si>
    <t>Rubelles IO cream silky repair (600 ml) Lebel IAU essence-Chromotherapy (color)</t>
  </si>
  <si>
    <t>Rubelles Pro edit care works hair bounce fit (600 g) Lebel proedit careworks 10500 Yen by buying in bulk fs3gm. </t>
  </si>
  <si>
    <t>RubellesForti (100 ml) </t>
  </si>
  <si>
    <t>Chromotherapy (color)-scalp care (shampoo)-Lebel IAU essence</t>
  </si>
  <si>
    <t xml:space="preserve">(200 ml)-Chromotherapy (color)-scalp care (shampoo)-Lebel IAU essence </t>
  </si>
  <si>
    <t>IAU Essence Moist</t>
  </si>
  <si>
    <t>Юл83</t>
  </si>
  <si>
    <t>(200 ml)-Chromotherapy (color)-scalp care (shampoo)-Lebel IAU essence</t>
  </si>
  <si>
    <t>By 3 Lebel Trie</t>
  </si>
  <si>
    <t xml:space="preserve">IAU Essence Sleek </t>
  </si>
  <si>
    <t>4, 5, 6</t>
  </si>
  <si>
    <t>убрала 20 р за перекид</t>
  </si>
  <si>
    <t>77 р отдала 17.06 на сбер карту</t>
  </si>
  <si>
    <t>23 р убрала в счет салфеток</t>
  </si>
  <si>
    <t>Магазин netsbee</t>
  </si>
  <si>
    <t>Дресскод</t>
  </si>
  <si>
    <t>LebelCosmetics Trie Tuner jell 1</t>
  </si>
  <si>
    <t>Lebel Proedit Hair Skin floating</t>
  </si>
  <si>
    <t>IAU Essence Forti</t>
  </si>
  <si>
    <t>клевер удачи</t>
  </si>
  <si>
    <t>LebelCosmetics Trie Tuner Oil</t>
  </si>
  <si>
    <t>шампунь жемчужный</t>
  </si>
  <si>
    <t>ополаскиватель жемчужный</t>
  </si>
  <si>
    <t>нежить</t>
  </si>
  <si>
    <t>LebeL cool orange hair soap /600mL</t>
  </si>
  <si>
    <t>proedit splash relaxing</t>
  </si>
  <si>
    <t>scalp conditioner</t>
  </si>
  <si>
    <t>Lebel Trie tuner 1</t>
  </si>
  <si>
    <t>Lebel Trie 4</t>
  </si>
  <si>
    <t>Ламинирующий гель (Trie Tuner Jell 1)</t>
  </si>
  <si>
    <t>сухое масло от лебел </t>
  </si>
  <si>
    <t xml:space="preserve">three dust medium soft wax </t>
  </si>
  <si>
    <t>Sebastian KUSTAA</t>
  </si>
  <si>
    <t>Janey</t>
  </si>
  <si>
    <t>Proscenia treatment</t>
  </si>
  <si>
    <t>Proscenia shampoo</t>
  </si>
  <si>
    <t>abrikosina</t>
  </si>
  <si>
    <t>COOL ORANGE HAIR RINCE 600 ml</t>
  </si>
  <si>
    <t>Рина-марина</t>
  </si>
  <si>
    <t>Rubelles proxenio hair treatment L</t>
  </si>
  <si>
    <t>elenn</t>
  </si>
  <si>
    <t>Lebel Trie 2</t>
  </si>
  <si>
    <t>3, 4, 6, 7</t>
  </si>
  <si>
    <t>Магазин bibi7</t>
  </si>
  <si>
    <t xml:space="preserve">rice protein </t>
  </si>
  <si>
    <r>
      <t xml:space="preserve">Lebel LUQUIAS 
</t>
    </r>
    <r>
      <rPr>
        <sz val="11"/>
        <color rgb="FFFF0000"/>
        <rFont val="Calibri"/>
        <family val="2"/>
        <charset val="204"/>
        <scheme val="minor"/>
      </rPr>
      <t xml:space="preserve">цвет CLR бесцветный! </t>
    </r>
  </si>
  <si>
    <t>Lebel IAU essence оранж</t>
  </si>
  <si>
    <t>Lebel IAU essence-Chromotherapy  200 мл</t>
  </si>
  <si>
    <t>PROEDIT HAIRSKIN ENERGY RELAXING </t>
  </si>
  <si>
    <t>Rubelles Forti (100 ml)</t>
  </si>
  <si>
    <t>Lebel IAU essence-Chromotherapy (color) ~ damaged hair （ highly damaged ）</t>
  </si>
  <si>
    <t>Lebel IAU essence-Chromotherapy  400 мл</t>
  </si>
  <si>
    <t>Шампунь для волос PROSCENIA SHAMPOO=2 шт </t>
  </si>
  <si>
    <t>Маска по уходу за волнистыми волосами PROSCENIA TREATMENT L -2 шт </t>
  </si>
  <si>
    <t>Trie THERMALMAKE MIST 4 – защитный спрей для термо укладки 4 - 1 шт</t>
  </si>
  <si>
    <t>bounce fit + </t>
  </si>
  <si>
    <t>tnm1980  </t>
  </si>
  <si>
    <t xml:space="preserve">shampoo bounce refill </t>
  </si>
  <si>
    <t>bounce fit plus refill</t>
  </si>
  <si>
    <t>Catberry</t>
  </si>
  <si>
    <t>2, 8</t>
  </si>
  <si>
    <t>3, 8</t>
  </si>
  <si>
    <t>2, 3, 4, 8</t>
  </si>
  <si>
    <t>7, 8</t>
  </si>
  <si>
    <t>перенесла депозит 49 р с iherb 228</t>
  </si>
  <si>
    <t>33 р перенесла с переплаты по Англии (кислоты)</t>
  </si>
  <si>
    <t>Дата</t>
  </si>
  <si>
    <t xml:space="preserve">melt repair (200 ml) Lebel IAU essence-Chromotherapy </t>
  </si>
  <si>
    <t xml:space="preserve">silky repair (200 ml) Lebel IAU essence-Chromotherapy </t>
  </si>
  <si>
    <t>Ирина500</t>
  </si>
  <si>
    <t>Расслабляющий аромашампунь для сухой кожи головы IAU cleansing RELAXMENT</t>
  </si>
  <si>
    <t xml:space="preserve"> шампунь Lebel Cosmetics «Cool Оrange UC» (ультра холодный апельсин) 200 мл (685 ен)</t>
  </si>
  <si>
    <t>маска Lebel Cosmetics с яичным протеином Egg Protein 260 мл (1468 ен).</t>
  </si>
  <si>
    <t>Ямайка</t>
  </si>
  <si>
    <t>(720 ml) Lebel  SW seaweed</t>
  </si>
  <si>
    <t>Медведица</t>
  </si>
  <si>
    <t>Шампунь для волос COOL ORANGE HAIR SOAP ULTRA COOL 600 мл</t>
  </si>
  <si>
    <t>Orange Conditioner (130 g) Lebel COOL ORANGE</t>
  </si>
  <si>
    <t>Маска для волос линии PROEDIT HAIR TREATMENT CURL FIT - 250мл</t>
  </si>
  <si>
    <t>curl fit shampoo  300  ml в твои банки</t>
  </si>
  <si>
    <t>Tanitta2009</t>
  </si>
  <si>
    <t>Orange scalp conditioner M (mild type) (130 g) </t>
  </si>
  <si>
    <t>Lebel proedit hairskin energy relax</t>
  </si>
  <si>
    <t xml:space="preserve">CYd cypress (240 ml) Lebel </t>
  </si>
  <si>
    <t>Olishna72</t>
  </si>
  <si>
    <t>cool Orange SC shampoo</t>
  </si>
  <si>
    <t>Lebel PROCENIA</t>
  </si>
  <si>
    <t>PROEDIT HAIRSKIN OASIS  RELAXING</t>
  </si>
  <si>
    <t>PROEDIT HAIRSKIN ENERGY  RELAXING</t>
  </si>
  <si>
    <t>IAU  moist</t>
  </si>
  <si>
    <t>IAU cream melt repair 200 гр</t>
  </si>
  <si>
    <t>curl fit shampoo  100</t>
  </si>
  <si>
    <t>Zhannusya</t>
  </si>
  <si>
    <t>COOL ORANGE HAIR SOAP COOL </t>
  </si>
  <si>
    <t>Pro edit float cleansing (145 g)</t>
  </si>
  <si>
    <t xml:space="preserve">curl fit shampoo  250 в мою бутылку </t>
  </si>
  <si>
    <t>gloriya1</t>
  </si>
  <si>
    <t>curl fit shampoo  200 в вашу бутылочку</t>
  </si>
  <si>
    <t xml:space="preserve">Lebel treatment curl fit (250 ml)  </t>
  </si>
  <si>
    <t>PROEDIT HAIRSKIN SPLASH RELAXING</t>
  </si>
  <si>
    <t>oxygen2610</t>
  </si>
  <si>
    <t>Оля&amp;Никита</t>
  </si>
  <si>
    <t>Forti (100 ml)</t>
  </si>
  <si>
    <t>Jokondich29</t>
  </si>
  <si>
    <t>egg protein (140 g) Lebel Natural HairTreatment</t>
  </si>
  <si>
    <t>hair treatment soft fit (250 ml) Lebel proedit</t>
  </si>
  <si>
    <t>hair treatment soft fit plus (250 ml)-damaged （ highly damaged ）Lebel proedit</t>
  </si>
  <si>
    <t>Trie THERMALMAKE MIST 4</t>
  </si>
  <si>
    <t>3, 4, 6, 7,9</t>
  </si>
  <si>
    <t>3, 4, 9</t>
  </si>
  <si>
    <t>и 9 банка</t>
  </si>
  <si>
    <t>и 18 банки</t>
  </si>
  <si>
    <t>и 27 банки</t>
  </si>
  <si>
    <t>273 возврат за доставку и орг%</t>
  </si>
  <si>
    <t>f.irina</t>
  </si>
  <si>
    <t>cool Orange UC</t>
  </si>
  <si>
    <t xml:space="preserve">Lebel cool Orange Hair rinse </t>
  </si>
  <si>
    <t>PROEDIT HAIR TREATMENT BOUNCE FIT PLUS</t>
  </si>
  <si>
    <t xml:space="preserve"> цвет WB-9G </t>
  </si>
  <si>
    <t xml:space="preserve"> цвет WB-8G</t>
  </si>
  <si>
    <t xml:space="preserve">Materia oxy 3% </t>
  </si>
  <si>
    <t xml:space="preserve">Lebel Natural HairSoap MG marigold (refill / 1600 ml) </t>
  </si>
  <si>
    <t>M (refill /980g) Lebel PROSCENIA</t>
  </si>
  <si>
    <t>YaSchastliva</t>
  </si>
  <si>
    <t>Эссенция Лебел SLEEK</t>
  </si>
  <si>
    <t>GalunjaP</t>
  </si>
  <si>
    <t xml:space="preserve">Lebel IAU moist </t>
  </si>
  <si>
    <t>inna 171</t>
  </si>
  <si>
    <t>Очиститель кожи головы от Лебел Scalp Lebel cool Orange Conditioner</t>
  </si>
  <si>
    <t>Love.ru</t>
  </si>
  <si>
    <t>шампунь LEBEL COOL ORANGE, 600мл </t>
  </si>
  <si>
    <t>Lebel soft fit hair treatment</t>
  </si>
  <si>
    <t xml:space="preserve">замена shampoo soft fit </t>
  </si>
  <si>
    <t xml:space="preserve">julary </t>
  </si>
  <si>
    <t>cool Orange SC</t>
  </si>
  <si>
    <t>Nabil HB series hair airy make (50 g) napla CARETECT HB Hair Make Series</t>
  </si>
  <si>
    <t xml:space="preserve">Pima comfort cream wax soft 100 g </t>
  </si>
  <si>
    <t>Доставку пока поставила примерно, магазин спишет после отправки посылки точную сумму. Поэтому по приходу уточню курс списания и стоимость доставки.</t>
  </si>
  <si>
    <r>
      <rPr>
        <b/>
        <sz val="11"/>
        <color rgb="FFFF0000"/>
        <rFont val="Calibri"/>
        <family val="2"/>
        <charset val="204"/>
        <scheme val="minor"/>
      </rPr>
      <t>отдельно коллеге</t>
    </r>
    <r>
      <rPr>
        <sz val="11"/>
        <rFont val="Calibri"/>
        <family val="2"/>
        <charset val="204"/>
        <scheme val="minor"/>
      </rPr>
      <t xml:space="preserve"> set Lebel proedit careworks BOUNCE fit plus</t>
    </r>
  </si>
  <si>
    <t>5, 10</t>
  </si>
  <si>
    <t>2, 4, 10</t>
  </si>
  <si>
    <t>18 р. В счет кокон 89</t>
  </si>
  <si>
    <t>Гарлем</t>
  </si>
  <si>
    <t>Lebel Bounce Fit (маска) 1000мл</t>
  </si>
  <si>
    <t>cool Orange Conditioner (240 g)</t>
  </si>
  <si>
    <t xml:space="preserve">egg protein EP (260 g) </t>
  </si>
  <si>
    <t>Lebel Bounce Fit + (маска) 1000мл</t>
  </si>
  <si>
    <t>rice protein RP 1600мл</t>
  </si>
  <si>
    <t xml:space="preserve">набор маска PROEDIT HAIR TREATMENT BOUNCE FIT PLUS + шампунь по 1000 мл </t>
  </si>
  <si>
    <t xml:space="preserve"> BOUNCE FIT PLUS + </t>
  </si>
  <si>
    <t>краска цвет WB-9G</t>
  </si>
  <si>
    <t>краска цвет WB-8G</t>
  </si>
  <si>
    <t>Lebel Bounce Fit (шампунь) </t>
  </si>
  <si>
    <t>Lebel Bounce Fit (маска) </t>
  </si>
  <si>
    <t>IAU cream melt repair </t>
  </si>
  <si>
    <t>IAU essence moist</t>
  </si>
  <si>
    <t>Solushka</t>
  </si>
  <si>
    <t>Lebel Bounce Fit + (маска) </t>
  </si>
  <si>
    <t>Lebel Soft Fit + (маска) </t>
  </si>
  <si>
    <t>шампунь SOFT FIT 300мл</t>
  </si>
  <si>
    <t>Pima comfort cream wax soft 100 g</t>
  </si>
  <si>
    <t>trie 4</t>
  </si>
  <si>
    <t>10, 11</t>
  </si>
  <si>
    <t>6, 10, 11</t>
  </si>
  <si>
    <t>3, 4, 7, 9, 10,11</t>
  </si>
  <si>
    <t>4, 7, 10,11</t>
  </si>
  <si>
    <t>3 р зачла с переплаты кокон90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</si>
  <si>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доставку пока поставила примерно, точная будет списана с моего счета после отправки посылки. Фактический курс и доставкуотмечу после получения груза</t>
    </r>
  </si>
  <si>
    <t>Кол-во, 
шт</t>
  </si>
  <si>
    <t>Вес
(примерный), кг</t>
  </si>
  <si>
    <t>ряд: IO serum cream  400 мл</t>
  </si>
  <si>
    <t>маска IO serum mask </t>
  </si>
  <si>
    <t>серум IAU Serum Essense</t>
  </si>
  <si>
    <t>YLIA81</t>
  </si>
  <si>
    <t>hair treatment soft fit</t>
  </si>
  <si>
    <t xml:space="preserve">hair treatment bounce fit plus </t>
  </si>
  <si>
    <t xml:space="preserve">Shampoo  curl fit </t>
  </si>
  <si>
    <t>hair treatment  curl fit</t>
  </si>
  <si>
    <t>iau moist</t>
  </si>
  <si>
    <t>Olla1</t>
  </si>
  <si>
    <t>Lebel IAU CELLCARE 5S 40ml</t>
  </si>
  <si>
    <t>Pro edit scalp care</t>
  </si>
  <si>
    <t>Forti</t>
  </si>
  <si>
    <t>набор сывороток (сет4)</t>
  </si>
  <si>
    <t>TREATMENT BOUNCE FIT</t>
  </si>
  <si>
    <t>PROEDIT SHAMPOO BOUNCE FIT</t>
  </si>
  <si>
    <t xml:space="preserve">TREATMENT BOUNCE FIT plus </t>
  </si>
  <si>
    <t>Evgeniya24</t>
  </si>
  <si>
    <t>Кондиционер очиститель COOL ORANGE M</t>
  </si>
  <si>
    <t>Шампунь для волос COOL ORANGE HAIR SOAP SUPER COOL</t>
  </si>
  <si>
    <t>ряд: IO serum cream  400 мл (2 тары по 200мл)</t>
  </si>
  <si>
    <t>Viktory1526</t>
  </si>
  <si>
    <t>Мерзликина Елена</t>
  </si>
  <si>
    <t xml:space="preserve"> IAU cleansing Clearment 200 мл </t>
  </si>
  <si>
    <r>
      <t>Эссенция для волос IAU Essence</t>
    </r>
    <r>
      <rPr>
        <b/>
        <sz val="9"/>
        <color rgb="FF000000"/>
        <rFont val="Verdana"/>
        <family val="2"/>
        <charset val="204"/>
      </rPr>
      <t> Forti</t>
    </r>
    <r>
      <rPr>
        <sz val="9"/>
        <color rgb="FF000000"/>
        <rFont val="Verdana"/>
        <family val="2"/>
        <charset val="204"/>
      </rPr>
      <t> </t>
    </r>
  </si>
  <si>
    <t>milka.</t>
  </si>
  <si>
    <t xml:space="preserve">НАБОР shampoo bounce fit 700 mL &amp; treatment bounce fit plus 600 mL </t>
  </si>
  <si>
    <t>smeli</t>
  </si>
  <si>
    <t xml:space="preserve">Kuzinna  </t>
  </si>
  <si>
    <t>бальзам холодный апельсин 1,6л.</t>
  </si>
  <si>
    <t>feniek</t>
  </si>
  <si>
    <t>PROEDIT TREATMENT SOFT FIT PLUS</t>
  </si>
  <si>
    <t>УЗ, заказ</t>
  </si>
  <si>
    <t>5, 8, 9,11, 12</t>
  </si>
  <si>
    <t>2, 3, 4, 6, 8, 12</t>
  </si>
  <si>
    <t>4, 5, 6, 7, 8, 11, 12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</si>
</sst>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6" fillId="3" borderId="0" xfId="0" applyFont="1" applyFill="1"/>
    <xf numFmtId="0" fontId="2" fillId="2" borderId="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distributed" wrapText="1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4" borderId="2" xfId="0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distributed"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/>
    <xf numFmtId="0" fontId="9" fillId="3" borderId="0" xfId="0" applyFont="1" applyFill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  <xf numFmtId="0" fontId="13" fillId="0" borderId="0" xfId="0" applyFont="1"/>
    <xf numFmtId="3" fontId="0" fillId="0" borderId="0" xfId="0" applyNumberFormat="1"/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4" borderId="1" xfId="0" applyFont="1" applyFill="1" applyBorder="1"/>
    <xf numFmtId="0" fontId="3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16" fillId="0" borderId="0" xfId="1" applyAlignment="1" applyProtection="1"/>
    <xf numFmtId="0" fontId="16" fillId="4" borderId="1" xfId="1" applyFill="1" applyBorder="1" applyAlignment="1" applyProtection="1"/>
    <xf numFmtId="0" fontId="0" fillId="4" borderId="0" xfId="0" applyFill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2" xfId="0" applyFill="1" applyBorder="1"/>
    <xf numFmtId="1" fontId="0" fillId="3" borderId="2" xfId="0" applyNumberFormat="1" applyFill="1" applyBorder="1"/>
    <xf numFmtId="1" fontId="0" fillId="3" borderId="2" xfId="0" applyNumberForma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7" fillId="0" borderId="4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wrapText="1"/>
    </xf>
    <xf numFmtId="0" fontId="0" fillId="7" borderId="1" xfId="0" applyFill="1" applyBorder="1"/>
    <xf numFmtId="0" fontId="0" fillId="4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2" fillId="0" borderId="0" xfId="0" applyFont="1"/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9" fillId="0" borderId="0" xfId="0" applyFont="1"/>
    <xf numFmtId="0" fontId="14" fillId="0" borderId="0" xfId="0" applyFont="1"/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0" fillId="0" borderId="3" xfId="0" applyNumberFormat="1" applyBorder="1" applyAlignment="1">
      <alignment horizontal="center"/>
    </xf>
    <xf numFmtId="0" fontId="15" fillId="0" borderId="1" xfId="0" applyFont="1" applyBorder="1" applyAlignment="1">
      <alignment wrapText="1"/>
    </xf>
    <xf numFmtId="0" fontId="0" fillId="4" borderId="1" xfId="0" applyFill="1" applyBorder="1" applyAlignment="1">
      <alignment horizontal="right"/>
    </xf>
    <xf numFmtId="0" fontId="15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19" fillId="4" borderId="0" xfId="0" applyFont="1" applyFill="1" applyAlignment="1">
      <alignment wrapText="1"/>
    </xf>
    <xf numFmtId="0" fontId="19" fillId="0" borderId="0" xfId="0" applyFont="1" applyAlignment="1">
      <alignment horizontal="left"/>
    </xf>
    <xf numFmtId="14" fontId="1" fillId="0" borderId="0" xfId="0" applyNumberFormat="1" applyFont="1"/>
    <xf numFmtId="0" fontId="15" fillId="0" borderId="1" xfId="0" applyFont="1" applyBorder="1"/>
    <xf numFmtId="2" fontId="1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8" borderId="1" xfId="0" applyFill="1" applyBorder="1"/>
    <xf numFmtId="0" fontId="2" fillId="8" borderId="1" xfId="0" applyFont="1" applyFill="1" applyBorder="1" applyAlignment="1">
      <alignment horizontal="right" wrapText="1"/>
    </xf>
    <xf numFmtId="1" fontId="2" fillId="8" borderId="1" xfId="0" applyNumberFormat="1" applyFont="1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0" borderId="1" xfId="0" applyFont="1" applyBorder="1"/>
    <xf numFmtId="0" fontId="8" fillId="4" borderId="1" xfId="0" applyFont="1" applyFill="1" applyBorder="1" applyAlignment="1">
      <alignment wrapText="1"/>
    </xf>
    <xf numFmtId="0" fontId="0" fillId="0" borderId="7" xfId="0" applyFill="1" applyBorder="1"/>
    <xf numFmtId="0" fontId="21" fillId="0" borderId="1" xfId="0" applyFont="1" applyBorder="1"/>
    <xf numFmtId="0" fontId="9" fillId="0" borderId="1" xfId="0" applyFont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2" borderId="0" xfId="0" applyFont="1" applyFill="1" applyBorder="1" applyAlignment="1">
      <alignment wrapText="1"/>
    </xf>
    <xf numFmtId="0" fontId="22" fillId="0" borderId="0" xfId="0" applyFont="1" applyAlignment="1">
      <alignment wrapText="1"/>
    </xf>
    <xf numFmtId="0" fontId="15" fillId="0" borderId="1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3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419725"/>
          <a:ext cx="304800" cy="182880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190501"/>
    <xdr:sp macro="" textlink="">
      <xdr:nvSpPr>
        <xdr:cNvPr id="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15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296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58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105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990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153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2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81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183615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943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533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183615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800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183615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800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09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190501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183615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848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5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182880</xdr:rowOff>
    </xdr:to>
    <xdr:sp macro="" textlink="">
      <xdr:nvSpPr>
        <xdr:cNvPr id="5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183615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324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190501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54175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54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734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6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030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220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39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43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8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628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385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100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958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131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125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020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829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536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63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067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77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972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82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88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69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73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792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6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8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43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70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171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6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182245</xdr:rowOff>
    </xdr:to>
    <xdr:sp macro="" textlink="">
      <xdr:nvSpPr>
        <xdr:cNvPr id="8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170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183615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90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190501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99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1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0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182880"/>
    <xdr:sp macro="" textlink="">
      <xdr:nvSpPr>
        <xdr:cNvPr id="9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1667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1167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562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304800</xdr:colOff>
      <xdr:row>48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170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5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4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67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66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7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0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7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182245</xdr:rowOff>
    </xdr:to>
    <xdr:sp macro="" textlink="">
      <xdr:nvSpPr>
        <xdr:cNvPr id="82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6181725"/>
          <a:ext cx="304800" cy="18224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83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170</xdr:rowOff>
    </xdr:to>
    <xdr:sp macro="" textlink="">
      <xdr:nvSpPr>
        <xdr:cNvPr id="8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67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183615"/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190501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190501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61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190501"/>
    <xdr:sp macro="" textlink="">
      <xdr:nvSpPr>
        <xdr:cNvPr id="9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182880"/>
    <xdr:sp macro="" textlink="">
      <xdr:nvSpPr>
        <xdr:cNvPr id="9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8957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38</xdr:row>
      <xdr:rowOff>0</xdr:rowOff>
    </xdr:from>
    <xdr:ext cx="304800" cy="183615"/>
    <xdr:sp macro="" textlink="">
      <xdr:nvSpPr>
        <xdr:cNvPr id="9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190501"/>
    <xdr:sp macro="" textlink="">
      <xdr:nvSpPr>
        <xdr:cNvPr id="10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0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0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0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0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0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1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245"/>
    <xdr:sp macro="" textlink="">
      <xdr:nvSpPr>
        <xdr:cNvPr id="11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82880"/>
    <xdr:sp macro="" textlink="">
      <xdr:nvSpPr>
        <xdr:cNvPr id="12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670"/>
    <xdr:sp macro="" textlink="">
      <xdr:nvSpPr>
        <xdr:cNvPr id="1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190501"/>
    <xdr:sp macro="" textlink="">
      <xdr:nvSpPr>
        <xdr:cNvPr id="1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2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2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2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3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3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4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4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245"/>
    <xdr:sp macro="" textlink="">
      <xdr:nvSpPr>
        <xdr:cNvPr id="15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9420225"/>
          <a:ext cx="304800" cy="18224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82880"/>
    <xdr:sp macro="" textlink="">
      <xdr:nvSpPr>
        <xdr:cNvPr id="16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9420225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670"/>
    <xdr:sp macro="" textlink="">
      <xdr:nvSpPr>
        <xdr:cNvPr id="1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67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42</xdr:row>
      <xdr:rowOff>0</xdr:rowOff>
    </xdr:from>
    <xdr:ext cx="304800" cy="190501"/>
    <xdr:sp macro="" textlink="">
      <xdr:nvSpPr>
        <xdr:cNvPr id="1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20225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392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190500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3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1536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0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2526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144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01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1168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5374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72034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4592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947711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-1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6200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915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72168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5614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9060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09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190500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716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352675"/>
          <a:ext cx="304800" cy="5410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733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29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190501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86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8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7157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91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34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49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0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839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772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350520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790700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362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6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38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15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183615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48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0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582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67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183615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005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933575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32670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43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381001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05575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5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372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0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250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82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515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70592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106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3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9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314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8293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0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531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7550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486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4394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8204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0006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3338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83845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197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600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48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863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210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115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964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267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067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5344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5844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4344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7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8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32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609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37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5800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599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00225"/>
          <a:ext cx="304800" cy="18288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forum.sibmama.ru/viewtopic.php?t=715424&amp;start=12810" TargetMode="External"/><Relationship Id="rId1" Type="http://schemas.openxmlformats.org/officeDocument/2006/relationships/hyperlink" Target="http://forum.sibmama.ru/viewtopic.php?t=715424&amp;start=12795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n@st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lobal.rakuten.com/en/store/bibi7/item/le_co_sk75/" TargetMode="External"/><Relationship Id="rId2" Type="http://schemas.openxmlformats.org/officeDocument/2006/relationships/hyperlink" Target="http://global.rakuten.com/en/store/netsbee/item/21073/&#160;1%20&#1096;&#1090;.&#160;" TargetMode="External"/><Relationship Id="rId1" Type="http://schemas.openxmlformats.org/officeDocument/2006/relationships/hyperlink" Target="http://global.rakuten.com/en/store/netsbee/item/21074/&#160;1%20&#1096;&#1090;.&#160;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global.rakuten.com/en/store/bibi7/item/le_co_sk225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forum.sibmama.ru/viewtopic.php?t=715424&amp;postdays=0&amp;postorder=asc&amp;start=9885&amp;sid=3068296984db188e1409719d2850e85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>
      <selection activeCell="A10" sqref="A10"/>
    </sheetView>
  </sheetViews>
  <sheetFormatPr defaultRowHeight="15" x14ac:dyDescent="0.25"/>
  <cols>
    <col min="1" max="1" width="20.7109375" customWidth="1"/>
    <col min="2" max="2" width="17.28515625" style="41" customWidth="1"/>
    <col min="3" max="3" width="16" style="41" customWidth="1"/>
  </cols>
  <sheetData>
    <row r="1" spans="1:4" ht="40.5" customHeight="1" x14ac:dyDescent="0.25">
      <c r="A1" s="69" t="s">
        <v>169</v>
      </c>
      <c r="B1" s="70" t="s">
        <v>170</v>
      </c>
      <c r="C1" s="70" t="s">
        <v>172</v>
      </c>
      <c r="D1" s="71" t="s">
        <v>171</v>
      </c>
    </row>
    <row r="2" spans="1:4" x14ac:dyDescent="0.25">
      <c r="A2" s="104">
        <v>51150</v>
      </c>
      <c r="B2" s="34">
        <f>'9'!K17</f>
        <v>2.2024084363238217E-2</v>
      </c>
      <c r="C2" s="6">
        <v>9</v>
      </c>
    </row>
    <row r="3" spans="1:4" x14ac:dyDescent="0.25">
      <c r="A3" s="3" t="s">
        <v>99</v>
      </c>
      <c r="B3" s="34">
        <f>'3'!K42+'4'!K33+'9'!K38</f>
        <v>-7.9377163718951351</v>
      </c>
      <c r="C3" s="6" t="s">
        <v>333</v>
      </c>
    </row>
    <row r="4" spans="1:4" x14ac:dyDescent="0.25">
      <c r="A4" s="3" t="s">
        <v>216</v>
      </c>
      <c r="B4" s="34">
        <f>'6'!K9+'10'!K11+'11'!K13</f>
        <v>161.37192002816209</v>
      </c>
      <c r="C4" s="6" t="s">
        <v>387</v>
      </c>
    </row>
    <row r="5" spans="1:4" x14ac:dyDescent="0.25">
      <c r="A5" s="3" t="s">
        <v>94</v>
      </c>
      <c r="B5" s="34">
        <f>'3'!K37+'8'!K14</f>
        <v>-3.8651789382897732</v>
      </c>
      <c r="C5" s="6" t="s">
        <v>285</v>
      </c>
    </row>
    <row r="6" spans="1:4" x14ac:dyDescent="0.25">
      <c r="A6" s="3" t="s">
        <v>260</v>
      </c>
      <c r="B6" s="34">
        <f>'7n'!K28</f>
        <v>0.19436787907420694</v>
      </c>
      <c r="C6" s="6">
        <v>7</v>
      </c>
    </row>
    <row r="7" spans="1:4" x14ac:dyDescent="0.25">
      <c r="A7" s="3" t="s">
        <v>18</v>
      </c>
      <c r="B7" s="34">
        <f>'2'!K5</f>
        <v>-18.360362166064988</v>
      </c>
      <c r="C7" s="6">
        <v>2</v>
      </c>
    </row>
    <row r="8" spans="1:4" x14ac:dyDescent="0.25">
      <c r="A8" s="3" t="s">
        <v>220</v>
      </c>
      <c r="B8" s="34">
        <f>'6'!K13</f>
        <v>56.724288616462218</v>
      </c>
      <c r="C8" s="6">
        <v>6</v>
      </c>
    </row>
    <row r="9" spans="1:4" x14ac:dyDescent="0.25">
      <c r="A9" s="3" t="s">
        <v>77</v>
      </c>
      <c r="B9" s="34">
        <f>'3'!K13</f>
        <v>20.366267281105991</v>
      </c>
      <c r="C9" s="6">
        <v>3</v>
      </c>
    </row>
    <row r="10" spans="1:4" x14ac:dyDescent="0.25">
      <c r="A10" s="9" t="s">
        <v>90</v>
      </c>
      <c r="B10" s="34">
        <f>'2'!K22+'3'!K32+'4'!K37+'6'!K7+'8'!K24+'12'!K19</f>
        <v>-5031.0288794748594</v>
      </c>
      <c r="C10" s="6" t="s">
        <v>428</v>
      </c>
    </row>
    <row r="11" spans="1:4" x14ac:dyDescent="0.25">
      <c r="A11" s="3" t="s">
        <v>146</v>
      </c>
      <c r="B11" s="34">
        <f>'4'!K55+'5'!K24</f>
        <v>1.4832353088727359</v>
      </c>
      <c r="C11" s="6" t="s">
        <v>209</v>
      </c>
    </row>
    <row r="12" spans="1:4" x14ac:dyDescent="0.25">
      <c r="A12" s="3" t="s">
        <v>54</v>
      </c>
      <c r="B12" s="34">
        <f>'2'!K41+'8'!K4</f>
        <v>0.23645473267038142</v>
      </c>
      <c r="C12" s="6" t="s">
        <v>284</v>
      </c>
    </row>
    <row r="13" spans="1:4" x14ac:dyDescent="0.25">
      <c r="A13" s="3" t="s">
        <v>201</v>
      </c>
      <c r="B13" s="34">
        <f>'5'!K33</f>
        <v>0.14392093673404815</v>
      </c>
      <c r="C13" s="6">
        <v>5</v>
      </c>
    </row>
    <row r="14" spans="1:4" x14ac:dyDescent="0.25">
      <c r="A14" s="3" t="s">
        <v>122</v>
      </c>
      <c r="B14" s="34">
        <f>'4'!K24</f>
        <v>-0.19496901104821518</v>
      </c>
      <c r="C14" s="6">
        <v>4</v>
      </c>
    </row>
    <row r="15" spans="1:4" x14ac:dyDescent="0.25">
      <c r="A15" s="9" t="s">
        <v>143</v>
      </c>
      <c r="B15" s="34">
        <f>'4'!K50+'5'!K36+'6'!K19+'7n'!K33+'8'!K18+'11'!K16+'12'!K33</f>
        <v>-1175.5535509664428</v>
      </c>
      <c r="C15" s="6" t="s">
        <v>429</v>
      </c>
    </row>
    <row r="16" spans="1:4" x14ac:dyDescent="0.25">
      <c r="A16" s="9" t="s">
        <v>411</v>
      </c>
      <c r="B16" s="34">
        <f>'12'!K23</f>
        <v>-2450.1110232615729</v>
      </c>
      <c r="C16" s="6">
        <v>12</v>
      </c>
    </row>
    <row r="17" spans="1:3" x14ac:dyDescent="0.25">
      <c r="A17" s="3" t="s">
        <v>126</v>
      </c>
      <c r="B17" s="34">
        <f>'4'!K28+'9'!K9</f>
        <v>0.29688413578378459</v>
      </c>
      <c r="C17" s="6">
        <v>4.9000000000000004</v>
      </c>
    </row>
    <row r="18" spans="1:3" x14ac:dyDescent="0.25">
      <c r="A18" s="9" t="s">
        <v>424</v>
      </c>
      <c r="B18" s="34">
        <f>'12'!K41</f>
        <v>-1012.6015559529542</v>
      </c>
      <c r="C18" s="6">
        <v>12</v>
      </c>
    </row>
    <row r="19" spans="1:3" x14ac:dyDescent="0.25">
      <c r="A19" s="3" t="s">
        <v>338</v>
      </c>
      <c r="B19" s="34">
        <f>'10'!K4+'11'!K10</f>
        <v>38.703111418328263</v>
      </c>
      <c r="C19" s="6" t="s">
        <v>386</v>
      </c>
    </row>
    <row r="20" spans="1:3" x14ac:dyDescent="0.25">
      <c r="A20" s="3" t="s">
        <v>351</v>
      </c>
      <c r="B20" s="34">
        <f>'10'!K23</f>
        <v>3.2743230371329446</v>
      </c>
      <c r="C20" s="6">
        <v>10</v>
      </c>
    </row>
    <row r="21" spans="1:3" x14ac:dyDescent="0.25">
      <c r="A21" s="3" t="s">
        <v>349</v>
      </c>
      <c r="B21" s="34">
        <f>'10'!K21</f>
        <v>1.5995609988053729</v>
      </c>
      <c r="C21" s="6">
        <v>10</v>
      </c>
    </row>
    <row r="22" spans="1:3" x14ac:dyDescent="0.25">
      <c r="A22" s="3" t="s">
        <v>320</v>
      </c>
      <c r="B22" s="34">
        <f>'9'!K40</f>
        <v>0.46922662433371443</v>
      </c>
      <c r="C22" s="6">
        <v>9</v>
      </c>
    </row>
    <row r="23" spans="1:3" x14ac:dyDescent="0.25">
      <c r="A23" s="3" t="s">
        <v>13</v>
      </c>
      <c r="B23" s="34">
        <f>'3'!K21+'4'!K62+'6'!K27+'7n'!K19+'9'!K4</f>
        <v>0.14618756019120838</v>
      </c>
      <c r="C23" s="6" t="s">
        <v>332</v>
      </c>
    </row>
    <row r="24" spans="1:3" x14ac:dyDescent="0.25">
      <c r="A24" s="3" t="s">
        <v>327</v>
      </c>
      <c r="B24" s="34">
        <f>'9'!K51</f>
        <v>0.12960947953297364</v>
      </c>
      <c r="C24" s="6">
        <v>9</v>
      </c>
    </row>
    <row r="25" spans="1:3" x14ac:dyDescent="0.25">
      <c r="A25" s="3" t="s">
        <v>139</v>
      </c>
      <c r="B25" s="34">
        <f>'4'!K45</f>
        <v>-0.30356238210697484</v>
      </c>
      <c r="C25" s="6">
        <v>4</v>
      </c>
    </row>
    <row r="26" spans="1:3" x14ac:dyDescent="0.25">
      <c r="A26" s="3" t="s">
        <v>257</v>
      </c>
      <c r="B26" s="34">
        <f>'7n'!K25</f>
        <v>0.3532323638573871</v>
      </c>
      <c r="C26" s="6">
        <v>7</v>
      </c>
    </row>
    <row r="27" spans="1:3" x14ac:dyDescent="0.25">
      <c r="A27" s="3" t="s">
        <v>41</v>
      </c>
      <c r="B27" s="34">
        <f>'2'!K26+'4'!K12+'10'!K30</f>
        <v>4.7255136871676768</v>
      </c>
      <c r="C27" s="6" t="s">
        <v>364</v>
      </c>
    </row>
    <row r="28" spans="1:3" x14ac:dyDescent="0.25">
      <c r="A28" s="3" t="s">
        <v>42</v>
      </c>
      <c r="B28" s="34">
        <f>'2'!K28</f>
        <v>-0.10794086642636103</v>
      </c>
      <c r="C28" s="6">
        <v>2</v>
      </c>
    </row>
    <row r="29" spans="1:3" x14ac:dyDescent="0.25">
      <c r="A29" s="9" t="s">
        <v>422</v>
      </c>
      <c r="B29" s="34">
        <f>'12'!K39</f>
        <v>84.250175527890406</v>
      </c>
      <c r="C29" s="6">
        <v>12</v>
      </c>
    </row>
    <row r="30" spans="1:3" x14ac:dyDescent="0.25">
      <c r="A30" s="3" t="s">
        <v>23</v>
      </c>
      <c r="B30" s="34">
        <f>'2'!K10+'4'!K53</f>
        <v>-0.16346633469470362</v>
      </c>
      <c r="C30" s="6" t="s">
        <v>173</v>
      </c>
    </row>
    <row r="31" spans="1:3" x14ac:dyDescent="0.25">
      <c r="A31" s="3" t="s">
        <v>353</v>
      </c>
      <c r="B31" s="34">
        <f>'10'!K25</f>
        <v>6.7334881928322829</v>
      </c>
      <c r="C31" s="6">
        <v>10</v>
      </c>
    </row>
    <row r="32" spans="1:3" x14ac:dyDescent="0.25">
      <c r="A32" s="3" t="s">
        <v>21</v>
      </c>
      <c r="B32" s="34">
        <f>'2'!K8</f>
        <v>-0.39916534296037298</v>
      </c>
      <c r="C32" s="6">
        <v>2</v>
      </c>
    </row>
    <row r="33" spans="1:5" x14ac:dyDescent="0.25">
      <c r="A33" s="3" t="s">
        <v>70</v>
      </c>
      <c r="B33" s="34">
        <f>'3'!K6+'4'!K39+'5'!K9</f>
        <v>1.4198148523973941E-3</v>
      </c>
      <c r="C33" s="6" t="s">
        <v>208</v>
      </c>
    </row>
    <row r="34" spans="1:5" x14ac:dyDescent="0.25">
      <c r="A34" s="3" t="s">
        <v>161</v>
      </c>
      <c r="B34" s="34">
        <f>'4'!K74+'7n'!K22+'10'!K33+'11'!K27</f>
        <v>0.40293986497340484</v>
      </c>
      <c r="C34" s="6" t="s">
        <v>389</v>
      </c>
    </row>
    <row r="35" spans="1:5" x14ac:dyDescent="0.25">
      <c r="A35" s="3" t="s">
        <v>114</v>
      </c>
      <c r="B35" s="34">
        <f>'4'!K7+'5'!K31+'6'!K17</f>
        <v>9.4405335253607063</v>
      </c>
      <c r="C35" s="6" t="s">
        <v>234</v>
      </c>
    </row>
    <row r="36" spans="1:5" x14ac:dyDescent="0.25">
      <c r="A36" s="9" t="s">
        <v>419</v>
      </c>
      <c r="B36" s="34">
        <f>'12'!K35</f>
        <v>-4584.5664909553616</v>
      </c>
      <c r="C36" s="6">
        <v>12</v>
      </c>
    </row>
    <row r="37" spans="1:5" x14ac:dyDescent="0.25">
      <c r="A37" s="3" t="s">
        <v>46</v>
      </c>
      <c r="B37" s="34">
        <f>'2'!K32</f>
        <v>2.9856063537904447</v>
      </c>
      <c r="C37" s="6">
        <v>2</v>
      </c>
    </row>
    <row r="38" spans="1:5" x14ac:dyDescent="0.25">
      <c r="A38" s="3" t="s">
        <v>157</v>
      </c>
      <c r="B38" s="34">
        <f>'4'!K70</f>
        <v>-44.924969011048233</v>
      </c>
      <c r="C38" s="6">
        <v>4</v>
      </c>
    </row>
    <row r="39" spans="1:5" x14ac:dyDescent="0.25">
      <c r="A39" s="3" t="s">
        <v>308</v>
      </c>
      <c r="B39" s="34">
        <f>'9'!K24</f>
        <v>-0.4461356162823904</v>
      </c>
      <c r="C39" s="6">
        <v>9</v>
      </c>
    </row>
    <row r="40" spans="1:5" x14ac:dyDescent="0.25">
      <c r="A40" s="9" t="s">
        <v>403</v>
      </c>
      <c r="B40" s="34">
        <f>'12'!K14</f>
        <v>-5307.832232478162</v>
      </c>
      <c r="C40" s="6">
        <v>12</v>
      </c>
    </row>
    <row r="41" spans="1:5" x14ac:dyDescent="0.25">
      <c r="A41" s="3" t="s">
        <v>324</v>
      </c>
      <c r="B41" s="34">
        <f>'9'!K44</f>
        <v>-0.31687810409346184</v>
      </c>
      <c r="C41" s="6">
        <v>9</v>
      </c>
    </row>
    <row r="42" spans="1:5" x14ac:dyDescent="0.25">
      <c r="A42" s="3" t="s">
        <v>192</v>
      </c>
      <c r="B42" s="34">
        <f>'5'!K21+'10'!K15</f>
        <v>200.86276228898441</v>
      </c>
      <c r="C42" s="6" t="s">
        <v>363</v>
      </c>
    </row>
    <row r="43" spans="1:5" x14ac:dyDescent="0.25">
      <c r="A43" s="3" t="s">
        <v>51</v>
      </c>
      <c r="B43" s="34">
        <f>'4'!K19+'2'!K38</f>
        <v>-25.262903624603268</v>
      </c>
      <c r="C43" s="6" t="s">
        <v>173</v>
      </c>
    </row>
    <row r="44" spans="1:5" x14ac:dyDescent="0.25">
      <c r="A44" s="9" t="s">
        <v>196</v>
      </c>
      <c r="B44" s="94">
        <f>'5'!K27+'8'!K9+'9'!K30+'11'!K19+'12'!K4</f>
        <v>-3933.3003028389239</v>
      </c>
      <c r="C44" s="55" t="s">
        <v>427</v>
      </c>
    </row>
    <row r="45" spans="1:5" x14ac:dyDescent="0.25">
      <c r="A45" s="9" t="s">
        <v>421</v>
      </c>
      <c r="B45" s="94">
        <f>'12'!K37</f>
        <v>-4584.5664909553616</v>
      </c>
      <c r="C45" s="55">
        <v>12</v>
      </c>
    </row>
    <row r="46" spans="1:5" x14ac:dyDescent="0.25">
      <c r="A46" s="53" t="s">
        <v>213</v>
      </c>
      <c r="B46" s="94">
        <f>'6'!K4+'11'!K22</f>
        <v>39.97462349811417</v>
      </c>
      <c r="C46" s="55">
        <v>6.11</v>
      </c>
    </row>
    <row r="47" spans="1:5" x14ac:dyDescent="0.25">
      <c r="A47" s="3" t="s">
        <v>304</v>
      </c>
      <c r="B47" s="34">
        <f>'9'!K20</f>
        <v>-3.4623199909219693E-2</v>
      </c>
      <c r="C47" s="6">
        <v>9</v>
      </c>
    </row>
    <row r="48" spans="1:5" x14ac:dyDescent="0.25">
      <c r="A48" s="3" t="s">
        <v>12</v>
      </c>
      <c r="B48" s="34">
        <f>'3'!K15+'4'!K14+'2'!K35+'8'!K21</f>
        <v>-3.5721767072118382E-2</v>
      </c>
      <c r="C48" s="6" t="s">
        <v>286</v>
      </c>
      <c r="D48" s="105"/>
      <c r="E48" s="105"/>
    </row>
    <row r="49" spans="1:5" x14ac:dyDescent="0.25">
      <c r="A49" s="3" t="s">
        <v>415</v>
      </c>
      <c r="B49" s="34">
        <f>'12'!K27</f>
        <v>-2172.7407122360546</v>
      </c>
      <c r="C49" s="6">
        <v>12</v>
      </c>
      <c r="D49" s="105"/>
      <c r="E49" s="105"/>
    </row>
    <row r="50" spans="1:5" x14ac:dyDescent="0.25">
      <c r="A50" s="3" t="s">
        <v>316</v>
      </c>
      <c r="B50" s="34">
        <f>'9'!K34</f>
        <v>-0.33867921533055778</v>
      </c>
      <c r="C50" s="6">
        <v>9</v>
      </c>
      <c r="D50" s="105"/>
      <c r="E50" s="105"/>
    </row>
    <row r="51" spans="1:5" x14ac:dyDescent="0.25">
      <c r="A51" s="3" t="s">
        <v>347</v>
      </c>
      <c r="B51" s="34">
        <f>'10'!K19</f>
        <v>2.1991219976107459</v>
      </c>
      <c r="C51" s="6">
        <v>10</v>
      </c>
      <c r="D51" s="105"/>
      <c r="E51" s="105"/>
    </row>
    <row r="52" spans="1:5" x14ac:dyDescent="0.25">
      <c r="A52" s="20" t="s">
        <v>397</v>
      </c>
      <c r="B52" s="72">
        <f>'12'!K8</f>
        <v>-4922.7723573835892</v>
      </c>
      <c r="C52" s="73">
        <v>12</v>
      </c>
      <c r="D52" s="105"/>
      <c r="E52" s="105"/>
    </row>
    <row r="53" spans="1:5" x14ac:dyDescent="0.25">
      <c r="A53" s="20" t="s">
        <v>153</v>
      </c>
      <c r="B53" s="72">
        <f>'4'!K66</f>
        <v>-0.31894233360253565</v>
      </c>
      <c r="C53" s="73">
        <v>4</v>
      </c>
    </row>
    <row r="54" spans="1:5" x14ac:dyDescent="0.25">
      <c r="A54" s="3" t="s">
        <v>85</v>
      </c>
      <c r="B54" s="34">
        <f>'3'!K26+'4'!K64+'6'!K25+'7n'!K16</f>
        <v>-0.39478098394704375</v>
      </c>
      <c r="C54" s="6" t="s">
        <v>266</v>
      </c>
    </row>
    <row r="55" spans="1:5" x14ac:dyDescent="0.25">
      <c r="A55" s="3" t="s">
        <v>366</v>
      </c>
      <c r="B55" s="34">
        <f>'11'!K4</f>
        <v>0.20821044310650905</v>
      </c>
      <c r="C55" s="6">
        <v>11</v>
      </c>
    </row>
    <row r="56" spans="1:5" x14ac:dyDescent="0.25">
      <c r="A56" s="3" t="s">
        <v>180</v>
      </c>
      <c r="B56" s="34">
        <f>'5'!K7</f>
        <v>-0.47683953163289061</v>
      </c>
      <c r="C56" s="6">
        <v>5</v>
      </c>
    </row>
    <row r="57" spans="1:5" x14ac:dyDescent="0.25">
      <c r="A57" s="3" t="s">
        <v>239</v>
      </c>
      <c r="B57" s="34">
        <f>'7n'!K4+'8'!K26</f>
        <v>0.23651123391709916</v>
      </c>
      <c r="C57" s="6" t="s">
        <v>287</v>
      </c>
    </row>
    <row r="58" spans="1:5" x14ac:dyDescent="0.25">
      <c r="A58" s="3" t="s">
        <v>293</v>
      </c>
      <c r="B58" s="34">
        <f>'9'!K7</f>
        <v>-0.17658169860533235</v>
      </c>
      <c r="C58" s="6">
        <v>9</v>
      </c>
    </row>
    <row r="59" spans="1:5" x14ac:dyDescent="0.25">
      <c r="A59" s="3" t="s">
        <v>68</v>
      </c>
      <c r="B59" s="34">
        <f>'3'!K4+'4'!K21+'7n'!K8+'9'!K55+'10'!K27+'11'!K25</f>
        <v>6.6792845085452655</v>
      </c>
      <c r="C59" s="6" t="s">
        <v>388</v>
      </c>
    </row>
    <row r="60" spans="1:5" x14ac:dyDescent="0.25">
      <c r="A60" s="3" t="s">
        <v>299</v>
      </c>
      <c r="B60" s="34">
        <f>'9'!K14</f>
        <v>0.44137680009089308</v>
      </c>
      <c r="C60" s="6">
        <v>9</v>
      </c>
    </row>
    <row r="61" spans="1:5" x14ac:dyDescent="0.25">
      <c r="A61" s="9" t="s">
        <v>416</v>
      </c>
      <c r="B61" s="34">
        <f>'12'!K30</f>
        <v>-1798.786267143545</v>
      </c>
      <c r="C61" s="6">
        <v>12</v>
      </c>
    </row>
    <row r="62" spans="1:5" x14ac:dyDescent="0.25">
      <c r="A62" s="3" t="s">
        <v>35</v>
      </c>
      <c r="B62" s="34">
        <f>'2'!K19</f>
        <v>9.6842599277806585E-2</v>
      </c>
      <c r="C62" s="6">
        <v>2</v>
      </c>
    </row>
    <row r="63" spans="1:5" x14ac:dyDescent="0.25">
      <c r="A63" s="3" t="s">
        <v>177</v>
      </c>
      <c r="B63" s="34">
        <f>'5'!K4</f>
        <v>8.6885068531046272E-2</v>
      </c>
      <c r="C63" s="6">
        <v>5</v>
      </c>
    </row>
    <row r="64" spans="1:5" x14ac:dyDescent="0.25">
      <c r="A64" s="3" t="s">
        <v>31</v>
      </c>
      <c r="B64" s="34">
        <f>'2'!K15</f>
        <v>-0.41264548736489814</v>
      </c>
      <c r="C64" s="6">
        <v>2</v>
      </c>
    </row>
    <row r="65" spans="1:3" x14ac:dyDescent="0.25">
      <c r="A65" s="3" t="s">
        <v>247</v>
      </c>
      <c r="B65" s="34">
        <f>'7n'!K12</f>
        <v>0.43503569741551473</v>
      </c>
      <c r="C65" s="6">
        <v>7</v>
      </c>
    </row>
    <row r="66" spans="1:3" x14ac:dyDescent="0.25">
      <c r="A66" s="3" t="s">
        <v>325</v>
      </c>
      <c r="B66" s="34">
        <f>'9'!K46+'11'!K29</f>
        <v>-6.5505393411513069E-2</v>
      </c>
      <c r="C66" s="6">
        <v>9.11</v>
      </c>
    </row>
    <row r="67" spans="1:3" x14ac:dyDescent="0.25">
      <c r="A67" s="3" t="s">
        <v>262</v>
      </c>
      <c r="B67" s="34">
        <f>'7n'!K31</f>
        <v>0.39930327282547751</v>
      </c>
      <c r="C67" s="6">
        <v>7</v>
      </c>
    </row>
    <row r="68" spans="1:3" x14ac:dyDescent="0.25">
      <c r="A68" s="3" t="s">
        <v>230</v>
      </c>
      <c r="B68" s="34">
        <f>'6'!K30+'9'!K49</f>
        <v>-7.7019570843958718E-2</v>
      </c>
      <c r="C68" s="6">
        <v>6.9</v>
      </c>
    </row>
    <row r="69" spans="1:3" x14ac:dyDescent="0.25">
      <c r="A69" s="3" t="s">
        <v>81</v>
      </c>
      <c r="B69" s="34">
        <f>'3'!K18</f>
        <v>116.85769585253456</v>
      </c>
      <c r="C69" s="6">
        <v>3</v>
      </c>
    </row>
    <row r="70" spans="1:3" x14ac:dyDescent="0.25">
      <c r="A70" s="3" t="s">
        <v>297</v>
      </c>
      <c r="B70" s="34">
        <f>'9'!K12</f>
        <v>0.48790588502106402</v>
      </c>
      <c r="C70" s="6">
        <v>9</v>
      </c>
    </row>
  </sheetData>
  <sortState ref="A2:D33">
    <sortCondition ref="A2:A33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40" workbookViewId="0">
      <selection activeCell="A62" sqref="A62:E62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0.38</v>
      </c>
      <c r="C1" s="1"/>
      <c r="J1" t="s">
        <v>290</v>
      </c>
      <c r="K1" s="101">
        <v>41923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13</v>
      </c>
      <c r="B4" s="9"/>
      <c r="C4" s="9"/>
      <c r="D4" s="87"/>
      <c r="E4" s="9"/>
      <c r="F4" s="10"/>
      <c r="G4" s="10"/>
      <c r="H4" s="75"/>
      <c r="I4" s="42">
        <f>SUM(I5:I6)</f>
        <v>-1343.0731633972105</v>
      </c>
      <c r="J4" s="38">
        <f>1300+18</f>
        <v>1318</v>
      </c>
      <c r="K4" s="38">
        <f>J4+I4</f>
        <v>-25.073163397210465</v>
      </c>
    </row>
    <row r="5" spans="1:12" ht="30" x14ac:dyDescent="0.25">
      <c r="A5" s="18" t="s">
        <v>291</v>
      </c>
      <c r="B5" s="3">
        <v>1</v>
      </c>
      <c r="C5" s="3">
        <v>1167</v>
      </c>
      <c r="D5" s="84">
        <f t="shared" ref="D5:D6" si="0">B5*C5*0.1</f>
        <v>116.7</v>
      </c>
      <c r="E5" s="3">
        <f>0.2*1.3</f>
        <v>0.26</v>
      </c>
      <c r="F5" s="30">
        <f>E5/$E$60*$F$60</f>
        <v>483.50153078580331</v>
      </c>
      <c r="G5" s="30">
        <f>(B5*C5)*$B$1+D5*$B$1+F5*$B$1</f>
        <v>671.53658169860523</v>
      </c>
      <c r="H5" s="75"/>
      <c r="I5" s="34">
        <f>H5-G5</f>
        <v>-671.53658169860523</v>
      </c>
      <c r="J5" s="39"/>
      <c r="K5" s="40"/>
    </row>
    <row r="6" spans="1:12" ht="30" x14ac:dyDescent="0.25">
      <c r="A6" s="18" t="s">
        <v>292</v>
      </c>
      <c r="B6" s="3">
        <v>1</v>
      </c>
      <c r="C6" s="3">
        <v>1167</v>
      </c>
      <c r="D6" s="83">
        <f t="shared" si="0"/>
        <v>116.7</v>
      </c>
      <c r="E6" s="3">
        <f>0.2*1.3</f>
        <v>0.26</v>
      </c>
      <c r="F6" s="30">
        <f>E6/$E$60*$F$60</f>
        <v>483.50153078580331</v>
      </c>
      <c r="G6" s="30">
        <f>(B6*C6)*$B$1+D6*$B$1+F6*$B$1</f>
        <v>671.53658169860523</v>
      </c>
      <c r="H6" s="75"/>
      <c r="I6" s="34">
        <f>H6-G6</f>
        <v>-671.53658169860523</v>
      </c>
      <c r="J6" s="39"/>
      <c r="K6" s="40"/>
    </row>
    <row r="7" spans="1:12" x14ac:dyDescent="0.25">
      <c r="A7" s="9" t="s">
        <v>293</v>
      </c>
      <c r="B7" s="9"/>
      <c r="C7" s="9"/>
      <c r="D7" s="87"/>
      <c r="E7" s="9"/>
      <c r="F7" s="10"/>
      <c r="G7" s="10"/>
      <c r="H7" s="75"/>
      <c r="I7" s="42">
        <f>SUM(I8:I8)</f>
        <v>-663.17658169860533</v>
      </c>
      <c r="J7" s="38">
        <f>654+9</f>
        <v>663</v>
      </c>
      <c r="K7" s="38">
        <f>J7+I7</f>
        <v>-0.17658169860533235</v>
      </c>
    </row>
    <row r="8" spans="1:12" ht="35.25" x14ac:dyDescent="0.25">
      <c r="A8" s="95" t="s">
        <v>294</v>
      </c>
      <c r="B8" s="3">
        <v>1</v>
      </c>
      <c r="C8" s="3">
        <v>1147</v>
      </c>
      <c r="D8" s="84">
        <f t="shared" ref="D8" si="1">B8*C8*0.1</f>
        <v>114.7</v>
      </c>
      <c r="E8" s="3">
        <f>0.2*1.3</f>
        <v>0.26</v>
      </c>
      <c r="F8" s="30">
        <f>E8/$E$60*$F$60</f>
        <v>483.50153078580331</v>
      </c>
      <c r="G8" s="30">
        <f t="shared" ref="G8" si="2">(B8*C8)*$B$1+D8*$B$1+F8*$B$1</f>
        <v>663.17658169860533</v>
      </c>
      <c r="H8" s="75"/>
      <c r="I8" s="34">
        <f>H8-G8</f>
        <v>-663.17658169860533</v>
      </c>
      <c r="J8" s="39"/>
      <c r="K8" s="40"/>
    </row>
    <row r="9" spans="1:12" x14ac:dyDescent="0.25">
      <c r="A9" s="9" t="s">
        <v>126</v>
      </c>
      <c r="B9" s="9"/>
      <c r="C9" s="9"/>
      <c r="D9" s="87"/>
      <c r="E9" s="9"/>
      <c r="F9" s="10"/>
      <c r="G9" s="10"/>
      <c r="H9" s="75"/>
      <c r="I9" s="42">
        <f>SUM(I10:I11)</f>
        <v>-1322.5343379067922</v>
      </c>
      <c r="J9" s="38">
        <f>1304+19</f>
        <v>1323</v>
      </c>
      <c r="K9" s="38">
        <f>J9+I9</f>
        <v>0.46566209320781127</v>
      </c>
    </row>
    <row r="10" spans="1:12" ht="45" x14ac:dyDescent="0.25">
      <c r="A10" s="18" t="s">
        <v>295</v>
      </c>
      <c r="B10" s="3">
        <v>1</v>
      </c>
      <c r="C10" s="3">
        <v>685</v>
      </c>
      <c r="D10" s="84">
        <f t="shared" ref="D10:D11" si="3">B10*C10*0.1</f>
        <v>68.5</v>
      </c>
      <c r="E10" s="3">
        <f>0.2*1.3</f>
        <v>0.26</v>
      </c>
      <c r="F10" s="30">
        <f>E10/$E$60*$F$60</f>
        <v>483.50153078580331</v>
      </c>
      <c r="G10" s="30">
        <f>(B10*C10)*$B$1+D10*$B$1+F10*$B$1</f>
        <v>470.06058169860529</v>
      </c>
      <c r="H10" s="75"/>
      <c r="I10" s="34">
        <f>H10-G10</f>
        <v>-470.06058169860529</v>
      </c>
      <c r="J10" s="39"/>
      <c r="K10" s="40"/>
    </row>
    <row r="11" spans="1:12" ht="35.25" x14ac:dyDescent="0.25">
      <c r="A11" s="95" t="s">
        <v>296</v>
      </c>
      <c r="B11" s="3">
        <v>1</v>
      </c>
      <c r="C11" s="3">
        <v>1468</v>
      </c>
      <c r="D11" s="83">
        <f t="shared" si="3"/>
        <v>146.80000000000001</v>
      </c>
      <c r="E11" s="3">
        <f>0.26*1.3</f>
        <v>0.33800000000000002</v>
      </c>
      <c r="F11" s="30">
        <f>E11/$E$60*$F$60</f>
        <v>628.55199002154438</v>
      </c>
      <c r="G11" s="30">
        <f>(B11*C11)*$B$1+D11*$B$1+F11*$B$1</f>
        <v>852.47375620818684</v>
      </c>
      <c r="H11" s="75"/>
      <c r="I11" s="34">
        <f>H11-G11</f>
        <v>-852.47375620818684</v>
      </c>
      <c r="J11" s="39"/>
      <c r="K11" s="40"/>
    </row>
    <row r="12" spans="1:12" x14ac:dyDescent="0.25">
      <c r="A12" s="9" t="s">
        <v>297</v>
      </c>
      <c r="B12" s="9"/>
      <c r="C12" s="9"/>
      <c r="D12" s="87"/>
      <c r="E12" s="9"/>
      <c r="F12" s="10"/>
      <c r="G12" s="10"/>
      <c r="H12" s="75"/>
      <c r="I12" s="42">
        <f>SUM(I13:I13)</f>
        <v>-1392.5120941149789</v>
      </c>
      <c r="J12" s="38">
        <f>1366+27</f>
        <v>1393</v>
      </c>
      <c r="K12" s="38">
        <f>J12+I12</f>
        <v>0.48790588502106402</v>
      </c>
    </row>
    <row r="13" spans="1:12" x14ac:dyDescent="0.25">
      <c r="A13" s="18" t="s">
        <v>298</v>
      </c>
      <c r="B13" s="3">
        <v>1</v>
      </c>
      <c r="C13" s="3">
        <v>1749</v>
      </c>
      <c r="D13" s="84">
        <f t="shared" ref="D13" si="4">B13*C13*0.1</f>
        <v>174.9</v>
      </c>
      <c r="E13" s="3">
        <f>0.72*1.3</f>
        <v>0.93599999999999994</v>
      </c>
      <c r="F13" s="30">
        <f>E13/$E$60*$F$60</f>
        <v>1740.6055108288917</v>
      </c>
      <c r="G13" s="30">
        <f t="shared" ref="G13" si="5">(B13*C13)*$B$1+D13*$B$1+F13*$B$1</f>
        <v>1392.5120941149789</v>
      </c>
      <c r="H13" s="75"/>
      <c r="I13" s="34">
        <f>H13-G13</f>
        <v>-1392.5120941149789</v>
      </c>
      <c r="J13" s="39"/>
      <c r="K13" s="40"/>
    </row>
    <row r="14" spans="1:12" x14ac:dyDescent="0.25">
      <c r="A14" s="9" t="s">
        <v>299</v>
      </c>
      <c r="B14" s="9"/>
      <c r="C14" s="9"/>
      <c r="D14" s="87"/>
      <c r="E14" s="9"/>
      <c r="F14" s="10"/>
      <c r="G14" s="10"/>
      <c r="H14" s="75"/>
      <c r="I14" s="42">
        <f>SUM(I15:I16)</f>
        <v>-1723.5586231999091</v>
      </c>
      <c r="J14" s="38">
        <f>1696+28</f>
        <v>1724</v>
      </c>
      <c r="K14" s="38">
        <f t="shared" ref="K14" si="6">J14+I14</f>
        <v>0.44137680009089308</v>
      </c>
      <c r="L14" s="82"/>
    </row>
    <row r="15" spans="1:12" ht="24" x14ac:dyDescent="0.25">
      <c r="A15" s="95" t="s">
        <v>300</v>
      </c>
      <c r="B15" s="3">
        <v>1</v>
      </c>
      <c r="C15" s="3">
        <v>1725</v>
      </c>
      <c r="D15" s="84">
        <f t="shared" ref="D15:D16" si="7">B15*C15*0.1</f>
        <v>172.5</v>
      </c>
      <c r="E15" s="3">
        <f>0.6*1.3</f>
        <v>0.78</v>
      </c>
      <c r="F15" s="30">
        <f>E15/$E$60*$F$60</f>
        <v>1450.50459235741</v>
      </c>
      <c r="G15" s="30">
        <f t="shared" ref="G15:G16" si="8">(B15*C15)*$B$1+D15*$B$1+F15*$B$1</f>
        <v>1272.2417450958158</v>
      </c>
      <c r="H15" s="75"/>
      <c r="I15" s="34">
        <f>H15-G15</f>
        <v>-1272.2417450958158</v>
      </c>
      <c r="J15" s="39"/>
      <c r="K15" s="40"/>
    </row>
    <row r="16" spans="1:12" ht="30" x14ac:dyDescent="0.25">
      <c r="A16" s="18" t="s">
        <v>301</v>
      </c>
      <c r="B16" s="3">
        <v>1</v>
      </c>
      <c r="C16" s="3">
        <v>794</v>
      </c>
      <c r="D16" s="83">
        <f t="shared" si="7"/>
        <v>79.400000000000006</v>
      </c>
      <c r="E16" s="3">
        <f>0.13*1.3</f>
        <v>0.16900000000000001</v>
      </c>
      <c r="F16" s="30">
        <f>E16/$E$60*$F$60</f>
        <v>314.27599501077219</v>
      </c>
      <c r="G16" s="30">
        <f t="shared" si="8"/>
        <v>451.31687810409346</v>
      </c>
      <c r="H16" s="75"/>
      <c r="I16" s="34">
        <f>H16-G16</f>
        <v>-451.31687810409346</v>
      </c>
      <c r="J16" s="39"/>
      <c r="K16" s="40"/>
    </row>
    <row r="17" spans="1:12" x14ac:dyDescent="0.25">
      <c r="A17" s="92">
        <v>51150</v>
      </c>
      <c r="B17" s="9"/>
      <c r="C17" s="9"/>
      <c r="D17" s="87"/>
      <c r="E17" s="9"/>
      <c r="F17" s="10"/>
      <c r="G17" s="10"/>
      <c r="H17" s="75"/>
      <c r="I17" s="42">
        <f>SUM(I18:I19)</f>
        <v>-1262.9779759156368</v>
      </c>
      <c r="J17" s="38">
        <f>1243+20</f>
        <v>1263</v>
      </c>
      <c r="K17" s="38">
        <f>J17+I17</f>
        <v>2.2024084363238217E-2</v>
      </c>
      <c r="L17" t="s">
        <v>336</v>
      </c>
    </row>
    <row r="18" spans="1:12" ht="24" x14ac:dyDescent="0.25">
      <c r="A18" s="95" t="s">
        <v>302</v>
      </c>
      <c r="B18" s="3">
        <v>1</v>
      </c>
      <c r="C18" s="3">
        <v>1146</v>
      </c>
      <c r="D18" s="84">
        <f t="shared" ref="D18:D19" si="9">B18*C18*0.1</f>
        <v>114.60000000000001</v>
      </c>
      <c r="E18" s="3">
        <f>0.25*1.3</f>
        <v>0.32500000000000001</v>
      </c>
      <c r="F18" s="30">
        <f>E18/$E$60*$F$60</f>
        <v>604.37691348225417</v>
      </c>
      <c r="G18" s="30">
        <f>(B18*C18)*$B$1+D18*$B$1+F18*$B$1</f>
        <v>708.69122712325657</v>
      </c>
      <c r="H18" s="75"/>
      <c r="I18" s="34">
        <f>H18-G18</f>
        <v>-708.69122712325657</v>
      </c>
      <c r="J18" s="39"/>
      <c r="K18" s="40"/>
    </row>
    <row r="19" spans="1:12" ht="30" x14ac:dyDescent="0.25">
      <c r="A19" s="79" t="s">
        <v>303</v>
      </c>
      <c r="B19" s="3">
        <v>1</v>
      </c>
      <c r="C19" s="3">
        <f>2476/1000*300</f>
        <v>742.8</v>
      </c>
      <c r="D19" s="83">
        <f t="shared" si="9"/>
        <v>74.28</v>
      </c>
      <c r="E19" s="3">
        <f>0.3*1.15</f>
        <v>0.34499999999999997</v>
      </c>
      <c r="F19" s="30">
        <f>E19/$E$60*$F$60</f>
        <v>641.56933892731593</v>
      </c>
      <c r="G19" s="30">
        <f>(B19*C19)*$B$1+D19*$B$1+F19*$B$1</f>
        <v>554.28674879238008</v>
      </c>
      <c r="H19" s="75"/>
      <c r="I19" s="34">
        <f>H19-G19</f>
        <v>-554.28674879238008</v>
      </c>
      <c r="J19" s="39"/>
      <c r="K19" s="40"/>
    </row>
    <row r="20" spans="1:12" x14ac:dyDescent="0.25">
      <c r="A20" s="9" t="s">
        <v>304</v>
      </c>
      <c r="B20" s="9"/>
      <c r="C20" s="9"/>
      <c r="D20" s="87"/>
      <c r="E20" s="9"/>
      <c r="F20" s="10"/>
      <c r="G20" s="10"/>
      <c r="H20" s="75"/>
      <c r="I20" s="42">
        <f>SUM(I21:I23)</f>
        <v>-2134.0346231999092</v>
      </c>
      <c r="J20" s="38">
        <f>2104+30</f>
        <v>2134</v>
      </c>
      <c r="K20" s="38">
        <f>J20+I20</f>
        <v>-3.4623199909219693E-2</v>
      </c>
    </row>
    <row r="21" spans="1:12" ht="30" x14ac:dyDescent="0.25">
      <c r="A21" s="18" t="s">
        <v>305</v>
      </c>
      <c r="B21" s="3">
        <v>1</v>
      </c>
      <c r="C21" s="3">
        <v>806</v>
      </c>
      <c r="D21" s="84">
        <f>B21*C21*0.1</f>
        <v>80.600000000000009</v>
      </c>
      <c r="E21" s="3">
        <f>0.13*1.3</f>
        <v>0.16900000000000001</v>
      </c>
      <c r="F21" s="30">
        <f>E21/$E$60*$F$60</f>
        <v>314.27599501077219</v>
      </c>
      <c r="G21" s="30">
        <f>(B21*C21)*$B$1+D21*$B$1+F21*$B$1</f>
        <v>456.33287810409342</v>
      </c>
      <c r="H21" s="75"/>
      <c r="I21" s="34">
        <f t="shared" ref="I21:I23" si="10">H21-G21</f>
        <v>-456.33287810409342</v>
      </c>
      <c r="J21" s="39"/>
      <c r="K21" s="40"/>
    </row>
    <row r="22" spans="1:12" x14ac:dyDescent="0.25">
      <c r="A22" s="18" t="s">
        <v>306</v>
      </c>
      <c r="B22" s="3">
        <v>1</v>
      </c>
      <c r="C22" s="3">
        <v>1728</v>
      </c>
      <c r="D22" s="84">
        <f>B22*C22*0.1</f>
        <v>172.8</v>
      </c>
      <c r="E22" s="3">
        <f>0.36*1.3</f>
        <v>0.46799999999999997</v>
      </c>
      <c r="F22" s="30">
        <f>E22/$E$60*$F$60</f>
        <v>870.30275541444587</v>
      </c>
      <c r="G22" s="30">
        <f t="shared" ref="G22" si="11">(B22*C22)*$B$1+D22*$B$1+F22*$B$1</f>
        <v>1053.0190470574894</v>
      </c>
      <c r="H22" s="75"/>
      <c r="I22" s="34">
        <f t="shared" si="10"/>
        <v>-1053.0190470574894</v>
      </c>
      <c r="J22" s="39"/>
      <c r="K22" s="40"/>
    </row>
    <row r="23" spans="1:12" x14ac:dyDescent="0.25">
      <c r="A23" s="18" t="s">
        <v>307</v>
      </c>
      <c r="B23" s="3">
        <v>1</v>
      </c>
      <c r="C23" s="3">
        <v>967</v>
      </c>
      <c r="D23" s="84">
        <f>C23*0.1</f>
        <v>96.7</v>
      </c>
      <c r="E23" s="3">
        <f>0.24*1.3</f>
        <v>0.312</v>
      </c>
      <c r="F23" s="30">
        <f>E23/$E$60*$F$60</f>
        <v>580.20183694296395</v>
      </c>
      <c r="G23" s="30">
        <f>(B23*C23)*$B$1+D23*$B$1*B23+F23*$B$1*B23</f>
        <v>624.68269803832629</v>
      </c>
      <c r="H23" s="75"/>
      <c r="I23" s="34">
        <f t="shared" si="10"/>
        <v>-624.68269803832629</v>
      </c>
      <c r="J23" s="39"/>
      <c r="K23" s="40"/>
    </row>
    <row r="24" spans="1:12" x14ac:dyDescent="0.25">
      <c r="A24" s="9" t="s">
        <v>308</v>
      </c>
      <c r="B24" s="9"/>
      <c r="C24" s="9"/>
      <c r="D24" s="87"/>
      <c r="E24" s="9"/>
      <c r="F24" s="10"/>
      <c r="G24" s="10"/>
      <c r="H24" s="75"/>
      <c r="I24" s="42">
        <f>SUM(I25:I29)</f>
        <v>-3566.4461356162824</v>
      </c>
      <c r="J24" s="38">
        <f>3520+46</f>
        <v>3566</v>
      </c>
      <c r="K24" s="38">
        <f>J24+I24</f>
        <v>-0.4461356162823904</v>
      </c>
    </row>
    <row r="25" spans="1:12" ht="30" x14ac:dyDescent="0.25">
      <c r="A25" s="18" t="s">
        <v>305</v>
      </c>
      <c r="B25" s="3">
        <v>1</v>
      </c>
      <c r="C25" s="3">
        <v>806</v>
      </c>
      <c r="D25" s="84">
        <f>B25*C25*0.1</f>
        <v>80.600000000000009</v>
      </c>
      <c r="E25" s="3">
        <f>0.13*1.3</f>
        <v>0.16900000000000001</v>
      </c>
      <c r="F25" s="30">
        <f>E25/$E$60*$F$60</f>
        <v>314.27599501077219</v>
      </c>
      <c r="G25" s="30">
        <f>(B25*C25)*$B$1+D25*$B$1+F25*$B$1</f>
        <v>456.33287810409342</v>
      </c>
      <c r="H25" s="75"/>
      <c r="I25" s="34">
        <f t="shared" ref="I25:I29" si="12">H25-G25</f>
        <v>-456.33287810409342</v>
      </c>
      <c r="J25" s="39"/>
      <c r="K25" s="40"/>
    </row>
    <row r="26" spans="1:12" x14ac:dyDescent="0.25">
      <c r="A26" s="18" t="s">
        <v>309</v>
      </c>
      <c r="B26" s="3">
        <v>1</v>
      </c>
      <c r="C26" s="3">
        <v>672</v>
      </c>
      <c r="D26" s="84">
        <f>B26*C26*0.1</f>
        <v>67.2</v>
      </c>
      <c r="E26" s="3">
        <f>0.2*1.3</f>
        <v>0.26</v>
      </c>
      <c r="F26" s="30">
        <f>E26/$E$60*$F$60</f>
        <v>483.50153078580331</v>
      </c>
      <c r="G26" s="30">
        <f t="shared" ref="G26:G28" si="13">(B26*C26)*$B$1+D26*$B$1+F26*$B$1</f>
        <v>464.62658169860526</v>
      </c>
      <c r="H26" s="75"/>
      <c r="I26" s="34">
        <f t="shared" si="12"/>
        <v>-464.62658169860526</v>
      </c>
      <c r="J26" s="39"/>
      <c r="K26" s="40"/>
    </row>
    <row r="27" spans="1:12" x14ac:dyDescent="0.25">
      <c r="A27" s="18" t="s">
        <v>310</v>
      </c>
      <c r="B27" s="3">
        <v>1</v>
      </c>
      <c r="C27" s="3">
        <v>849</v>
      </c>
      <c r="D27" s="84">
        <f>B27*C27*0.1</f>
        <v>84.9</v>
      </c>
      <c r="E27" s="3">
        <f>0.2*1.3</f>
        <v>0.26</v>
      </c>
      <c r="F27" s="30">
        <f>E27/$E$60*$F$60</f>
        <v>483.50153078580331</v>
      </c>
      <c r="G27" s="30">
        <f t="shared" si="13"/>
        <v>538.61258169860525</v>
      </c>
      <c r="H27" s="75"/>
      <c r="I27" s="34">
        <f t="shared" si="12"/>
        <v>-538.61258169860525</v>
      </c>
      <c r="J27" s="39"/>
      <c r="K27" s="40"/>
    </row>
    <row r="28" spans="1:12" x14ac:dyDescent="0.25">
      <c r="A28" s="18" t="s">
        <v>311</v>
      </c>
      <c r="B28" s="3">
        <v>1</v>
      </c>
      <c r="C28" s="3">
        <v>1730</v>
      </c>
      <c r="D28" s="84">
        <f>B28*C28*0.1</f>
        <v>173</v>
      </c>
      <c r="E28" s="3">
        <f>0.36*1.3</f>
        <v>0.46799999999999997</v>
      </c>
      <c r="F28" s="30">
        <f>E28/$E$60*$F$60</f>
        <v>870.30275541444587</v>
      </c>
      <c r="G28" s="30">
        <f t="shared" si="13"/>
        <v>1053.8550470574894</v>
      </c>
      <c r="H28" s="75"/>
      <c r="I28" s="34">
        <f t="shared" si="12"/>
        <v>-1053.8550470574894</v>
      </c>
      <c r="J28" s="39"/>
      <c r="K28" s="40"/>
    </row>
    <row r="29" spans="1:12" ht="30" x14ac:dyDescent="0.25">
      <c r="A29" s="18" t="s">
        <v>312</v>
      </c>
      <c r="B29" s="3">
        <v>1</v>
      </c>
      <c r="C29" s="3">
        <v>1728</v>
      </c>
      <c r="D29" s="84">
        <f>C29*0.1</f>
        <v>172.8</v>
      </c>
      <c r="E29" s="3">
        <f>0.36*1.3</f>
        <v>0.46799999999999997</v>
      </c>
      <c r="F29" s="30">
        <f>E29/$E$60*$F$60</f>
        <v>870.30275541444587</v>
      </c>
      <c r="G29" s="30">
        <f>(B29*C29)*$B$1+D29*$B$1*B29+F29*$B$1*B29</f>
        <v>1053.0190470574894</v>
      </c>
      <c r="H29" s="75"/>
      <c r="I29" s="34">
        <f t="shared" si="12"/>
        <v>-1053.0190470574894</v>
      </c>
      <c r="J29" s="39"/>
      <c r="K29" s="40"/>
    </row>
    <row r="30" spans="1:12" x14ac:dyDescent="0.25">
      <c r="A30" s="9" t="s">
        <v>196</v>
      </c>
      <c r="B30" s="9"/>
      <c r="C30" s="9"/>
      <c r="D30" s="87"/>
      <c r="E30" s="9"/>
      <c r="F30" s="10"/>
      <c r="G30" s="10"/>
      <c r="H30" s="75"/>
      <c r="I30" s="42">
        <f>SUM(I31:I33)</f>
        <v>-1509.9561221453678</v>
      </c>
      <c r="J30" s="38">
        <f>1492+18</f>
        <v>1510</v>
      </c>
      <c r="K30" s="38">
        <f>J30+I30</f>
        <v>4.3877854632228264E-2</v>
      </c>
      <c r="L30" t="s">
        <v>334</v>
      </c>
    </row>
    <row r="31" spans="1:12" x14ac:dyDescent="0.25">
      <c r="A31" s="18" t="s">
        <v>313</v>
      </c>
      <c r="B31" s="3">
        <v>1</v>
      </c>
      <c r="C31" s="3">
        <v>1344</v>
      </c>
      <c r="D31" s="84">
        <f>B31*C31*0.1</f>
        <v>134.4</v>
      </c>
      <c r="E31" s="3">
        <f>0.1*1.3</f>
        <v>0.13</v>
      </c>
      <c r="F31" s="30">
        <f>E31/$E$60*$F$60</f>
        <v>241.75076539290166</v>
      </c>
      <c r="G31" s="30">
        <f>(B31*C31)*$B$1+D31*$B$1+F31*$B$1</f>
        <v>653.65729084930263</v>
      </c>
      <c r="H31" s="75"/>
      <c r="I31" s="34">
        <f t="shared" ref="I31:I33" si="14">H31-G31</f>
        <v>-653.65729084930263</v>
      </c>
      <c r="J31" s="39"/>
      <c r="K31" s="40"/>
    </row>
    <row r="32" spans="1:12" x14ac:dyDescent="0.25">
      <c r="A32" s="18" t="s">
        <v>314</v>
      </c>
      <c r="B32" s="3">
        <v>1</v>
      </c>
      <c r="C32" s="3">
        <v>1167</v>
      </c>
      <c r="D32" s="84">
        <f>B32*C32*0.1</f>
        <v>116.7</v>
      </c>
      <c r="E32" s="3">
        <f>0.2*1.3</f>
        <v>0.26</v>
      </c>
      <c r="F32" s="30">
        <f>E32/$E$60*$F$60</f>
        <v>483.50153078580331</v>
      </c>
      <c r="G32" s="30">
        <f t="shared" ref="G32" si="15">(B32*C32)*$B$1+D32*$B$1+F32*$B$1</f>
        <v>671.53658169860523</v>
      </c>
      <c r="H32" s="75"/>
      <c r="I32" s="34">
        <f t="shared" si="14"/>
        <v>-671.53658169860523</v>
      </c>
      <c r="J32" s="39"/>
      <c r="K32" s="40"/>
    </row>
    <row r="33" spans="1:12" x14ac:dyDescent="0.25">
      <c r="A33" s="79" t="s">
        <v>315</v>
      </c>
      <c r="B33" s="3">
        <v>1</v>
      </c>
      <c r="C33" s="3">
        <f>2476/1000*100</f>
        <v>247.6</v>
      </c>
      <c r="D33" s="84">
        <f>C33*0.1</f>
        <v>24.76</v>
      </c>
      <c r="E33" s="3">
        <f>0.1*1.15</f>
        <v>0.11499999999999999</v>
      </c>
      <c r="F33" s="30">
        <f>E33/$E$60*$F$60</f>
        <v>213.85644630910528</v>
      </c>
      <c r="G33" s="30">
        <f>(B33*C33)*$B$1+D33*$B$1*B33+F33*$B$1*B33</f>
        <v>184.76224959746</v>
      </c>
      <c r="H33" s="75"/>
      <c r="I33" s="34">
        <f t="shared" si="14"/>
        <v>-184.76224959746</v>
      </c>
      <c r="J33" s="39"/>
      <c r="K33" s="40"/>
    </row>
    <row r="34" spans="1:12" x14ac:dyDescent="0.25">
      <c r="A34" s="9" t="s">
        <v>316</v>
      </c>
      <c r="B34" s="9"/>
      <c r="C34" s="9"/>
      <c r="D34" s="87"/>
      <c r="E34" s="9"/>
      <c r="F34" s="10"/>
      <c r="G34" s="10"/>
      <c r="H34" s="75"/>
      <c r="I34" s="42">
        <f>SUM(I35:I37)</f>
        <v>-1355.3386792153306</v>
      </c>
      <c r="J34" s="38">
        <f>1337+18</f>
        <v>1355</v>
      </c>
      <c r="K34" s="38">
        <f>J34+I34</f>
        <v>-0.33867921533055778</v>
      </c>
    </row>
    <row r="35" spans="1:12" ht="30" x14ac:dyDescent="0.25">
      <c r="A35" s="18" t="s">
        <v>140</v>
      </c>
      <c r="B35" s="3">
        <v>1</v>
      </c>
      <c r="C35" s="3">
        <v>794</v>
      </c>
      <c r="D35" s="84">
        <f>B35*C35*0.1</f>
        <v>79.400000000000006</v>
      </c>
      <c r="E35" s="3">
        <f>0.13*1.3</f>
        <v>0.16900000000000001</v>
      </c>
      <c r="F35" s="30">
        <f>E35/$E$60*$F$60</f>
        <v>314.27599501077219</v>
      </c>
      <c r="G35" s="30">
        <f>(B35*C35)*$B$1+D35*$B$1+F35*$B$1</f>
        <v>451.31687810409346</v>
      </c>
      <c r="H35" s="75"/>
      <c r="I35" s="34">
        <f t="shared" ref="I35:I37" si="16">H35-G35</f>
        <v>-451.31687810409346</v>
      </c>
      <c r="J35" s="39"/>
      <c r="K35" s="40"/>
    </row>
    <row r="36" spans="1:12" x14ac:dyDescent="0.25">
      <c r="A36" s="18" t="s">
        <v>317</v>
      </c>
      <c r="B36" s="3">
        <v>1</v>
      </c>
      <c r="C36" s="3">
        <v>664</v>
      </c>
      <c r="D36" s="84">
        <f>B36*C36*0.1</f>
        <v>66.400000000000006</v>
      </c>
      <c r="E36" s="3">
        <f>0.2*1.15</f>
        <v>0.22999999999999998</v>
      </c>
      <c r="F36" s="30">
        <f>E36/$E$60*$F$60</f>
        <v>427.71289261821056</v>
      </c>
      <c r="G36" s="30">
        <f t="shared" ref="G36" si="17">(B36*C36)*$B$1+D36*$B$1+F36*$B$1</f>
        <v>440.08289919492006</v>
      </c>
      <c r="H36" s="75"/>
      <c r="I36" s="34">
        <f t="shared" si="16"/>
        <v>-440.08289919492006</v>
      </c>
      <c r="J36" s="39"/>
      <c r="K36" s="40"/>
    </row>
    <row r="37" spans="1:12" x14ac:dyDescent="0.25">
      <c r="A37" s="18" t="s">
        <v>318</v>
      </c>
      <c r="B37" s="3">
        <v>1</v>
      </c>
      <c r="C37" s="3">
        <v>828</v>
      </c>
      <c r="D37" s="84">
        <f>C37*0.1</f>
        <v>82.800000000000011</v>
      </c>
      <c r="E37" s="3">
        <f>0.145*1.15</f>
        <v>0.16674999999999998</v>
      </c>
      <c r="F37" s="30">
        <f>E37/$E$60*$F$60</f>
        <v>310.09184714820265</v>
      </c>
      <c r="G37" s="30">
        <f>(B37*C37)*$B$1+D37*$B$1*B37+F37*$B$1*B37</f>
        <v>463.93890191631698</v>
      </c>
      <c r="H37" s="75"/>
      <c r="I37" s="34">
        <f t="shared" si="16"/>
        <v>-463.93890191631698</v>
      </c>
      <c r="J37" s="39"/>
      <c r="K37" s="40"/>
    </row>
    <row r="38" spans="1:12" x14ac:dyDescent="0.25">
      <c r="A38" s="9" t="s">
        <v>99</v>
      </c>
      <c r="B38" s="9"/>
      <c r="C38" s="9"/>
      <c r="D38" s="87"/>
      <c r="E38" s="9"/>
      <c r="F38" s="10"/>
      <c r="G38" s="10"/>
      <c r="H38" s="75"/>
      <c r="I38" s="42">
        <f>SUM(I39:I39)</f>
        <v>-461.90562399365001</v>
      </c>
      <c r="J38" s="38">
        <v>454</v>
      </c>
      <c r="K38" s="38">
        <f>J38+I38</f>
        <v>-7.9056239936500106</v>
      </c>
    </row>
    <row r="39" spans="1:12" ht="15.75" customHeight="1" x14ac:dyDescent="0.25">
      <c r="A39" s="18" t="s">
        <v>319</v>
      </c>
      <c r="B39" s="3">
        <v>1</v>
      </c>
      <c r="C39" s="3">
        <f>2476/1000*250</f>
        <v>619</v>
      </c>
      <c r="D39" s="84">
        <f t="shared" ref="D39" si="18">B39*C39*0.1</f>
        <v>61.900000000000006</v>
      </c>
      <c r="E39" s="3">
        <f>0.25*1.15</f>
        <v>0.28749999999999998</v>
      </c>
      <c r="F39" s="30">
        <f>E39/$E$60*$F$60</f>
        <v>534.64111577276321</v>
      </c>
      <c r="G39" s="30">
        <f t="shared" ref="G39" si="19">(B39*C39)*$B$1+D39*$B$1+F39*$B$1</f>
        <v>461.90562399365001</v>
      </c>
      <c r="H39" s="75"/>
      <c r="I39" s="34">
        <f>H39-G39</f>
        <v>-461.90562399365001</v>
      </c>
      <c r="J39" s="39"/>
      <c r="K39" s="40"/>
    </row>
    <row r="40" spans="1:12" x14ac:dyDescent="0.25">
      <c r="A40" s="9" t="s">
        <v>320</v>
      </c>
      <c r="B40" s="9"/>
      <c r="C40" s="9"/>
      <c r="D40" s="87"/>
      <c r="E40" s="9"/>
      <c r="F40" s="10"/>
      <c r="G40" s="10"/>
      <c r="H40" s="75"/>
      <c r="I40" s="42">
        <f>SUM(I41:I43)</f>
        <v>-2119.5307733756663</v>
      </c>
      <c r="J40" s="38">
        <f>2088+32</f>
        <v>2120</v>
      </c>
      <c r="K40" s="38">
        <f>J40+I40</f>
        <v>0.46922662433371443</v>
      </c>
      <c r="L40" t="s">
        <v>335</v>
      </c>
    </row>
    <row r="41" spans="1:12" ht="30" x14ac:dyDescent="0.25">
      <c r="A41" s="79" t="s">
        <v>321</v>
      </c>
      <c r="B41" s="3">
        <v>1</v>
      </c>
      <c r="C41" s="3">
        <f>2476/1000*200</f>
        <v>495.2</v>
      </c>
      <c r="D41" s="84">
        <f>B41*C41*0.1</f>
        <v>49.52</v>
      </c>
      <c r="E41" s="3">
        <f>0.2*1.15</f>
        <v>0.22999999999999998</v>
      </c>
      <c r="F41" s="30">
        <f>E41/$E$60*$F$60</f>
        <v>427.71289261821056</v>
      </c>
      <c r="G41" s="30">
        <f>(B41*C41)*$B$1+D41*$B$1+F41*$B$1</f>
        <v>369.52449919492</v>
      </c>
      <c r="H41" s="75"/>
      <c r="I41" s="34">
        <f t="shared" ref="I41:I43" si="20">H41-G41</f>
        <v>-369.52449919492</v>
      </c>
      <c r="J41" s="39"/>
      <c r="K41" s="40"/>
    </row>
    <row r="42" spans="1:12" x14ac:dyDescent="0.25">
      <c r="A42" s="18" t="s">
        <v>322</v>
      </c>
      <c r="B42" s="3">
        <v>1</v>
      </c>
      <c r="C42" s="3">
        <v>1146</v>
      </c>
      <c r="D42" s="84">
        <f>B42*C42*0.1</f>
        <v>114.60000000000001</v>
      </c>
      <c r="E42" s="3">
        <f>0.25*1.3</f>
        <v>0.32500000000000001</v>
      </c>
      <c r="F42" s="30">
        <f>E42/$E$60*$F$60</f>
        <v>604.37691348225417</v>
      </c>
      <c r="G42" s="30">
        <f t="shared" ref="G42" si="21">(B42*C42)*$B$1+D42*$B$1+F42*$B$1</f>
        <v>708.69122712325657</v>
      </c>
      <c r="H42" s="75"/>
      <c r="I42" s="34">
        <f t="shared" si="20"/>
        <v>-708.69122712325657</v>
      </c>
      <c r="J42" s="39"/>
      <c r="K42" s="40"/>
    </row>
    <row r="43" spans="1:12" ht="30" x14ac:dyDescent="0.25">
      <c r="A43" s="18" t="s">
        <v>323</v>
      </c>
      <c r="B43" s="3">
        <v>1</v>
      </c>
      <c r="C43" s="3">
        <v>1700</v>
      </c>
      <c r="D43" s="84">
        <f>C43*0.1</f>
        <v>170</v>
      </c>
      <c r="E43" s="3">
        <f>0.36*1.3</f>
        <v>0.46799999999999997</v>
      </c>
      <c r="F43" s="30">
        <f>E43/$E$60*$F$60</f>
        <v>870.30275541444587</v>
      </c>
      <c r="G43" s="30">
        <f>(B43*C43)*$B$1+D43*$B$1*B43+F43*$B$1*B43</f>
        <v>1041.3150470574894</v>
      </c>
      <c r="H43" s="75"/>
      <c r="I43" s="34">
        <f t="shared" si="20"/>
        <v>-1041.3150470574894</v>
      </c>
      <c r="J43" s="39"/>
      <c r="K43" s="40"/>
    </row>
    <row r="44" spans="1:12" x14ac:dyDescent="0.25">
      <c r="A44" s="9" t="s">
        <v>324</v>
      </c>
      <c r="B44" s="9"/>
      <c r="C44" s="9"/>
      <c r="D44" s="87"/>
      <c r="E44" s="9"/>
      <c r="F44" s="10"/>
      <c r="G44" s="10"/>
      <c r="H44" s="75"/>
      <c r="I44" s="42">
        <f>SUM(I45:I45)</f>
        <v>-451.31687810409346</v>
      </c>
      <c r="J44" s="38">
        <v>451</v>
      </c>
      <c r="K44" s="38">
        <f>J44+I44</f>
        <v>-0.31687810409346184</v>
      </c>
    </row>
    <row r="45" spans="1:12" ht="30" x14ac:dyDescent="0.25">
      <c r="A45" s="18" t="s">
        <v>301</v>
      </c>
      <c r="B45" s="3">
        <v>1</v>
      </c>
      <c r="C45" s="3">
        <v>794</v>
      </c>
      <c r="D45" s="84">
        <f t="shared" ref="D45" si="22">B45*C45*0.1</f>
        <v>79.400000000000006</v>
      </c>
      <c r="E45" s="3">
        <f>0.13*1.3</f>
        <v>0.16900000000000001</v>
      </c>
      <c r="F45" s="30">
        <f>E45/$E$60*$F$60</f>
        <v>314.27599501077219</v>
      </c>
      <c r="G45" s="30">
        <f t="shared" ref="G45" si="23">(B45*C45)*$B$1+D45*$B$1+F45*$B$1</f>
        <v>451.31687810409346</v>
      </c>
      <c r="H45" s="75"/>
      <c r="I45" s="34">
        <f>H45-G45</f>
        <v>-451.31687810409346</v>
      </c>
      <c r="J45" s="39"/>
      <c r="K45" s="40"/>
    </row>
    <row r="46" spans="1:12" x14ac:dyDescent="0.25">
      <c r="A46" s="9" t="s">
        <v>325</v>
      </c>
      <c r="B46" s="9"/>
      <c r="C46" s="9"/>
      <c r="D46" s="87"/>
      <c r="E46" s="9"/>
      <c r="F46" s="10"/>
      <c r="G46" s="10"/>
      <c r="H46" s="75"/>
      <c r="I46" s="42">
        <f>SUM(I47:I48)</f>
        <v>-984.54281437804741</v>
      </c>
      <c r="J46" s="38">
        <f>972+13</f>
        <v>985</v>
      </c>
      <c r="K46" s="38">
        <f>J46+I46</f>
        <v>0.45718562195258983</v>
      </c>
    </row>
    <row r="47" spans="1:12" ht="30" x14ac:dyDescent="0.25">
      <c r="A47" s="18" t="s">
        <v>305</v>
      </c>
      <c r="B47" s="3">
        <v>1</v>
      </c>
      <c r="C47" s="3">
        <v>806</v>
      </c>
      <c r="D47" s="84">
        <f>B47*C47*0.1</f>
        <v>80.600000000000009</v>
      </c>
      <c r="E47" s="3">
        <f>0.13*1.3</f>
        <v>0.16900000000000001</v>
      </c>
      <c r="F47" s="30">
        <f>E47/$E$60*$F$60</f>
        <v>314.27599501077219</v>
      </c>
      <c r="G47" s="30">
        <f>(B47*C47)*$B$1+D47*$B$1+F47*$B$1</f>
        <v>456.33287810409342</v>
      </c>
      <c r="H47" s="75"/>
      <c r="I47" s="34">
        <f t="shared" ref="I47:I48" si="24">H47-G47</f>
        <v>-456.33287810409342</v>
      </c>
      <c r="J47" s="39"/>
      <c r="K47" s="40"/>
    </row>
    <row r="48" spans="1:12" x14ac:dyDescent="0.25">
      <c r="A48" s="102" t="s">
        <v>331</v>
      </c>
      <c r="B48" s="3">
        <v>1</v>
      </c>
      <c r="C48" s="3">
        <v>934</v>
      </c>
      <c r="D48" s="84">
        <f>C48*0.1</f>
        <v>93.4</v>
      </c>
      <c r="E48" s="3">
        <f>0.15*1.3</f>
        <v>0.19500000000000001</v>
      </c>
      <c r="F48" s="30">
        <f>E48/$E$60*$F$60</f>
        <v>362.62614808935251</v>
      </c>
      <c r="G48" s="30">
        <f>(B48*C48)*$B$1+D48*$B$1*B48+F48*$B$1*B48</f>
        <v>528.20993627395399</v>
      </c>
      <c r="H48" s="75"/>
      <c r="I48" s="34">
        <f t="shared" si="24"/>
        <v>-528.20993627395399</v>
      </c>
      <c r="J48" s="39"/>
      <c r="K48" s="40"/>
    </row>
    <row r="49" spans="1:12" x14ac:dyDescent="0.25">
      <c r="A49" s="9" t="s">
        <v>230</v>
      </c>
      <c r="B49" s="9"/>
      <c r="C49" s="9"/>
      <c r="D49" s="87"/>
      <c r="E49" s="9"/>
      <c r="F49" s="10"/>
      <c r="G49" s="10"/>
      <c r="H49" s="75"/>
      <c r="I49" s="42">
        <f>SUM(I50:I50)</f>
        <v>-653.65729084930263</v>
      </c>
      <c r="J49" s="38">
        <f>610+44</f>
        <v>654</v>
      </c>
      <c r="K49" s="38">
        <f>J49+I49</f>
        <v>0.34270915069737384</v>
      </c>
    </row>
    <row r="50" spans="1:12" x14ac:dyDescent="0.25">
      <c r="A50" s="18" t="s">
        <v>326</v>
      </c>
      <c r="B50" s="3">
        <v>1</v>
      </c>
      <c r="C50" s="3">
        <v>1344</v>
      </c>
      <c r="D50" s="84">
        <f>B50*C50*0.1</f>
        <v>134.4</v>
      </c>
      <c r="E50" s="3">
        <f>0.1*1.3</f>
        <v>0.13</v>
      </c>
      <c r="F50" s="30">
        <f>E50/$E$60*$F$60</f>
        <v>241.75076539290166</v>
      </c>
      <c r="G50" s="30">
        <f>(B50*C50)*$B$1+D50*$B$1+F50*B50*$B$1</f>
        <v>653.65729084930263</v>
      </c>
      <c r="H50" s="75"/>
      <c r="I50" s="34">
        <f t="shared" ref="I50" si="25">H50-G50</f>
        <v>-653.65729084930263</v>
      </c>
      <c r="J50" s="39"/>
      <c r="K50" s="40"/>
    </row>
    <row r="51" spans="1:12" x14ac:dyDescent="0.25">
      <c r="A51" s="9" t="s">
        <v>327</v>
      </c>
      <c r="B51" s="9"/>
      <c r="C51" s="9"/>
      <c r="D51" s="87"/>
      <c r="E51" s="9"/>
      <c r="F51" s="10"/>
      <c r="G51" s="10"/>
      <c r="H51" s="75"/>
      <c r="I51" s="42">
        <f>SUM(I52:I54)</f>
        <v>-2058.870390520467</v>
      </c>
      <c r="J51" s="38">
        <f>2031+28</f>
        <v>2059</v>
      </c>
      <c r="K51" s="38">
        <f>J51+I51</f>
        <v>0.12960947953297364</v>
      </c>
    </row>
    <row r="52" spans="1:12" x14ac:dyDescent="0.25">
      <c r="A52" s="18" t="s">
        <v>306</v>
      </c>
      <c r="B52" s="3">
        <v>1</v>
      </c>
      <c r="C52" s="3">
        <v>1728</v>
      </c>
      <c r="D52" s="84">
        <f>B52*C52*0.1</f>
        <v>172.8</v>
      </c>
      <c r="E52" s="3">
        <f>0.36*1.3</f>
        <v>0.46799999999999997</v>
      </c>
      <c r="F52" s="30">
        <f>E52/$E$60*$F$60</f>
        <v>870.30275541444587</v>
      </c>
      <c r="G52" s="30">
        <f>(B52*C52)*$B$1+D52*$B$1+F52*$B$1</f>
        <v>1053.0190470574894</v>
      </c>
      <c r="H52" s="75"/>
      <c r="I52" s="34">
        <f t="shared" ref="I52:I54" si="26">H52-G52</f>
        <v>-1053.0190470574894</v>
      </c>
      <c r="J52" s="39"/>
      <c r="K52" s="40"/>
    </row>
    <row r="53" spans="1:12" ht="30" x14ac:dyDescent="0.25">
      <c r="A53" s="18" t="s">
        <v>328</v>
      </c>
      <c r="B53" s="3">
        <v>1</v>
      </c>
      <c r="C53" s="3">
        <v>835</v>
      </c>
      <c r="D53" s="84">
        <f>B53*C53*0.1</f>
        <v>83.5</v>
      </c>
      <c r="E53" s="3">
        <f>0.14*1.3</f>
        <v>0.18200000000000002</v>
      </c>
      <c r="F53" s="30">
        <f>E53/$E$60*$F$60</f>
        <v>338.45107155006235</v>
      </c>
      <c r="G53" s="30">
        <f t="shared" ref="G53" si="27">(B53*C53)*$B$1+D53*$B$1+F53*$B$1</f>
        <v>477.64140718902377</v>
      </c>
      <c r="H53" s="75"/>
      <c r="I53" s="34">
        <f t="shared" si="26"/>
        <v>-477.64140718902377</v>
      </c>
      <c r="J53" s="39"/>
      <c r="K53" s="40"/>
    </row>
    <row r="54" spans="1:12" x14ac:dyDescent="0.25">
      <c r="A54" s="102" t="s">
        <v>331</v>
      </c>
      <c r="B54" s="3">
        <v>1</v>
      </c>
      <c r="C54" s="3">
        <v>934</v>
      </c>
      <c r="D54" s="84">
        <f>C54*0.1</f>
        <v>93.4</v>
      </c>
      <c r="E54" s="3">
        <f>0.15*1.3</f>
        <v>0.19500000000000001</v>
      </c>
      <c r="F54" s="30">
        <f>E54/$E$60*$F$60</f>
        <v>362.62614808935251</v>
      </c>
      <c r="G54" s="30">
        <f>(B54*C54)*$B$1+D54*$B$1*B54+F54*$B$1*B54</f>
        <v>528.20993627395399</v>
      </c>
      <c r="H54" s="75"/>
      <c r="I54" s="34">
        <f t="shared" si="26"/>
        <v>-528.20993627395399</v>
      </c>
      <c r="J54" s="39"/>
      <c r="K54" s="40"/>
    </row>
    <row r="55" spans="1:12" x14ac:dyDescent="0.25">
      <c r="A55" s="9" t="s">
        <v>68</v>
      </c>
      <c r="B55" s="9"/>
      <c r="C55" s="9"/>
      <c r="D55" s="87"/>
      <c r="E55" s="9"/>
      <c r="F55" s="10"/>
      <c r="G55" s="10"/>
      <c r="H55" s="75"/>
      <c r="I55" s="42">
        <f>SUM(I56:I57)</f>
        <v>-708.69122712325657</v>
      </c>
      <c r="J55" s="38">
        <f>1398</f>
        <v>1398</v>
      </c>
      <c r="K55" s="38">
        <f t="shared" ref="K55" si="28">J55+I55</f>
        <v>689.30877287674343</v>
      </c>
      <c r="L55" s="82" t="s">
        <v>337</v>
      </c>
    </row>
    <row r="56" spans="1:12" ht="30" x14ac:dyDescent="0.25">
      <c r="A56" s="68" t="s">
        <v>329</v>
      </c>
      <c r="B56" s="106">
        <v>1</v>
      </c>
      <c r="C56" s="106"/>
      <c r="D56" s="107">
        <f t="shared" ref="D56:D57" si="29">B56*C56*0.1</f>
        <v>0</v>
      </c>
      <c r="E56" s="106"/>
      <c r="F56" s="108">
        <f>E56/$E$60*$F$60</f>
        <v>0</v>
      </c>
      <c r="G56" s="108">
        <f t="shared" ref="G56:G59" si="30">(B56*C56)*$B$1+D56*$B$1+F56*$B$1</f>
        <v>0</v>
      </c>
      <c r="H56" s="106"/>
      <c r="I56" s="109">
        <f>H56-G56</f>
        <v>0</v>
      </c>
      <c r="J56" s="110"/>
      <c r="K56" s="111"/>
    </row>
    <row r="57" spans="1:12" ht="45" x14ac:dyDescent="0.25">
      <c r="A57" s="18" t="s">
        <v>330</v>
      </c>
      <c r="B57" s="3">
        <v>1</v>
      </c>
      <c r="C57" s="3">
        <v>1146</v>
      </c>
      <c r="D57" s="83">
        <f t="shared" si="29"/>
        <v>114.60000000000001</v>
      </c>
      <c r="E57" s="3">
        <f>0.25*1.3</f>
        <v>0.32500000000000001</v>
      </c>
      <c r="F57" s="30">
        <f>E57/$E$60*$F$60</f>
        <v>604.37691348225417</v>
      </c>
      <c r="G57" s="30">
        <f t="shared" si="30"/>
        <v>708.69122712325657</v>
      </c>
      <c r="H57" s="75"/>
      <c r="I57" s="34">
        <f>H57-G57</f>
        <v>-708.69122712325657</v>
      </c>
      <c r="J57" s="39"/>
      <c r="K57" s="40"/>
    </row>
    <row r="58" spans="1:12" x14ac:dyDescent="0.25">
      <c r="A58" s="91" t="s">
        <v>30</v>
      </c>
      <c r="B58" s="89"/>
      <c r="C58" s="89"/>
      <c r="D58" s="87"/>
      <c r="E58" s="87"/>
      <c r="F58" s="10"/>
      <c r="G58" s="10"/>
      <c r="H58" s="75"/>
      <c r="I58" s="42"/>
      <c r="J58" s="38"/>
      <c r="K58" s="38"/>
    </row>
    <row r="59" spans="1:12" x14ac:dyDescent="0.25">
      <c r="A59" s="93"/>
      <c r="B59" s="84"/>
      <c r="C59" s="84"/>
      <c r="D59" s="84">
        <f t="shared" ref="D59" si="31">B59*C59*0.1</f>
        <v>0</v>
      </c>
      <c r="E59" s="84">
        <v>0.30249999999999999</v>
      </c>
      <c r="F59" s="30">
        <f>E59/$E$60*$F$60</f>
        <v>562.53543485655962</v>
      </c>
      <c r="G59" s="30">
        <f t="shared" si="30"/>
        <v>213.76346524549265</v>
      </c>
      <c r="H59" s="75"/>
      <c r="I59" s="28"/>
      <c r="J59" s="28"/>
      <c r="K59" s="28"/>
    </row>
    <row r="60" spans="1:12" x14ac:dyDescent="0.25">
      <c r="A60" s="27"/>
      <c r="B60" s="28"/>
      <c r="C60" s="28"/>
      <c r="D60" s="28"/>
      <c r="E60" s="103">
        <f>SUM(E5:E59)</f>
        <v>11.023750000000001</v>
      </c>
      <c r="F60" s="29">
        <v>20500</v>
      </c>
      <c r="G60" s="28">
        <f>F60/E60</f>
        <v>1859.6212722530897</v>
      </c>
      <c r="H60" s="75"/>
      <c r="I60" s="28"/>
      <c r="J60" s="28"/>
      <c r="K60" s="28"/>
    </row>
    <row r="62" spans="1:12" ht="63.75" customHeight="1" x14ac:dyDescent="0.25">
      <c r="A62" s="118" t="s">
        <v>210</v>
      </c>
      <c r="B62" s="119"/>
      <c r="C62" s="119"/>
      <c r="D62" s="119"/>
      <c r="E62" s="119"/>
    </row>
  </sheetData>
  <mergeCells count="1">
    <mergeCell ref="A62:E62"/>
  </mergeCells>
  <hyperlinks>
    <hyperlink ref="A17" r:id="rId1" display="http://forum.sibmama.ru/viewtopic.php?t=715424&amp;start=12795"/>
    <hyperlink ref="A20" r:id="rId2" display="http://forum.sibmama.ru/viewtopic.php?t=715424&amp;start=12810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"/>
  <sheetViews>
    <sheetView topLeftCell="A10" workbookViewId="0">
      <selection sqref="A1:XFD1048576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0.5237*1.02</f>
        <v>0.53417400000000004</v>
      </c>
      <c r="C1" s="1"/>
      <c r="J1" t="s">
        <v>290</v>
      </c>
      <c r="K1" s="101">
        <v>42053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112" t="s">
        <v>338</v>
      </c>
      <c r="B4" s="9"/>
      <c r="C4" s="9"/>
      <c r="D4" s="87"/>
      <c r="E4" s="9"/>
      <c r="F4" s="10"/>
      <c r="G4" s="10"/>
      <c r="H4" s="75"/>
      <c r="I4" s="42">
        <f>SUM(I5:I10)</f>
        <v>-5309.4586073748133</v>
      </c>
      <c r="J4" s="38">
        <v>5348</v>
      </c>
      <c r="K4" s="38">
        <f>J4+I4</f>
        <v>38.541392625186745</v>
      </c>
    </row>
    <row r="5" spans="1:11" x14ac:dyDescent="0.25">
      <c r="A5" s="113" t="s">
        <v>339</v>
      </c>
      <c r="B5" s="3">
        <v>1</v>
      </c>
      <c r="C5" s="3">
        <v>685</v>
      </c>
      <c r="D5" s="84">
        <f>B5*C5*0.1</f>
        <v>68.5</v>
      </c>
      <c r="E5" s="3">
        <f>0.2*1.3</f>
        <v>0.26</v>
      </c>
      <c r="F5" s="30">
        <f t="shared" ref="F5:F10" si="0">E5/$E$38*$F$38</f>
        <v>439.6399427946497</v>
      </c>
      <c r="G5" s="30">
        <f>(B5*C5)*$B$1+D5*$B$1+F5*$B$1</f>
        <v>637.3443358023892</v>
      </c>
      <c r="H5" s="75"/>
      <c r="I5" s="34">
        <f t="shared" ref="I5:I10" si="1">H5-G5</f>
        <v>-637.3443358023892</v>
      </c>
      <c r="J5" s="39"/>
      <c r="K5" s="40"/>
    </row>
    <row r="6" spans="1:11" x14ac:dyDescent="0.25">
      <c r="A6" s="113" t="s">
        <v>340</v>
      </c>
      <c r="B6" s="3">
        <v>1</v>
      </c>
      <c r="C6" s="3">
        <v>670</v>
      </c>
      <c r="D6" s="84">
        <f>B6*C6*0.1</f>
        <v>67</v>
      </c>
      <c r="E6" s="3">
        <f>0.2*1.3</f>
        <v>0.26</v>
      </c>
      <c r="F6" s="30">
        <f t="shared" si="0"/>
        <v>439.6399427946497</v>
      </c>
      <c r="G6" s="30">
        <f t="shared" ref="G6:G9" si="2">(B6*C6)*$B$1+D6*$B$1+F6*$B$1</f>
        <v>628.53046480238925</v>
      </c>
      <c r="H6" s="75"/>
      <c r="I6" s="34">
        <f t="shared" si="1"/>
        <v>-628.53046480238925</v>
      </c>
      <c r="J6" s="39"/>
      <c r="K6" s="40"/>
    </row>
    <row r="7" spans="1:11" x14ac:dyDescent="0.25">
      <c r="A7" s="24" t="s">
        <v>306</v>
      </c>
      <c r="B7" s="3">
        <v>1</v>
      </c>
      <c r="C7" s="3">
        <v>1728</v>
      </c>
      <c r="D7" s="84">
        <f>B7*C7*0.1</f>
        <v>172.8</v>
      </c>
      <c r="E7" s="3">
        <f>0.36*1.3</f>
        <v>0.46799999999999997</v>
      </c>
      <c r="F7" s="30">
        <f t="shared" si="0"/>
        <v>791.3518970303694</v>
      </c>
      <c r="G7" s="30">
        <f t="shared" ref="G7" si="3">(B7*C7)*$B$1+D7*$B$1+F7*$B$1</f>
        <v>1438.0775474443005</v>
      </c>
      <c r="H7" s="75"/>
      <c r="I7" s="34">
        <f t="shared" ref="I7" si="4">H7-G7</f>
        <v>-1438.0775474443005</v>
      </c>
      <c r="J7" s="39"/>
      <c r="K7" s="40"/>
    </row>
    <row r="8" spans="1:11" x14ac:dyDescent="0.25">
      <c r="A8" s="114" t="s">
        <v>37</v>
      </c>
      <c r="B8" s="26">
        <v>1</v>
      </c>
      <c r="C8" s="26">
        <v>935</v>
      </c>
      <c r="D8" s="84">
        <f>B8*C8*0.1</f>
        <v>93.5</v>
      </c>
      <c r="E8" s="96">
        <v>0.16900000000000001</v>
      </c>
      <c r="F8" s="30">
        <f t="shared" si="0"/>
        <v>285.76596281652229</v>
      </c>
      <c r="G8" s="30">
        <f t="shared" si="2"/>
        <v>702.04670642155304</v>
      </c>
      <c r="H8" s="75"/>
      <c r="I8" s="34">
        <f t="shared" si="1"/>
        <v>-702.04670642155304</v>
      </c>
      <c r="J8" s="39"/>
      <c r="K8" s="40"/>
    </row>
    <row r="9" spans="1:11" x14ac:dyDescent="0.25">
      <c r="A9" s="113" t="s">
        <v>242</v>
      </c>
      <c r="B9" s="3">
        <v>1</v>
      </c>
      <c r="C9" s="3">
        <v>1404</v>
      </c>
      <c r="D9" s="84">
        <f>B9*C9*0.1</f>
        <v>140.4</v>
      </c>
      <c r="E9" s="3">
        <f>0.1*1.3</f>
        <v>0.13</v>
      </c>
      <c r="F9" s="30">
        <f t="shared" si="0"/>
        <v>219.81997139732485</v>
      </c>
      <c r="G9" s="30">
        <f t="shared" si="2"/>
        <v>942.40043900119463</v>
      </c>
      <c r="H9" s="75"/>
      <c r="I9" s="34">
        <f t="shared" si="1"/>
        <v>-942.40043900119463</v>
      </c>
      <c r="J9" s="39"/>
      <c r="K9" s="40"/>
    </row>
    <row r="10" spans="1:11" x14ac:dyDescent="0.25">
      <c r="A10" s="113" t="s">
        <v>341</v>
      </c>
      <c r="B10" s="115">
        <v>1</v>
      </c>
      <c r="C10" s="3">
        <v>1136</v>
      </c>
      <c r="D10" s="84">
        <f>C10*0.1</f>
        <v>113.60000000000001</v>
      </c>
      <c r="E10" s="3">
        <f>0.25*1.3</f>
        <v>0.32500000000000001</v>
      </c>
      <c r="F10" s="30">
        <f t="shared" si="0"/>
        <v>549.54992849331211</v>
      </c>
      <c r="G10" s="30">
        <f>(B10*C10)*$B$1+D10*$B$1*B10+F10*$B$1*B10</f>
        <v>961.05911390298661</v>
      </c>
      <c r="H10" s="75"/>
      <c r="I10" s="34">
        <f t="shared" si="1"/>
        <v>-961.05911390298661</v>
      </c>
      <c r="J10" s="39"/>
      <c r="K10" s="40"/>
    </row>
    <row r="11" spans="1:11" x14ac:dyDescent="0.25">
      <c r="A11" s="112" t="s">
        <v>216</v>
      </c>
      <c r="B11" s="9"/>
      <c r="C11" s="9"/>
      <c r="D11" s="87"/>
      <c r="E11" s="9"/>
      <c r="F11" s="10"/>
      <c r="G11" s="10"/>
      <c r="H11" s="75"/>
      <c r="I11" s="42">
        <f>SUM(I12:I14)</f>
        <v>-4436.7594720306388</v>
      </c>
      <c r="J11" s="38">
        <v>4366</v>
      </c>
      <c r="K11" s="38">
        <f>J11+I11</f>
        <v>-70.75947203063879</v>
      </c>
    </row>
    <row r="12" spans="1:11" x14ac:dyDescent="0.25">
      <c r="A12" s="113" t="s">
        <v>342</v>
      </c>
      <c r="B12" s="117">
        <v>2</v>
      </c>
      <c r="C12" s="3">
        <v>925</v>
      </c>
      <c r="D12" s="84">
        <f>B12*C12*0.1</f>
        <v>185</v>
      </c>
      <c r="E12" s="3">
        <v>0.30499999999999999</v>
      </c>
      <c r="F12" s="30">
        <f>E12/$E$38*$F$38</f>
        <v>515.7314713552621</v>
      </c>
      <c r="G12" s="30">
        <f>(B12*C12)*$B$1+D12*$B$1+F12*$B$1</f>
        <v>1362.5344329797258</v>
      </c>
      <c r="H12" s="75"/>
      <c r="I12" s="34">
        <f t="shared" ref="I12:I14" si="5">H12-G12</f>
        <v>-1362.5344329797258</v>
      </c>
      <c r="J12" s="39"/>
      <c r="K12" s="40"/>
    </row>
    <row r="13" spans="1:11" x14ac:dyDescent="0.25">
      <c r="A13" s="113" t="s">
        <v>343</v>
      </c>
      <c r="B13" s="117">
        <v>2</v>
      </c>
      <c r="C13" s="3">
        <v>925</v>
      </c>
      <c r="D13" s="84">
        <f>B13*C13*0.1</f>
        <v>185</v>
      </c>
      <c r="E13" s="3">
        <v>0.30499999999999999</v>
      </c>
      <c r="F13" s="30">
        <f>E13/$E$38*$F$38</f>
        <v>515.7314713552621</v>
      </c>
      <c r="G13" s="30">
        <f t="shared" ref="G13" si="6">(B13*C13)*$B$1+D13*$B$1+F13*$B$1</f>
        <v>1362.5344329797258</v>
      </c>
      <c r="H13" s="75"/>
      <c r="I13" s="34">
        <f t="shared" si="5"/>
        <v>-1362.5344329797258</v>
      </c>
      <c r="J13" s="39"/>
      <c r="K13" s="40"/>
    </row>
    <row r="14" spans="1:11" x14ac:dyDescent="0.25">
      <c r="A14" s="113" t="s">
        <v>344</v>
      </c>
      <c r="B14" s="113">
        <v>1</v>
      </c>
      <c r="C14" s="3">
        <v>1299</v>
      </c>
      <c r="D14" s="84">
        <f>C14*0.1</f>
        <v>129.9</v>
      </c>
      <c r="E14" s="3">
        <v>1.05</v>
      </c>
      <c r="F14" s="30">
        <f>E14/$E$38*$F$38</f>
        <v>1775.4689997476237</v>
      </c>
      <c r="G14" s="30">
        <f>(B14*C14)*$B$1+D14*$B$1*B14+F14*$B$1*B14</f>
        <v>1711.6906060711872</v>
      </c>
      <c r="H14" s="75"/>
      <c r="I14" s="34">
        <f t="shared" si="5"/>
        <v>-1711.6906060711872</v>
      </c>
      <c r="J14" s="39"/>
      <c r="K14" s="40"/>
    </row>
    <row r="15" spans="1:11" x14ac:dyDescent="0.25">
      <c r="A15" s="112" t="s">
        <v>192</v>
      </c>
      <c r="B15" s="112"/>
      <c r="C15" s="9"/>
      <c r="D15" s="87"/>
      <c r="E15" s="9"/>
      <c r="F15" s="10"/>
      <c r="G15" s="10"/>
      <c r="H15" s="75"/>
      <c r="I15" s="42">
        <f>SUM(I16:I18)</f>
        <v>-7511.5319416921357</v>
      </c>
      <c r="J15" s="38">
        <v>7712</v>
      </c>
      <c r="K15" s="38">
        <f>J15+I15</f>
        <v>200.46805830786434</v>
      </c>
    </row>
    <row r="16" spans="1:11" x14ac:dyDescent="0.25">
      <c r="A16" s="113" t="s">
        <v>345</v>
      </c>
      <c r="B16" s="113">
        <v>1</v>
      </c>
      <c r="C16" s="3">
        <v>2748</v>
      </c>
      <c r="D16" s="84">
        <f>B16*C16*0.1</f>
        <v>274.8</v>
      </c>
      <c r="E16" s="3">
        <v>1.74</v>
      </c>
      <c r="F16" s="30">
        <f>E16/$E$38*$F$38</f>
        <v>2942.2057710103477</v>
      </c>
      <c r="G16" s="30">
        <f>(B16*C16)*$B$1+D16*$B$1+F16*$B$1</f>
        <v>3186.3509927236819</v>
      </c>
      <c r="H16" s="75"/>
      <c r="I16" s="34">
        <f t="shared" ref="I16:I18" si="7">H16-G16</f>
        <v>-3186.3509927236819</v>
      </c>
      <c r="J16" s="39"/>
      <c r="K16" s="40"/>
    </row>
    <row r="17" spans="1:12" x14ac:dyDescent="0.25">
      <c r="A17" s="113" t="s">
        <v>346</v>
      </c>
      <c r="B17" s="113">
        <v>1</v>
      </c>
      <c r="C17" s="3">
        <v>2344</v>
      </c>
      <c r="D17" s="84">
        <f>B17*C17*0.1</f>
        <v>234.4</v>
      </c>
      <c r="E17" s="3">
        <f>0.98*1.15</f>
        <v>1.127</v>
      </c>
      <c r="F17" s="30">
        <f>E17/$E$38*$F$38</f>
        <v>1905.6700597291162</v>
      </c>
      <c r="G17" s="30">
        <f t="shared" ref="G17" si="8">(B17*C17)*$B$1+D17*$B$1+F17*$B$1</f>
        <v>2395.2736400857411</v>
      </c>
      <c r="H17" s="75"/>
      <c r="I17" s="34">
        <f t="shared" si="7"/>
        <v>-2395.2736400857411</v>
      </c>
      <c r="J17" s="39"/>
      <c r="K17" s="40"/>
    </row>
    <row r="18" spans="1:12" x14ac:dyDescent="0.25">
      <c r="A18" s="113" t="s">
        <v>362</v>
      </c>
      <c r="B18" s="113">
        <v>1</v>
      </c>
      <c r="C18" s="3">
        <v>2316</v>
      </c>
      <c r="D18" s="84">
        <f>C18*0.1</f>
        <v>231.60000000000002</v>
      </c>
      <c r="E18" s="3">
        <v>0.63</v>
      </c>
      <c r="F18" s="30">
        <f>E18/$E$38*$F$38</f>
        <v>1065.2813998485742</v>
      </c>
      <c r="G18" s="30">
        <f>(B18*C18)*$B$1+D18*$B$1*B18+F18*$B$1*B18</f>
        <v>1929.9073088827124</v>
      </c>
      <c r="H18" s="75"/>
      <c r="I18" s="34">
        <f t="shared" si="7"/>
        <v>-1929.9073088827124</v>
      </c>
      <c r="J18" s="39"/>
      <c r="K18" s="40"/>
    </row>
    <row r="19" spans="1:12" x14ac:dyDescent="0.25">
      <c r="A19" s="112" t="s">
        <v>347</v>
      </c>
      <c r="B19" s="112"/>
      <c r="C19" s="9"/>
      <c r="D19" s="87"/>
      <c r="E19" s="9"/>
      <c r="F19" s="10"/>
      <c r="G19" s="10"/>
      <c r="H19" s="75"/>
      <c r="I19" s="42">
        <f>SUM(I20:I20)</f>
        <v>-1884.8008780023893</v>
      </c>
      <c r="J19" s="38">
        <v>1887</v>
      </c>
      <c r="K19" s="38">
        <f>J19+I19</f>
        <v>2.1991219976107459</v>
      </c>
    </row>
    <row r="20" spans="1:12" x14ac:dyDescent="0.25">
      <c r="A20" s="113" t="s">
        <v>348</v>
      </c>
      <c r="B20" s="117">
        <v>2</v>
      </c>
      <c r="C20" s="3">
        <v>1404</v>
      </c>
      <c r="D20" s="84">
        <f>B20*C20*0.1</f>
        <v>280.8</v>
      </c>
      <c r="E20" s="3">
        <f>0.1*1.3*2</f>
        <v>0.26</v>
      </c>
      <c r="F20" s="30">
        <f>E20/$E$38*$F$38</f>
        <v>439.6399427946497</v>
      </c>
      <c r="G20" s="30">
        <f t="shared" ref="G20" si="9">(B20*C20)*$B$1+D20*$B$1+F20*$B$1</f>
        <v>1884.8008780023893</v>
      </c>
      <c r="H20" s="75"/>
      <c r="I20" s="34">
        <f>H20-G20</f>
        <v>-1884.8008780023893</v>
      </c>
      <c r="J20" s="39"/>
      <c r="K20" s="40"/>
    </row>
    <row r="21" spans="1:12" x14ac:dyDescent="0.25">
      <c r="A21" s="112" t="s">
        <v>349</v>
      </c>
      <c r="B21" s="9"/>
      <c r="C21" s="9"/>
      <c r="D21" s="87"/>
      <c r="E21" s="9"/>
      <c r="F21" s="10"/>
      <c r="G21" s="10"/>
      <c r="H21" s="75"/>
      <c r="I21" s="42">
        <f>SUM(I22:I22)</f>
        <v>-942.40043900119463</v>
      </c>
      <c r="J21" s="38">
        <v>944</v>
      </c>
      <c r="K21" s="38">
        <f>J21+I21</f>
        <v>1.5995609988053729</v>
      </c>
    </row>
    <row r="22" spans="1:12" x14ac:dyDescent="0.25">
      <c r="A22" s="113" t="s">
        <v>350</v>
      </c>
      <c r="B22" s="3">
        <v>1</v>
      </c>
      <c r="C22" s="3">
        <v>1404</v>
      </c>
      <c r="D22" s="84">
        <f t="shared" ref="D22" si="10">B22*C22*0.1</f>
        <v>140.4</v>
      </c>
      <c r="E22" s="3">
        <f>0.1*1.3</f>
        <v>0.13</v>
      </c>
      <c r="F22" s="30">
        <f>E22/$E$38*$F$38</f>
        <v>219.81997139732485</v>
      </c>
      <c r="G22" s="30">
        <f t="shared" ref="G22" si="11">(B22*C22)*$B$1+D22*$B$1+F22*$B$1</f>
        <v>942.40043900119463</v>
      </c>
      <c r="H22" s="75"/>
      <c r="I22" s="34">
        <f>H22-G22</f>
        <v>-942.40043900119463</v>
      </c>
      <c r="J22" s="39"/>
      <c r="K22" s="40"/>
    </row>
    <row r="23" spans="1:12" x14ac:dyDescent="0.25">
      <c r="A23" s="112" t="s">
        <v>351</v>
      </c>
      <c r="B23" s="9"/>
      <c r="C23" s="9"/>
      <c r="D23" s="87"/>
      <c r="E23" s="9"/>
      <c r="F23" s="10"/>
      <c r="G23" s="10"/>
      <c r="H23" s="75"/>
      <c r="I23" s="42">
        <f>SUM(I24:I24)</f>
        <v>-1005.7256769628671</v>
      </c>
      <c r="J23" s="38">
        <v>1009</v>
      </c>
      <c r="K23" s="38">
        <f>J23+I23</f>
        <v>3.2743230371329446</v>
      </c>
    </row>
    <row r="24" spans="1:12" x14ac:dyDescent="0.25">
      <c r="A24" s="116" t="s">
        <v>352</v>
      </c>
      <c r="B24" s="3">
        <v>1</v>
      </c>
      <c r="C24" s="3">
        <v>1232</v>
      </c>
      <c r="D24" s="84">
        <f t="shared" ref="D24" si="12">B24*C24*0.1</f>
        <v>123.2</v>
      </c>
      <c r="E24" s="3">
        <f>0.24*1.3</f>
        <v>0.312</v>
      </c>
      <c r="F24" s="30">
        <f>E24/$E$38*$F$38</f>
        <v>527.56793135357964</v>
      </c>
      <c r="G24" s="30">
        <f t="shared" ref="G24" si="13">(B24*C24)*$B$1+D24*$B$1+F24*$B$1</f>
        <v>1005.7256769628671</v>
      </c>
      <c r="H24" s="75"/>
      <c r="I24" s="34">
        <f>H24-G24</f>
        <v>-1005.7256769628671</v>
      </c>
      <c r="J24" s="39"/>
      <c r="K24" s="40"/>
    </row>
    <row r="25" spans="1:12" x14ac:dyDescent="0.25">
      <c r="A25" s="112" t="s">
        <v>353</v>
      </c>
      <c r="B25" s="9"/>
      <c r="C25" s="9"/>
      <c r="D25" s="87"/>
      <c r="E25" s="9"/>
      <c r="F25" s="10"/>
      <c r="G25" s="10"/>
      <c r="H25" s="75"/>
      <c r="I25" s="42">
        <f>SUM(I26:I26)</f>
        <v>-1645.2665118071677</v>
      </c>
      <c r="J25" s="38">
        <v>1652</v>
      </c>
      <c r="K25" s="38">
        <f>J25+I25</f>
        <v>6.7334881928322829</v>
      </c>
    </row>
    <row r="26" spans="1:12" x14ac:dyDescent="0.25">
      <c r="A26" s="116" t="s">
        <v>354</v>
      </c>
      <c r="B26" s="3">
        <v>1</v>
      </c>
      <c r="C26" s="3">
        <v>1601</v>
      </c>
      <c r="D26" s="84">
        <f t="shared" ref="D26" si="14">B26*C26*0.1</f>
        <v>160.10000000000002</v>
      </c>
      <c r="E26" s="3">
        <f>0.6*1.3</f>
        <v>0.78</v>
      </c>
      <c r="F26" s="30">
        <f>E26/$E$38*$F$38</f>
        <v>1318.9198283839492</v>
      </c>
      <c r="G26" s="30">
        <f t="shared" ref="G26" si="15">(B26*C26)*$B$1+D26*$B$1+F26*$B$1</f>
        <v>1645.2665118071677</v>
      </c>
      <c r="H26" s="75"/>
      <c r="I26" s="34">
        <f>H26-G26</f>
        <v>-1645.2665118071677</v>
      </c>
      <c r="J26" s="39"/>
      <c r="K26" s="40"/>
    </row>
    <row r="27" spans="1:12" x14ac:dyDescent="0.25">
      <c r="A27" s="112" t="s">
        <v>68</v>
      </c>
      <c r="B27" s="9"/>
      <c r="C27" s="9"/>
      <c r="D27" s="87"/>
      <c r="E27" s="9"/>
      <c r="F27" s="10"/>
      <c r="G27" s="10"/>
      <c r="H27" s="75"/>
      <c r="I27" s="42">
        <f>SUM(I28:I29)</f>
        <v>-1986.7051985065705</v>
      </c>
      <c r="J27" s="38">
        <v>1310</v>
      </c>
      <c r="K27" s="38">
        <f>J27+I27</f>
        <v>-676.70519850657047</v>
      </c>
    </row>
    <row r="28" spans="1:12" x14ac:dyDescent="0.25">
      <c r="A28" s="113" t="s">
        <v>355</v>
      </c>
      <c r="B28" s="3">
        <v>1</v>
      </c>
      <c r="C28" s="3">
        <v>1146</v>
      </c>
      <c r="D28" s="84">
        <f t="shared" ref="D28:D29" si="16">B28*C28*0.1</f>
        <v>114.60000000000001</v>
      </c>
      <c r="E28" s="3">
        <f>0.25*1.3</f>
        <v>0.32500000000000001</v>
      </c>
      <c r="F28" s="30">
        <f>E28/$E$38*$F$38</f>
        <v>549.54992849331211</v>
      </c>
      <c r="G28" s="30">
        <f>(B28*C28)*$B$1+D28*$B$1+F28*$B$1</f>
        <v>966.93502790298658</v>
      </c>
      <c r="H28" s="75"/>
      <c r="I28" s="34">
        <f>H28-G28</f>
        <v>-966.93502790298658</v>
      </c>
      <c r="J28" s="39"/>
      <c r="K28" s="40"/>
    </row>
    <row r="29" spans="1:12" x14ac:dyDescent="0.25">
      <c r="A29" s="113" t="s">
        <v>356</v>
      </c>
      <c r="B29" s="3">
        <v>1</v>
      </c>
      <c r="C29" s="3">
        <v>1136</v>
      </c>
      <c r="D29" s="83">
        <f t="shared" si="16"/>
        <v>113.60000000000001</v>
      </c>
      <c r="E29" s="3">
        <f>0.3*1.3</f>
        <v>0.39</v>
      </c>
      <c r="F29" s="30">
        <f>E29/$E$38*$F$38</f>
        <v>659.45991419197458</v>
      </c>
      <c r="G29" s="30">
        <f>(B29*C29)*$B$1+D29*$B$1+F29*$B$1</f>
        <v>1019.7701706035839</v>
      </c>
      <c r="H29" s="75"/>
      <c r="I29" s="34">
        <f>H29-G29</f>
        <v>-1019.7701706035839</v>
      </c>
      <c r="J29" s="39"/>
      <c r="K29" s="40"/>
    </row>
    <row r="30" spans="1:12" x14ac:dyDescent="0.25">
      <c r="A30" s="112" t="s">
        <v>357</v>
      </c>
      <c r="B30" s="9"/>
      <c r="C30" s="9"/>
      <c r="D30" s="87"/>
      <c r="E30" s="9"/>
      <c r="F30" s="10"/>
      <c r="G30" s="10"/>
      <c r="H30" s="75"/>
      <c r="I30" s="42">
        <f>SUM(I31:I32)</f>
        <v>-1274.6886716047784</v>
      </c>
      <c r="J30" s="38">
        <v>1293</v>
      </c>
      <c r="K30" s="38">
        <f t="shared" ref="K30" si="17">J30+I30</f>
        <v>18.311328395221608</v>
      </c>
      <c r="L30" s="82"/>
    </row>
    <row r="31" spans="1:12" x14ac:dyDescent="0.25">
      <c r="A31" s="113" t="s">
        <v>339</v>
      </c>
      <c r="B31" s="3">
        <v>1</v>
      </c>
      <c r="C31" s="3">
        <v>685</v>
      </c>
      <c r="D31" s="84">
        <f t="shared" ref="D31:D32" si="18">B31*C31*0.1</f>
        <v>68.5</v>
      </c>
      <c r="E31" s="3">
        <f>0.2*1.3</f>
        <v>0.26</v>
      </c>
      <c r="F31" s="30">
        <f>E31/$E$38*$F$38</f>
        <v>439.6399427946497</v>
      </c>
      <c r="G31" s="30">
        <f t="shared" ref="G31:G32" si="19">(B31*C31)*$B$1+D31*$B$1+F31*$B$1</f>
        <v>637.3443358023892</v>
      </c>
      <c r="H31" s="75"/>
      <c r="I31" s="34">
        <f>H31-G31</f>
        <v>-637.3443358023892</v>
      </c>
      <c r="J31" s="39"/>
      <c r="K31" s="40"/>
    </row>
    <row r="32" spans="1:12" x14ac:dyDescent="0.25">
      <c r="A32" s="113" t="s">
        <v>358</v>
      </c>
      <c r="B32" s="3">
        <v>1</v>
      </c>
      <c r="C32" s="3">
        <v>685</v>
      </c>
      <c r="D32" s="83">
        <f t="shared" si="18"/>
        <v>68.5</v>
      </c>
      <c r="E32" s="3">
        <f>0.2*1.3</f>
        <v>0.26</v>
      </c>
      <c r="F32" s="30">
        <f>E32/$E$38*$F$38</f>
        <v>439.6399427946497</v>
      </c>
      <c r="G32" s="30">
        <f t="shared" si="19"/>
        <v>637.3443358023892</v>
      </c>
      <c r="H32" s="75"/>
      <c r="I32" s="34">
        <f>H32-G32</f>
        <v>-637.3443358023892</v>
      </c>
      <c r="J32" s="39"/>
      <c r="K32" s="40"/>
    </row>
    <row r="33" spans="1:11" x14ac:dyDescent="0.25">
      <c r="A33" s="112" t="s">
        <v>161</v>
      </c>
      <c r="B33" s="9"/>
      <c r="C33" s="9"/>
      <c r="D33" s="87"/>
      <c r="E33" s="9"/>
      <c r="F33" s="10"/>
      <c r="G33" s="10"/>
      <c r="H33" s="75"/>
      <c r="I33" s="42">
        <f>SUM(I34:I35)</f>
        <v>-1051.056764701792</v>
      </c>
      <c r="J33" s="38">
        <v>1052</v>
      </c>
      <c r="K33" s="38">
        <f>J33+I33</f>
        <v>0.94323529820803742</v>
      </c>
    </row>
    <row r="34" spans="1:11" x14ac:dyDescent="0.25">
      <c r="A34" s="3" t="s">
        <v>359</v>
      </c>
      <c r="B34" s="3">
        <v>1</v>
      </c>
      <c r="C34" s="3">
        <v>551</v>
      </c>
      <c r="D34" s="84">
        <f t="shared" ref="D34:D35" si="20">B34*C34*0.1</f>
        <v>55.1</v>
      </c>
      <c r="E34" s="3">
        <f>0.05*1.3</f>
        <v>6.5000000000000002E-2</v>
      </c>
      <c r="F34" s="30">
        <f>E34/$E$38*$F$38</f>
        <v>109.90998569866242</v>
      </c>
      <c r="G34" s="30">
        <f>(B34*C34)*$B$1+D34*$B$1+F34*$B$1</f>
        <v>382.4739181005973</v>
      </c>
      <c r="H34" s="75"/>
      <c r="I34" s="34">
        <f>H34-G34</f>
        <v>-382.4739181005973</v>
      </c>
      <c r="J34" s="39"/>
      <c r="K34" s="40"/>
    </row>
    <row r="35" spans="1:11" x14ac:dyDescent="0.25">
      <c r="A35" s="3" t="s">
        <v>360</v>
      </c>
      <c r="B35" s="3">
        <v>1</v>
      </c>
      <c r="C35" s="3">
        <v>938</v>
      </c>
      <c r="D35" s="83">
        <f t="shared" si="20"/>
        <v>93.800000000000011</v>
      </c>
      <c r="E35" s="3">
        <f>0.1*1.3</f>
        <v>0.13</v>
      </c>
      <c r="F35" s="30">
        <f>E35/$E$38*$F$38</f>
        <v>219.81997139732485</v>
      </c>
      <c r="G35" s="30">
        <f>(B35*C35)*$B$1+D35*$B$1+F35*$B$1</f>
        <v>668.58284660119466</v>
      </c>
      <c r="H35" s="75"/>
      <c r="I35" s="34">
        <f>H35-G35</f>
        <v>-668.58284660119466</v>
      </c>
      <c r="J35" s="39"/>
      <c r="K35" s="40"/>
    </row>
    <row r="36" spans="1:11" x14ac:dyDescent="0.25">
      <c r="A36" s="91" t="s">
        <v>30</v>
      </c>
      <c r="B36" s="89"/>
      <c r="C36" s="89"/>
      <c r="D36" s="87"/>
      <c r="E36" s="87"/>
      <c r="F36" s="10"/>
      <c r="G36" s="10"/>
      <c r="H36" s="75"/>
      <c r="I36" s="42"/>
      <c r="J36" s="38"/>
      <c r="K36" s="38"/>
    </row>
    <row r="37" spans="1:11" x14ac:dyDescent="0.25">
      <c r="A37" s="93"/>
      <c r="B37" s="84"/>
      <c r="C37" s="84"/>
      <c r="D37" s="84"/>
      <c r="E37" s="84">
        <v>2.206</v>
      </c>
      <c r="F37" s="30">
        <f>E37/$E$38*$F$38</f>
        <v>3730.1758223269126</v>
      </c>
      <c r="G37" s="30">
        <f t="shared" ref="G37" si="21">(B37*C37)*$B$1+D37*$B$1+F37*$B$1</f>
        <v>1992.5629397156563</v>
      </c>
      <c r="H37" s="75"/>
      <c r="I37" s="28"/>
      <c r="J37" s="28"/>
      <c r="K37" s="28"/>
    </row>
    <row r="38" spans="1:11" x14ac:dyDescent="0.25">
      <c r="A38" s="27"/>
      <c r="B38" s="28"/>
      <c r="C38" s="28"/>
      <c r="D38" s="28"/>
      <c r="E38" s="103">
        <f>SUM(E4:E37)</f>
        <v>11.886999999999999</v>
      </c>
      <c r="F38" s="98">
        <v>20100</v>
      </c>
      <c r="G38" s="28">
        <f>F38/E38</f>
        <v>1690.9228569024988</v>
      </c>
      <c r="H38" s="75"/>
      <c r="I38" s="28"/>
      <c r="J38" s="28"/>
      <c r="K38" s="28"/>
    </row>
    <row r="40" spans="1:11" ht="36.75" customHeight="1" x14ac:dyDescent="0.25">
      <c r="A40" s="120" t="s">
        <v>361</v>
      </c>
      <c r="B40" s="121"/>
      <c r="C40" s="121"/>
      <c r="D40" s="121"/>
      <c r="E40" s="121"/>
    </row>
  </sheetData>
  <mergeCells count="1">
    <mergeCell ref="A40:E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zoomScale="90" zoomScaleNormal="90" workbookViewId="0">
      <selection activeCell="A35" sqref="A35:XFD35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0.7095</f>
        <v>0.70950000000000002</v>
      </c>
      <c r="C1" s="1"/>
      <c r="J1" t="s">
        <v>290</v>
      </c>
      <c r="K1" s="101">
        <v>42409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366</v>
      </c>
      <c r="B4" s="9"/>
      <c r="C4" s="9"/>
      <c r="D4" s="87"/>
      <c r="E4" s="9"/>
      <c r="F4" s="10"/>
      <c r="G4" s="10"/>
      <c r="H4" s="75"/>
      <c r="I4" s="42">
        <f>SUM(I5:I9)</f>
        <v>-14374.791789556893</v>
      </c>
      <c r="J4" s="38">
        <f>13878+497</f>
        <v>14375</v>
      </c>
      <c r="K4" s="38">
        <f>J4+I4</f>
        <v>0.20821044310650905</v>
      </c>
    </row>
    <row r="5" spans="1:11" x14ac:dyDescent="0.25">
      <c r="A5" s="3" t="s">
        <v>367</v>
      </c>
      <c r="B5" s="3">
        <v>1</v>
      </c>
      <c r="C5" s="3">
        <v>2929</v>
      </c>
      <c r="D5" s="84">
        <f>B5*C5*0.1</f>
        <v>292.90000000000003</v>
      </c>
      <c r="E5" s="3">
        <f>1*1.15</f>
        <v>1.1499999999999999</v>
      </c>
      <c r="F5" s="30">
        <f>E5/$E$33*$F$33</f>
        <v>1826.6161953536703</v>
      </c>
      <c r="G5" s="30">
        <f>(B5*C5)*$B$1+D5*$B$1+F5*$B$1</f>
        <v>3581.9222406034296</v>
      </c>
      <c r="H5" s="75"/>
      <c r="I5" s="34">
        <f t="shared" ref="I5:I9" si="0">H5-G5</f>
        <v>-3581.9222406034296</v>
      </c>
      <c r="J5" s="39"/>
      <c r="K5" s="40"/>
    </row>
    <row r="6" spans="1:11" x14ac:dyDescent="0.25">
      <c r="A6" s="3" t="s">
        <v>368</v>
      </c>
      <c r="B6" s="3">
        <v>1</v>
      </c>
      <c r="C6" s="3">
        <v>1295</v>
      </c>
      <c r="D6" s="84">
        <f>B6*C6*0.1</f>
        <v>129.5</v>
      </c>
      <c r="E6" s="3">
        <f>0.24*1.3</f>
        <v>0.312</v>
      </c>
      <c r="F6" s="30">
        <f>E6/$E$33*$F$33</f>
        <v>495.56891560899578</v>
      </c>
      <c r="G6" s="30">
        <f t="shared" ref="G6:G9" si="1">(B6*C6)*$B$1+D6*$B$1+F6*$B$1</f>
        <v>1362.2888956245824</v>
      </c>
      <c r="H6" s="75"/>
      <c r="I6" s="34">
        <f t="shared" si="0"/>
        <v>-1362.2888956245824</v>
      </c>
      <c r="J6" s="39"/>
      <c r="K6" s="40"/>
    </row>
    <row r="7" spans="1:11" x14ac:dyDescent="0.25">
      <c r="A7" s="3" t="s">
        <v>369</v>
      </c>
      <c r="B7" s="3">
        <v>1</v>
      </c>
      <c r="C7" s="3">
        <v>1311</v>
      </c>
      <c r="D7" s="84">
        <f>B7*C7*0.1</f>
        <v>131.1</v>
      </c>
      <c r="E7" s="3">
        <f>0.26*1.3</f>
        <v>0.33800000000000002</v>
      </c>
      <c r="F7" s="30">
        <f>E7/$E$33*$F$33</f>
        <v>536.8663252430789</v>
      </c>
      <c r="G7" s="30">
        <f t="shared" si="1"/>
        <v>1404.0766077599644</v>
      </c>
      <c r="H7" s="75"/>
      <c r="I7" s="34">
        <f t="shared" si="0"/>
        <v>-1404.0766077599644</v>
      </c>
      <c r="J7" s="39"/>
      <c r="K7" s="40"/>
    </row>
    <row r="8" spans="1:11" x14ac:dyDescent="0.25">
      <c r="A8" s="3" t="s">
        <v>370</v>
      </c>
      <c r="B8" s="3">
        <v>1</v>
      </c>
      <c r="C8" s="3">
        <v>3221</v>
      </c>
      <c r="D8" s="84">
        <f>B8*C8*0.1</f>
        <v>322.10000000000002</v>
      </c>
      <c r="E8" s="3">
        <f>1*1.15</f>
        <v>1.1499999999999999</v>
      </c>
      <c r="F8" s="30">
        <f>E8/$E$33*$F$33</f>
        <v>1826.6161953536703</v>
      </c>
      <c r="G8" s="30">
        <f t="shared" si="1"/>
        <v>3809.8136406034291</v>
      </c>
      <c r="H8" s="75"/>
      <c r="I8" s="34">
        <f t="shared" si="0"/>
        <v>-3809.8136406034291</v>
      </c>
      <c r="J8" s="39"/>
      <c r="K8" s="40"/>
    </row>
    <row r="9" spans="1:11" x14ac:dyDescent="0.25">
      <c r="A9" s="3" t="s">
        <v>371</v>
      </c>
      <c r="B9" s="3">
        <v>1</v>
      </c>
      <c r="C9" s="3">
        <v>2746</v>
      </c>
      <c r="D9" s="84">
        <f>B9*C9*0.1</f>
        <v>274.60000000000002</v>
      </c>
      <c r="E9" s="3">
        <f>1.6*1.15</f>
        <v>1.8399999999999999</v>
      </c>
      <c r="F9" s="30">
        <f>E9/$E$33*$F$33</f>
        <v>2922.5859125658726</v>
      </c>
      <c r="G9" s="30">
        <f t="shared" si="1"/>
        <v>4216.6904049654868</v>
      </c>
      <c r="H9" s="75"/>
      <c r="I9" s="34">
        <f t="shared" si="0"/>
        <v>-4216.6904049654868</v>
      </c>
      <c r="J9" s="39"/>
      <c r="K9" s="40"/>
    </row>
    <row r="10" spans="1:11" x14ac:dyDescent="0.25">
      <c r="A10" s="9" t="s">
        <v>338</v>
      </c>
      <c r="B10" s="9"/>
      <c r="C10" s="9"/>
      <c r="D10" s="87"/>
      <c r="E10" s="9"/>
      <c r="F10" s="10"/>
      <c r="G10" s="10"/>
      <c r="H10" s="75"/>
      <c r="I10" s="42">
        <f>SUM(I11:I12)</f>
        <v>-7291.8382812068585</v>
      </c>
      <c r="J10" s="38">
        <f>7001+291</f>
        <v>7292</v>
      </c>
      <c r="K10" s="38">
        <f>J10+I10</f>
        <v>0.16171879314151738</v>
      </c>
    </row>
    <row r="11" spans="1:11" x14ac:dyDescent="0.25">
      <c r="A11" s="3" t="s">
        <v>372</v>
      </c>
      <c r="B11" s="3">
        <v>1</v>
      </c>
      <c r="C11" s="3">
        <v>2801</v>
      </c>
      <c r="D11" s="84">
        <f>B11*C11*0.1</f>
        <v>280.10000000000002</v>
      </c>
      <c r="E11" s="3">
        <f>1*1.15</f>
        <v>1.1499999999999999</v>
      </c>
      <c r="F11" s="30">
        <f>E11/$E$33*$F$33</f>
        <v>1826.6161953536703</v>
      </c>
      <c r="G11" s="30">
        <f>(B11*C11)*$B$1+D11*$B$1+F11*$B$1</f>
        <v>3482.0246406034294</v>
      </c>
      <c r="H11" s="75"/>
      <c r="I11" s="34">
        <f t="shared" ref="I11:I12" si="2">H11-G11</f>
        <v>-3482.0246406034294</v>
      </c>
      <c r="J11" s="39"/>
      <c r="K11" s="40"/>
    </row>
    <row r="12" spans="1:11" x14ac:dyDescent="0.25">
      <c r="A12" s="3" t="s">
        <v>373</v>
      </c>
      <c r="B12" s="3">
        <v>1</v>
      </c>
      <c r="C12" s="3">
        <v>3221</v>
      </c>
      <c r="D12" s="84">
        <f>B12*C12*0.1</f>
        <v>322.10000000000002</v>
      </c>
      <c r="E12" s="3">
        <f>1*1.15</f>
        <v>1.1499999999999999</v>
      </c>
      <c r="F12" s="30">
        <f>E12/$E$33*$F$33</f>
        <v>1826.6161953536703</v>
      </c>
      <c r="G12" s="30">
        <f t="shared" ref="G12" si="3">(B12*C12)*$B$1+D12*$B$1+F12*$B$1</f>
        <v>3809.8136406034291</v>
      </c>
      <c r="H12" s="75"/>
      <c r="I12" s="34">
        <f t="shared" si="2"/>
        <v>-3809.8136406034291</v>
      </c>
      <c r="J12" s="39"/>
      <c r="K12" s="40"/>
    </row>
    <row r="13" spans="1:11" x14ac:dyDescent="0.25">
      <c r="A13" s="9" t="s">
        <v>216</v>
      </c>
      <c r="B13" s="9"/>
      <c r="C13" s="9"/>
      <c r="D13" s="87"/>
      <c r="E13" s="9"/>
      <c r="F13" s="10"/>
      <c r="G13" s="10"/>
      <c r="H13" s="75"/>
      <c r="I13" s="42">
        <f>SUM(I14:I15)</f>
        <v>-1729.7462970830552</v>
      </c>
      <c r="J13" s="38">
        <f>1670+60</f>
        <v>1730</v>
      </c>
      <c r="K13" s="38">
        <f>J13+I13</f>
        <v>0.25370291694480329</v>
      </c>
    </row>
    <row r="14" spans="1:11" x14ac:dyDescent="0.25">
      <c r="A14" s="3" t="s">
        <v>374</v>
      </c>
      <c r="B14" s="3">
        <v>1</v>
      </c>
      <c r="C14" s="3">
        <v>958</v>
      </c>
      <c r="D14" s="84">
        <f>B14*C14*0.1</f>
        <v>95.800000000000011</v>
      </c>
      <c r="E14" s="3">
        <f>0.08*1.3</f>
        <v>0.10400000000000001</v>
      </c>
      <c r="F14" s="30">
        <f>E14/$E$33*$F$33</f>
        <v>165.18963853633196</v>
      </c>
      <c r="G14" s="30">
        <f>(B14*C14)*$B$1+D14*$B$1+F14*$B$1</f>
        <v>864.8731485415276</v>
      </c>
      <c r="H14" s="75"/>
      <c r="I14" s="34">
        <f t="shared" ref="I14:I15" si="4">H14-G14</f>
        <v>-864.8731485415276</v>
      </c>
      <c r="J14" s="39"/>
      <c r="K14" s="40"/>
    </row>
    <row r="15" spans="1:11" x14ac:dyDescent="0.25">
      <c r="A15" s="3" t="s">
        <v>375</v>
      </c>
      <c r="B15" s="3">
        <v>1</v>
      </c>
      <c r="C15" s="3">
        <v>958</v>
      </c>
      <c r="D15" s="84">
        <f>B15*C15*0.1</f>
        <v>95.800000000000011</v>
      </c>
      <c r="E15" s="3">
        <f>0.08*1.3</f>
        <v>0.10400000000000001</v>
      </c>
      <c r="F15" s="30">
        <f>E15/$E$33*$F$33</f>
        <v>165.18963853633196</v>
      </c>
      <c r="G15" s="30">
        <f t="shared" ref="G15" si="5">(B15*C15)*$B$1+D15*$B$1+F15*$B$1</f>
        <v>864.8731485415276</v>
      </c>
      <c r="H15" s="75"/>
      <c r="I15" s="34">
        <f t="shared" si="4"/>
        <v>-864.8731485415276</v>
      </c>
      <c r="J15" s="39"/>
      <c r="K15" s="40"/>
    </row>
    <row r="16" spans="1:11" x14ac:dyDescent="0.25">
      <c r="A16" s="9" t="s">
        <v>143</v>
      </c>
      <c r="B16" s="9"/>
      <c r="C16" s="9"/>
      <c r="D16" s="87"/>
      <c r="E16" s="9"/>
      <c r="F16" s="10"/>
      <c r="G16" s="10"/>
      <c r="H16" s="75"/>
      <c r="I16" s="42">
        <f>SUM(I17:I18)</f>
        <v>-7063.946881206859</v>
      </c>
      <c r="J16" s="38">
        <f>6820+244</f>
        <v>7064</v>
      </c>
      <c r="K16" s="38">
        <f>J16+I16</f>
        <v>5.3118793141038623E-2</v>
      </c>
    </row>
    <row r="17" spans="1:12" x14ac:dyDescent="0.25">
      <c r="A17" s="3" t="s">
        <v>376</v>
      </c>
      <c r="B17" s="3">
        <v>1</v>
      </c>
      <c r="C17" s="3">
        <v>2801</v>
      </c>
      <c r="D17" s="84">
        <f>B17*C17*0.1</f>
        <v>280.10000000000002</v>
      </c>
      <c r="E17" s="3">
        <f>1*1.15</f>
        <v>1.1499999999999999</v>
      </c>
      <c r="F17" s="30">
        <f>E17/$E$33*$F$33</f>
        <v>1826.6161953536703</v>
      </c>
      <c r="G17" s="30">
        <f>(B17*C17)*$B$1+D17*$B$1+F17*$B$1</f>
        <v>3482.0246406034294</v>
      </c>
      <c r="H17" s="75"/>
      <c r="I17" s="34">
        <f t="shared" ref="I17:I18" si="6">H17-G17</f>
        <v>-3482.0246406034294</v>
      </c>
      <c r="J17" s="39"/>
      <c r="K17" s="40"/>
    </row>
    <row r="18" spans="1:12" x14ac:dyDescent="0.25">
      <c r="A18" s="3" t="s">
        <v>377</v>
      </c>
      <c r="B18" s="3">
        <v>1</v>
      </c>
      <c r="C18" s="3">
        <v>2929</v>
      </c>
      <c r="D18" s="84">
        <f>B18*C18*0.1</f>
        <v>292.90000000000003</v>
      </c>
      <c r="E18" s="3">
        <f>1*1.15</f>
        <v>1.1499999999999999</v>
      </c>
      <c r="F18" s="30">
        <f>E18/$E$33*$F$33</f>
        <v>1826.6161953536703</v>
      </c>
      <c r="G18" s="30">
        <f t="shared" ref="G18" si="7">(B18*C18)*$B$1+D18*$B$1+F18*$B$1</f>
        <v>3581.9222406034296</v>
      </c>
      <c r="H18" s="75"/>
      <c r="I18" s="34">
        <f t="shared" si="6"/>
        <v>-3581.9222406034296</v>
      </c>
      <c r="J18" s="39"/>
      <c r="K18" s="40"/>
    </row>
    <row r="19" spans="1:12" x14ac:dyDescent="0.25">
      <c r="A19" s="9" t="s">
        <v>196</v>
      </c>
      <c r="B19" s="9"/>
      <c r="C19" s="9"/>
      <c r="D19" s="87"/>
      <c r="E19" s="9"/>
      <c r="F19" s="10"/>
      <c r="G19" s="10"/>
      <c r="H19" s="75"/>
      <c r="I19" s="42">
        <f>SUM(I20:I21)</f>
        <v>-2507.4781427076377</v>
      </c>
      <c r="J19" s="38">
        <f>2421+86</f>
        <v>2507</v>
      </c>
      <c r="K19" s="38">
        <f>J19+I19</f>
        <v>-0.47814270763774402</v>
      </c>
    </row>
    <row r="20" spans="1:12" x14ac:dyDescent="0.25">
      <c r="A20" s="102" t="s">
        <v>378</v>
      </c>
      <c r="B20" s="3">
        <v>1</v>
      </c>
      <c r="C20" s="3">
        <v>1130</v>
      </c>
      <c r="D20" s="84">
        <f t="shared" ref="D20:D21" si="8">B20*C20*0.1</f>
        <v>113</v>
      </c>
      <c r="E20" s="3">
        <f>0.2*1.3</f>
        <v>0.26</v>
      </c>
      <c r="F20" s="30">
        <f>E20/$E$33*$F$33</f>
        <v>412.97409634082982</v>
      </c>
      <c r="G20" s="30">
        <f>(B20*C20)*$B$1+D20*$B$1+F20*$B$1</f>
        <v>1174.9136213538188</v>
      </c>
      <c r="H20" s="75"/>
      <c r="I20" s="34">
        <f>H20-G20</f>
        <v>-1174.9136213538188</v>
      </c>
      <c r="J20" s="39"/>
      <c r="K20" s="40"/>
    </row>
    <row r="21" spans="1:12" x14ac:dyDescent="0.25">
      <c r="A21" s="102" t="s">
        <v>379</v>
      </c>
      <c r="B21" s="3">
        <v>1</v>
      </c>
      <c r="C21" s="3">
        <v>1332</v>
      </c>
      <c r="D21" s="83">
        <f t="shared" si="8"/>
        <v>133.20000000000002</v>
      </c>
      <c r="E21" s="3">
        <f>0.2*1.3</f>
        <v>0.26</v>
      </c>
      <c r="F21" s="30">
        <f>E21/$E$33*$F$33</f>
        <v>412.97409634082982</v>
      </c>
      <c r="G21" s="30">
        <f>(B21*C21)*$B$1+D21*$B$1+F21*$B$1</f>
        <v>1332.5645213538189</v>
      </c>
      <c r="H21" s="75"/>
      <c r="I21" s="34">
        <f>H21-G21</f>
        <v>-1332.5645213538189</v>
      </c>
      <c r="J21" s="39"/>
      <c r="K21" s="40"/>
    </row>
    <row r="22" spans="1:12" x14ac:dyDescent="0.25">
      <c r="A22" s="9" t="s">
        <v>380</v>
      </c>
      <c r="B22" s="9"/>
      <c r="C22" s="9"/>
      <c r="D22" s="87"/>
      <c r="E22" s="9"/>
      <c r="F22" s="10"/>
      <c r="G22" s="10"/>
      <c r="H22" s="75"/>
      <c r="I22" s="42">
        <f>SUM(I23:I24)</f>
        <v>-2651.6393533845476</v>
      </c>
      <c r="J22" s="38">
        <f>2520+132</f>
        <v>2652</v>
      </c>
      <c r="K22" s="38">
        <f t="shared" ref="K22" si="9">J22+I22</f>
        <v>0.36064661545242416</v>
      </c>
      <c r="L22" s="82"/>
    </row>
    <row r="23" spans="1:12" x14ac:dyDescent="0.25">
      <c r="A23" s="3" t="s">
        <v>381</v>
      </c>
      <c r="B23" s="3">
        <v>1</v>
      </c>
      <c r="C23" s="3">
        <v>1231</v>
      </c>
      <c r="D23" s="84">
        <f t="shared" ref="D23:D24" si="10">B23*C23*0.1</f>
        <v>123.10000000000001</v>
      </c>
      <c r="E23" s="3">
        <f>0.25*1.3</f>
        <v>0.32500000000000001</v>
      </c>
      <c r="F23" s="30">
        <f>E23/$E$33*$F$33</f>
        <v>516.21762042603734</v>
      </c>
      <c r="G23" s="30">
        <f t="shared" ref="G23:G24" si="11">(B23*C23)*$B$1+D23*$B$1+F23*$B$1</f>
        <v>1326.9903516922736</v>
      </c>
      <c r="H23" s="75"/>
      <c r="I23" s="34">
        <f>H23-G23</f>
        <v>-1326.9903516922736</v>
      </c>
      <c r="J23" s="39"/>
      <c r="K23" s="40"/>
    </row>
    <row r="24" spans="1:12" x14ac:dyDescent="0.25">
      <c r="A24" s="3" t="s">
        <v>382</v>
      </c>
      <c r="B24" s="3">
        <v>1</v>
      </c>
      <c r="C24" s="3">
        <v>1228</v>
      </c>
      <c r="D24" s="83">
        <f t="shared" si="10"/>
        <v>122.80000000000001</v>
      </c>
      <c r="E24" s="3">
        <f>0.25*1.3</f>
        <v>0.32500000000000001</v>
      </c>
      <c r="F24" s="30">
        <f>E24/$E$33*$F$33</f>
        <v>516.21762042603734</v>
      </c>
      <c r="G24" s="30">
        <f t="shared" si="11"/>
        <v>1324.6490016922737</v>
      </c>
      <c r="H24" s="75"/>
      <c r="I24" s="34">
        <f>H24-G24</f>
        <v>-1324.6490016922737</v>
      </c>
      <c r="J24" s="39"/>
      <c r="K24" s="40"/>
    </row>
    <row r="25" spans="1:12" x14ac:dyDescent="0.25">
      <c r="A25" s="9" t="s">
        <v>68</v>
      </c>
      <c r="B25" s="9"/>
      <c r="C25" s="9"/>
      <c r="D25" s="87"/>
      <c r="E25" s="9"/>
      <c r="F25" s="10"/>
      <c r="G25" s="10"/>
      <c r="H25" s="75"/>
      <c r="I25" s="42">
        <f>SUM(I26:I26)</f>
        <v>-1316.7334820307283</v>
      </c>
      <c r="J25" s="38">
        <f>1271+46</f>
        <v>1317</v>
      </c>
      <c r="K25" s="38">
        <f>J25+I25</f>
        <v>0.26651796927171745</v>
      </c>
    </row>
    <row r="26" spans="1:12" x14ac:dyDescent="0.25">
      <c r="A26" s="102" t="s">
        <v>383</v>
      </c>
      <c r="B26" s="3">
        <v>1</v>
      </c>
      <c r="C26" s="3">
        <v>1124</v>
      </c>
      <c r="D26" s="84">
        <f t="shared" ref="D26" si="12">B26*C26*0.1</f>
        <v>112.4</v>
      </c>
      <c r="E26" s="3">
        <f>0.3*1.3</f>
        <v>0.39</v>
      </c>
      <c r="F26" s="30">
        <f>E26/$E$33*$F$33</f>
        <v>619.4611445112447</v>
      </c>
      <c r="G26" s="30">
        <f>(B26*C26)*$B$1+D26*$B$1+F26*$B$1</f>
        <v>1316.7334820307283</v>
      </c>
      <c r="H26" s="75"/>
      <c r="I26" s="34">
        <f>H26-G26</f>
        <v>-1316.7334820307283</v>
      </c>
      <c r="J26" s="39"/>
      <c r="K26" s="40"/>
    </row>
    <row r="27" spans="1:12" x14ac:dyDescent="0.25">
      <c r="A27" s="9" t="s">
        <v>161</v>
      </c>
      <c r="B27" s="9"/>
      <c r="C27" s="9"/>
      <c r="D27" s="87"/>
      <c r="E27" s="9"/>
      <c r="F27" s="10"/>
      <c r="G27" s="10"/>
      <c r="H27" s="75"/>
      <c r="I27" s="42">
        <f>SUM(I28:I28)</f>
        <v>-1686.8888213538189</v>
      </c>
      <c r="J27" s="38">
        <f>1627+59</f>
        <v>1686</v>
      </c>
      <c r="K27" s="38">
        <f>J27+I27</f>
        <v>-0.88882135381891203</v>
      </c>
    </row>
    <row r="28" spans="1:12" x14ac:dyDescent="0.25">
      <c r="A28" s="3" t="s">
        <v>384</v>
      </c>
      <c r="B28" s="3">
        <v>2</v>
      </c>
      <c r="C28" s="3">
        <v>893</v>
      </c>
      <c r="D28" s="84">
        <f>B28*C28*0.1</f>
        <v>178.60000000000002</v>
      </c>
      <c r="E28" s="3">
        <f>0.1*1.3*2</f>
        <v>0.26</v>
      </c>
      <c r="F28" s="30">
        <f>E28/$E$33*$F$33</f>
        <v>412.97409634082982</v>
      </c>
      <c r="G28" s="30">
        <f>(B28*C28)*$B$1+D28*$B$1+F28*$B$1</f>
        <v>1686.8888213538189</v>
      </c>
      <c r="H28" s="75"/>
      <c r="I28" s="34">
        <f>H28-G28</f>
        <v>-1686.8888213538189</v>
      </c>
      <c r="J28" s="39"/>
      <c r="K28" s="40"/>
    </row>
    <row r="29" spans="1:12" x14ac:dyDescent="0.25">
      <c r="A29" s="9" t="s">
        <v>325</v>
      </c>
      <c r="B29" s="9"/>
      <c r="C29" s="9"/>
      <c r="D29" s="87"/>
      <c r="E29" s="9"/>
      <c r="F29" s="10"/>
      <c r="G29" s="10"/>
      <c r="H29" s="75"/>
      <c r="I29" s="42">
        <f>SUM(I30:I30)</f>
        <v>-963.5226910153641</v>
      </c>
      <c r="J29" s="38">
        <f>960+3</f>
        <v>963</v>
      </c>
      <c r="K29" s="38">
        <f>J29+I29</f>
        <v>-0.5226910153641029</v>
      </c>
      <c r="L29" t="s">
        <v>390</v>
      </c>
    </row>
    <row r="30" spans="1:12" x14ac:dyDescent="0.25">
      <c r="A30" s="3" t="s">
        <v>385</v>
      </c>
      <c r="B30" s="3">
        <v>1</v>
      </c>
      <c r="C30" s="3">
        <v>953</v>
      </c>
      <c r="D30" s="84">
        <f t="shared" ref="D30" si="13">B30*C30*0.1</f>
        <v>95.300000000000011</v>
      </c>
      <c r="E30" s="3">
        <f>0.15*1.3</f>
        <v>0.19500000000000001</v>
      </c>
      <c r="F30" s="30">
        <f>E30/$E$33*$F$33</f>
        <v>309.73057225562235</v>
      </c>
      <c r="G30" s="30">
        <f>(B30*C30)*$B$1+D30*$B$1+F30*$B$1</f>
        <v>963.5226910153641</v>
      </c>
      <c r="H30" s="75"/>
      <c r="I30" s="34">
        <f>H30-G30</f>
        <v>-963.5226910153641</v>
      </c>
      <c r="J30" s="39"/>
      <c r="K30" s="40"/>
    </row>
    <row r="31" spans="1:12" x14ac:dyDescent="0.25">
      <c r="A31" s="91" t="s">
        <v>30</v>
      </c>
      <c r="B31" s="89"/>
      <c r="C31" s="89"/>
      <c r="D31" s="87"/>
      <c r="E31" s="87"/>
      <c r="F31" s="10"/>
      <c r="G31" s="10"/>
      <c r="H31" s="75"/>
      <c r="I31" s="42"/>
      <c r="J31" s="38"/>
      <c r="K31" s="38"/>
    </row>
    <row r="32" spans="1:12" x14ac:dyDescent="0.25">
      <c r="A32" s="93"/>
      <c r="B32" s="84"/>
      <c r="C32" s="84"/>
      <c r="D32" s="84"/>
      <c r="E32" s="84">
        <v>1.86</v>
      </c>
      <c r="F32" s="30">
        <f>E32/$E$33*$F$33</f>
        <v>2954.3531507459365</v>
      </c>
      <c r="G32" s="30">
        <f t="shared" ref="G32" si="14">(B32*C32)*$B$1+D32*$B$1+F32*$B$1</f>
        <v>2096.1135604542419</v>
      </c>
      <c r="H32" s="75"/>
      <c r="I32" s="28"/>
      <c r="J32" s="28"/>
      <c r="K32" s="28"/>
    </row>
    <row r="33" spans="1:11" x14ac:dyDescent="0.25">
      <c r="A33" s="27"/>
      <c r="B33" s="28"/>
      <c r="C33" s="28"/>
      <c r="D33" s="28"/>
      <c r="E33" s="103">
        <f>SUM(E4:E32)</f>
        <v>13.472999999999999</v>
      </c>
      <c r="F33" s="98">
        <v>21400</v>
      </c>
      <c r="G33" s="28">
        <f>F33/E33</f>
        <v>1588.3619090031916</v>
      </c>
      <c r="H33" s="75"/>
      <c r="I33" s="28"/>
      <c r="J33" s="28"/>
      <c r="K33" s="28"/>
    </row>
    <row r="34" spans="1:11" x14ac:dyDescent="0.25">
      <c r="G34">
        <f>G33*B1</f>
        <v>1126.9427744377645</v>
      </c>
    </row>
    <row r="35" spans="1:11" ht="51" customHeight="1" x14ac:dyDescent="0.25">
      <c r="A35" s="118" t="s">
        <v>210</v>
      </c>
      <c r="B35" s="119"/>
      <c r="C35" s="119"/>
      <c r="D35" s="119"/>
      <c r="E35" s="119"/>
    </row>
  </sheetData>
  <mergeCells count="1">
    <mergeCell ref="A35:E3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topLeftCell="A7" workbookViewId="0">
      <selection activeCell="A41" sqref="A41"/>
    </sheetView>
  </sheetViews>
  <sheetFormatPr defaultRowHeight="15" x14ac:dyDescent="0.25"/>
  <cols>
    <col min="1" max="1" width="49.28515625" customWidth="1"/>
    <col min="2" max="2" width="10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0.54</f>
        <v>0.54</v>
      </c>
      <c r="C1" s="1"/>
      <c r="J1" s="1" t="s">
        <v>290</v>
      </c>
      <c r="K1" s="126">
        <v>42915</v>
      </c>
    </row>
    <row r="2" spans="1:11" ht="21" x14ac:dyDescent="0.35">
      <c r="A2" s="8" t="s">
        <v>267</v>
      </c>
    </row>
    <row r="3" spans="1:11" ht="45.75" customHeight="1" x14ac:dyDescent="0.25">
      <c r="A3" s="123" t="s">
        <v>426</v>
      </c>
      <c r="B3" s="123" t="s">
        <v>392</v>
      </c>
      <c r="C3" s="123" t="s">
        <v>60</v>
      </c>
      <c r="D3" s="123" t="s">
        <v>59</v>
      </c>
      <c r="E3" s="123" t="s">
        <v>393</v>
      </c>
      <c r="F3" s="123" t="s">
        <v>61</v>
      </c>
      <c r="G3" s="123" t="s">
        <v>65</v>
      </c>
      <c r="H3" s="124"/>
      <c r="I3" s="123" t="s">
        <v>62</v>
      </c>
      <c r="J3" s="125" t="s">
        <v>17</v>
      </c>
      <c r="K3" s="123" t="s">
        <v>62</v>
      </c>
    </row>
    <row r="4" spans="1:11" x14ac:dyDescent="0.25">
      <c r="A4" s="9" t="s">
        <v>196</v>
      </c>
      <c r="B4" s="9"/>
      <c r="C4" s="9"/>
      <c r="D4" s="87"/>
      <c r="E4" s="9"/>
      <c r="F4" s="10"/>
      <c r="G4" s="10"/>
      <c r="H4" s="75"/>
      <c r="I4" s="42">
        <f>SUM(I5:I7)</f>
        <v>-3933.0165965472179</v>
      </c>
      <c r="J4" s="38"/>
      <c r="K4" s="38">
        <f>J4+I4</f>
        <v>-3933.0165965472179</v>
      </c>
    </row>
    <row r="5" spans="1:11" x14ac:dyDescent="0.25">
      <c r="A5" s="102" t="s">
        <v>394</v>
      </c>
      <c r="B5" s="3">
        <v>1</v>
      </c>
      <c r="C5" s="3">
        <v>1361.2</v>
      </c>
      <c r="D5" s="84">
        <f>B5*C5*0.1</f>
        <v>136.12</v>
      </c>
      <c r="E5" s="3">
        <v>0.45999999999999996</v>
      </c>
      <c r="F5" s="30">
        <f>E5/$E$48*$F$48</f>
        <v>759.3369557741247</v>
      </c>
      <c r="G5" s="30">
        <f>(B5*C5)*$B$1+D5*$B$1+F5*$B$1</f>
        <v>1218.5947561180276</v>
      </c>
      <c r="H5" s="75"/>
      <c r="I5" s="34">
        <f t="shared" ref="I5:I7" si="0">H5-G5</f>
        <v>-1218.5947561180276</v>
      </c>
      <c r="J5" s="39"/>
      <c r="K5" s="40"/>
    </row>
    <row r="6" spans="1:11" x14ac:dyDescent="0.25">
      <c r="A6" s="3" t="s">
        <v>395</v>
      </c>
      <c r="B6" s="3">
        <v>1</v>
      </c>
      <c r="C6" s="3">
        <v>2291</v>
      </c>
      <c r="D6" s="84">
        <f>B6*C6*0.1</f>
        <v>229.10000000000002</v>
      </c>
      <c r="E6" s="3">
        <v>0.22100000000000003</v>
      </c>
      <c r="F6" s="30">
        <f>E6/$E$48*$F$48</f>
        <v>364.81188527409046</v>
      </c>
      <c r="G6" s="30">
        <f t="shared" ref="G6:G7" si="1">(B6*C6)*$B$1+D6*$B$1+F6*$B$1</f>
        <v>1557.852418048009</v>
      </c>
      <c r="H6" s="75"/>
      <c r="I6" s="34">
        <f t="shared" si="0"/>
        <v>-1557.852418048009</v>
      </c>
      <c r="J6" s="39"/>
      <c r="K6" s="40"/>
    </row>
    <row r="7" spans="1:11" x14ac:dyDescent="0.25">
      <c r="A7" s="3" t="s">
        <v>396</v>
      </c>
      <c r="B7" s="3">
        <v>1</v>
      </c>
      <c r="C7" s="3">
        <v>1752</v>
      </c>
      <c r="D7" s="84">
        <f>B7*C7*0.1</f>
        <v>175.20000000000002</v>
      </c>
      <c r="E7" s="3">
        <v>0.13</v>
      </c>
      <c r="F7" s="30">
        <f>E7/$E$48*$F$48</f>
        <v>214.59522663181787</v>
      </c>
      <c r="G7" s="30">
        <f t="shared" si="1"/>
        <v>1156.5694223811818</v>
      </c>
      <c r="H7" s="75"/>
      <c r="I7" s="34">
        <f t="shared" si="0"/>
        <v>-1156.5694223811818</v>
      </c>
      <c r="J7" s="39"/>
      <c r="K7" s="40"/>
    </row>
    <row r="8" spans="1:11" x14ac:dyDescent="0.25">
      <c r="A8" s="9" t="s">
        <v>397</v>
      </c>
      <c r="B8" s="9"/>
      <c r="C8" s="9"/>
      <c r="D8" s="87"/>
      <c r="E8" s="9"/>
      <c r="F8" s="10"/>
      <c r="G8" s="10"/>
      <c r="H8" s="75"/>
      <c r="I8" s="42">
        <f>SUM(I9:I13)</f>
        <v>-4922.7723573835892</v>
      </c>
      <c r="J8" s="38"/>
      <c r="K8" s="38">
        <f>J8+I8</f>
        <v>-4922.7723573835892</v>
      </c>
    </row>
    <row r="9" spans="1:11" x14ac:dyDescent="0.25">
      <c r="A9" s="3" t="s">
        <v>398</v>
      </c>
      <c r="B9" s="3">
        <v>1</v>
      </c>
      <c r="C9" s="3">
        <v>1170</v>
      </c>
      <c r="D9" s="84">
        <f>B9*C9*0.1</f>
        <v>117</v>
      </c>
      <c r="E9" s="3">
        <v>0.32500000000000001</v>
      </c>
      <c r="F9" s="30">
        <f>E9/$E$48*$F$48</f>
        <v>536.48806657954469</v>
      </c>
      <c r="G9" s="30">
        <f>(B9*C9)*$B$1+D9*$B$1+F9*$B$1</f>
        <v>984.68355595295418</v>
      </c>
      <c r="H9" s="75"/>
      <c r="I9" s="34">
        <f t="shared" ref="I9:I13" si="2">H9-G9</f>
        <v>-984.68355595295418</v>
      </c>
      <c r="J9" s="39"/>
      <c r="K9" s="40"/>
    </row>
    <row r="10" spans="1:11" x14ac:dyDescent="0.25">
      <c r="A10" s="3" t="s">
        <v>399</v>
      </c>
      <c r="B10" s="3">
        <v>1</v>
      </c>
      <c r="C10" s="3">
        <v>1231</v>
      </c>
      <c r="D10" s="84">
        <f>B10*C10*0.1</f>
        <v>123.10000000000001</v>
      </c>
      <c r="E10" s="3">
        <v>0.32500000000000001</v>
      </c>
      <c r="F10" s="30">
        <f>E10/$E$48*$F$48</f>
        <v>536.48806657954469</v>
      </c>
      <c r="G10" s="30">
        <f t="shared" ref="G10:G13" si="3">(B10*C10)*$B$1+D10*$B$1+F10*$B$1</f>
        <v>1020.9175559529542</v>
      </c>
      <c r="H10" s="75"/>
      <c r="I10" s="34">
        <f t="shared" si="2"/>
        <v>-1020.9175559529542</v>
      </c>
      <c r="J10" s="39"/>
      <c r="K10" s="40"/>
    </row>
    <row r="11" spans="1:11" x14ac:dyDescent="0.25">
      <c r="A11" s="3" t="s">
        <v>400</v>
      </c>
      <c r="B11" s="3">
        <v>1</v>
      </c>
      <c r="C11" s="3">
        <v>1112</v>
      </c>
      <c r="D11" s="84">
        <f>B11*C11*0.1</f>
        <v>111.2</v>
      </c>
      <c r="E11" s="3">
        <v>0.39</v>
      </c>
      <c r="F11" s="30">
        <f>E11/$E$48*$F$48</f>
        <v>643.78567989545365</v>
      </c>
      <c r="G11" s="30">
        <f t="shared" si="3"/>
        <v>1008.172267143545</v>
      </c>
      <c r="H11" s="75"/>
      <c r="I11" s="34">
        <f t="shared" si="2"/>
        <v>-1008.172267143545</v>
      </c>
      <c r="J11" s="39"/>
      <c r="K11" s="40"/>
    </row>
    <row r="12" spans="1:11" x14ac:dyDescent="0.25">
      <c r="A12" s="3" t="s">
        <v>401</v>
      </c>
      <c r="B12" s="3">
        <v>1</v>
      </c>
      <c r="C12" s="3">
        <v>1206</v>
      </c>
      <c r="D12" s="84">
        <f>B12*C12*0.1</f>
        <v>120.60000000000001</v>
      </c>
      <c r="E12" s="3">
        <v>0.32500000000000001</v>
      </c>
      <c r="F12" s="30">
        <f>E12/$E$48*$F$48</f>
        <v>536.48806657954469</v>
      </c>
      <c r="G12" s="30">
        <f t="shared" si="3"/>
        <v>1006.0675559529542</v>
      </c>
      <c r="H12" s="75"/>
      <c r="I12" s="34">
        <f t="shared" si="2"/>
        <v>-1006.0675559529542</v>
      </c>
      <c r="J12" s="39"/>
      <c r="K12" s="40"/>
    </row>
    <row r="13" spans="1:11" x14ac:dyDescent="0.25">
      <c r="A13" s="3" t="s">
        <v>402</v>
      </c>
      <c r="B13" s="3">
        <v>1</v>
      </c>
      <c r="C13" s="3">
        <v>1325</v>
      </c>
      <c r="D13" s="84">
        <f>B13*C13*0.1</f>
        <v>132.5</v>
      </c>
      <c r="E13" s="3">
        <v>0.13</v>
      </c>
      <c r="F13" s="30">
        <f>E13/$E$48*$F$48</f>
        <v>214.59522663181787</v>
      </c>
      <c r="G13" s="30">
        <f t="shared" si="3"/>
        <v>902.93142238118162</v>
      </c>
      <c r="H13" s="75"/>
      <c r="I13" s="34">
        <f t="shared" si="2"/>
        <v>-902.93142238118162</v>
      </c>
      <c r="J13" s="39"/>
      <c r="K13" s="40"/>
    </row>
    <row r="14" spans="1:11" x14ac:dyDescent="0.25">
      <c r="A14" s="9" t="s">
        <v>403</v>
      </c>
      <c r="B14" s="9"/>
      <c r="C14" s="9"/>
      <c r="D14" s="87"/>
      <c r="E14" s="9"/>
      <c r="F14" s="10"/>
      <c r="G14" s="10"/>
      <c r="H14" s="75"/>
      <c r="I14" s="42">
        <f>SUM(I15:I18)</f>
        <v>-5307.832232478162</v>
      </c>
      <c r="J14" s="38"/>
      <c r="K14" s="38">
        <f>J14+I14</f>
        <v>-5307.832232478162</v>
      </c>
    </row>
    <row r="15" spans="1:11" x14ac:dyDescent="0.25">
      <c r="A15" s="122" t="s">
        <v>404</v>
      </c>
      <c r="B15" s="3">
        <v>1</v>
      </c>
      <c r="C15" s="3">
        <v>398</v>
      </c>
      <c r="D15" s="84">
        <f>B15*C15*0.1</f>
        <v>39.800000000000004</v>
      </c>
      <c r="E15" s="3">
        <v>5.2000000000000005E-2</v>
      </c>
      <c r="F15" s="30">
        <f>E15/$E$48*$F$48</f>
        <v>85.838090652727146</v>
      </c>
      <c r="G15" s="30">
        <f>(B15*C15)*$B$1+D15*$B$1+F15*$B$1</f>
        <v>282.7645689524727</v>
      </c>
      <c r="H15" s="75"/>
      <c r="I15" s="34">
        <f t="shared" ref="I15:I18" si="4">H15-G15</f>
        <v>-282.7645689524727</v>
      </c>
      <c r="J15" s="39"/>
      <c r="K15" s="40"/>
    </row>
    <row r="16" spans="1:11" x14ac:dyDescent="0.25">
      <c r="A16" s="122" t="s">
        <v>405</v>
      </c>
      <c r="B16" s="3">
        <v>1</v>
      </c>
      <c r="C16" s="3">
        <v>1012</v>
      </c>
      <c r="D16" s="84">
        <f>B16*C16*0.1</f>
        <v>101.2</v>
      </c>
      <c r="E16" s="3">
        <v>0.156</v>
      </c>
      <c r="F16" s="30">
        <f>E16/$E$48*$F$48</f>
        <v>257.5142719581815</v>
      </c>
      <c r="G16" s="30">
        <f t="shared" ref="G16:G18" si="5">(B16*C16)*$B$1+D16*$B$1+F16*$B$1</f>
        <v>740.18570685741804</v>
      </c>
      <c r="H16" s="75"/>
      <c r="I16" s="34">
        <f t="shared" si="4"/>
        <v>-740.18570685741804</v>
      </c>
      <c r="J16" s="39"/>
      <c r="K16" s="40"/>
    </row>
    <row r="17" spans="1:11" x14ac:dyDescent="0.25">
      <c r="A17" s="122" t="s">
        <v>406</v>
      </c>
      <c r="B17" s="3">
        <v>1</v>
      </c>
      <c r="C17" s="3">
        <v>1312</v>
      </c>
      <c r="D17" s="84">
        <f>B17*C17*0.1</f>
        <v>131.20000000000002</v>
      </c>
      <c r="E17" s="3">
        <v>0.13</v>
      </c>
      <c r="F17" s="30">
        <f>E17/$E$48*$F$48</f>
        <v>214.59522663181787</v>
      </c>
      <c r="G17" s="30">
        <f t="shared" si="5"/>
        <v>895.20942238118164</v>
      </c>
      <c r="H17" s="75"/>
      <c r="I17" s="34">
        <f t="shared" si="4"/>
        <v>-895.20942238118164</v>
      </c>
      <c r="J17" s="39"/>
      <c r="K17" s="40"/>
    </row>
    <row r="18" spans="1:11" x14ac:dyDescent="0.25">
      <c r="A18" s="122" t="s">
        <v>407</v>
      </c>
      <c r="B18" s="3">
        <v>1</v>
      </c>
      <c r="C18" s="3">
        <v>4536</v>
      </c>
      <c r="D18" s="84">
        <f>B18*C18*0.1</f>
        <v>453.6</v>
      </c>
      <c r="E18" s="3">
        <v>0.78</v>
      </c>
      <c r="F18" s="30">
        <f>E18/$E$48*$F$48</f>
        <v>1287.5713597909073</v>
      </c>
      <c r="G18" s="30">
        <f t="shared" si="5"/>
        <v>3389.67253428709</v>
      </c>
      <c r="H18" s="75"/>
      <c r="I18" s="34">
        <f t="shared" si="4"/>
        <v>-3389.67253428709</v>
      </c>
      <c r="J18" s="39"/>
      <c r="K18" s="40"/>
    </row>
    <row r="19" spans="1:11" x14ac:dyDescent="0.25">
      <c r="A19" s="9" t="s">
        <v>283</v>
      </c>
      <c r="B19" s="9"/>
      <c r="C19" s="9"/>
      <c r="D19" s="87"/>
      <c r="E19" s="9"/>
      <c r="F19" s="10"/>
      <c r="G19" s="10"/>
      <c r="H19" s="75"/>
      <c r="I19" s="42">
        <f>SUM(I20:I22)</f>
        <v>-5022.1384025311236</v>
      </c>
      <c r="J19" s="38"/>
      <c r="K19" s="38">
        <f>J19+I19</f>
        <v>-5022.1384025311236</v>
      </c>
    </row>
    <row r="20" spans="1:11" x14ac:dyDescent="0.25">
      <c r="A20" s="3" t="s">
        <v>408</v>
      </c>
      <c r="B20" s="3">
        <v>1</v>
      </c>
      <c r="C20" s="3">
        <f>2920/1000*600</f>
        <v>1752</v>
      </c>
      <c r="D20" s="84">
        <f>B20*C20*0.1</f>
        <v>175.20000000000002</v>
      </c>
      <c r="E20" s="3">
        <v>0.69</v>
      </c>
      <c r="F20" s="30">
        <f>E20/$E$48*$F$48</f>
        <v>1139.0054336611872</v>
      </c>
      <c r="G20" s="30">
        <f>(B20*C20)*$B$1+D20*$B$1+F20*$B$1</f>
        <v>1655.7509341770412</v>
      </c>
      <c r="H20" s="75"/>
      <c r="I20" s="34">
        <f t="shared" ref="I20:I22" si="6">H20-G20</f>
        <v>-1655.7509341770412</v>
      </c>
      <c r="J20" s="39"/>
      <c r="K20" s="40"/>
    </row>
    <row r="21" spans="1:11" x14ac:dyDescent="0.25">
      <c r="A21" s="3" t="s">
        <v>409</v>
      </c>
      <c r="B21" s="3">
        <v>1</v>
      </c>
      <c r="C21" s="3">
        <f>2773/1000*600</f>
        <v>1663.8000000000002</v>
      </c>
      <c r="D21" s="84">
        <f>B21*C21*0.1</f>
        <v>166.38000000000002</v>
      </c>
      <c r="E21" s="3">
        <v>0.69</v>
      </c>
      <c r="F21" s="30">
        <f>E21/$E$48*$F$48</f>
        <v>1139.0054336611872</v>
      </c>
      <c r="G21" s="30">
        <f>(B21*C21)*$B$1+D21*$B$1+F21*$B$1</f>
        <v>1603.3601341770413</v>
      </c>
      <c r="H21" s="75"/>
      <c r="I21" s="34">
        <f t="shared" ref="I21" si="7">H21-G21</f>
        <v>-1603.3601341770413</v>
      </c>
      <c r="J21" s="39"/>
      <c r="K21" s="40"/>
    </row>
    <row r="22" spans="1:11" x14ac:dyDescent="0.25">
      <c r="A22" s="3" t="s">
        <v>410</v>
      </c>
      <c r="B22" s="3">
        <v>1</v>
      </c>
      <c r="C22" s="3">
        <f>3221/1000*600</f>
        <v>1932.6000000000001</v>
      </c>
      <c r="D22" s="84">
        <f>B22*C22*0.1</f>
        <v>193.26000000000002</v>
      </c>
      <c r="E22" s="3">
        <v>0.69</v>
      </c>
      <c r="F22" s="30">
        <f>E22/$E$48*$F$48</f>
        <v>1139.0054336611872</v>
      </c>
      <c r="G22" s="30">
        <f t="shared" ref="G22" si="8">(B22*C22)*$B$1+D22*$B$1+F22*$B$1</f>
        <v>1763.0273341770412</v>
      </c>
      <c r="H22" s="75"/>
      <c r="I22" s="34">
        <f t="shared" si="6"/>
        <v>-1763.0273341770412</v>
      </c>
      <c r="J22" s="39"/>
      <c r="K22" s="40"/>
    </row>
    <row r="23" spans="1:11" x14ac:dyDescent="0.25">
      <c r="A23" s="9" t="s">
        <v>411</v>
      </c>
      <c r="B23" s="9"/>
      <c r="C23" s="9"/>
      <c r="D23" s="87"/>
      <c r="E23" s="9"/>
      <c r="F23" s="10"/>
      <c r="G23" s="10"/>
      <c r="H23" s="75"/>
      <c r="I23" s="42">
        <f>SUM(I24:I26)</f>
        <v>-2450.1110232615729</v>
      </c>
      <c r="J23" s="38"/>
      <c r="K23" s="38">
        <f>J23+I23</f>
        <v>-2450.1110232615729</v>
      </c>
    </row>
    <row r="24" spans="1:11" x14ac:dyDescent="0.25">
      <c r="A24" s="122" t="s">
        <v>412</v>
      </c>
      <c r="B24" s="3">
        <v>1</v>
      </c>
      <c r="C24" s="3">
        <v>790</v>
      </c>
      <c r="D24" s="84">
        <f>B24*C24*0.1</f>
        <v>79</v>
      </c>
      <c r="E24" s="3">
        <v>0.13</v>
      </c>
      <c r="F24" s="30">
        <f>E24/$E$48*$F$48</f>
        <v>214.59522663181787</v>
      </c>
      <c r="G24" s="30">
        <f>(B24*C24)*$B$1+D24*$B$1+F24*$B$1</f>
        <v>585.14142238118166</v>
      </c>
      <c r="H24" s="75"/>
      <c r="I24" s="34">
        <f t="shared" ref="I24:I26" si="9">H24-G24</f>
        <v>-585.14142238118166</v>
      </c>
      <c r="J24" s="39"/>
      <c r="K24" s="40"/>
    </row>
    <row r="25" spans="1:11" x14ac:dyDescent="0.25">
      <c r="A25" s="122" t="s">
        <v>413</v>
      </c>
      <c r="B25" s="3">
        <v>1</v>
      </c>
      <c r="C25" s="3">
        <v>698</v>
      </c>
      <c r="D25" s="84">
        <f>B25*C25*0.1</f>
        <v>69.8</v>
      </c>
      <c r="E25" s="3">
        <v>0.26</v>
      </c>
      <c r="F25" s="30">
        <f>E25/$E$48*$F$48</f>
        <v>429.19045326363573</v>
      </c>
      <c r="G25" s="30">
        <f>(B25*C25)*$B$1+D25*$B$1+F25*$B$1</f>
        <v>646.3748447623633</v>
      </c>
      <c r="H25" s="75"/>
      <c r="I25" s="34">
        <f t="shared" si="9"/>
        <v>-646.3748447623633</v>
      </c>
      <c r="J25" s="39"/>
      <c r="K25" s="40"/>
    </row>
    <row r="26" spans="1:11" x14ac:dyDescent="0.25">
      <c r="A26" s="102" t="s">
        <v>414</v>
      </c>
      <c r="B26" s="3">
        <v>1</v>
      </c>
      <c r="C26" s="3">
        <f>3403/1000*400</f>
        <v>1361.2</v>
      </c>
      <c r="D26" s="84">
        <f>B26*C26*0.1</f>
        <v>136.12</v>
      </c>
      <c r="E26" s="3">
        <v>0.45999999999999996</v>
      </c>
      <c r="F26" s="30">
        <f>E26/$E$48*$F$48</f>
        <v>759.3369557741247</v>
      </c>
      <c r="G26" s="30">
        <f t="shared" ref="G26" si="10">(B26*C26)*$B$1+D26*$B$1+F26*$B$1</f>
        <v>1218.5947561180276</v>
      </c>
      <c r="H26" s="75"/>
      <c r="I26" s="34">
        <f t="shared" si="9"/>
        <v>-1218.5947561180276</v>
      </c>
      <c r="J26" s="39"/>
      <c r="K26" s="40"/>
    </row>
    <row r="27" spans="1:11" x14ac:dyDescent="0.25">
      <c r="A27" s="9" t="s">
        <v>415</v>
      </c>
      <c r="B27" s="9"/>
      <c r="C27" s="9"/>
      <c r="D27" s="87"/>
      <c r="E27" s="9"/>
      <c r="F27" s="10"/>
      <c r="G27" s="10"/>
      <c r="H27" s="75"/>
      <c r="I27" s="42">
        <f>SUM(I28:I29)</f>
        <v>-2172.7407122360546</v>
      </c>
      <c r="J27" s="38"/>
      <c r="K27" s="38">
        <f>J27+I27</f>
        <v>-2172.7407122360546</v>
      </c>
    </row>
    <row r="28" spans="1:11" x14ac:dyDescent="0.25">
      <c r="A28" s="3" t="s">
        <v>408</v>
      </c>
      <c r="B28" s="3">
        <v>1</v>
      </c>
      <c r="C28" s="3">
        <f>2920/1000*400</f>
        <v>1168</v>
      </c>
      <c r="D28" s="84">
        <f>B28*C28*0.1</f>
        <v>116.80000000000001</v>
      </c>
      <c r="E28" s="3">
        <v>0.45999999999999996</v>
      </c>
      <c r="F28" s="30">
        <f>E28/$E$48*$F$48</f>
        <v>759.3369557741247</v>
      </c>
      <c r="G28" s="30">
        <f>(B28*C28)*$B$1+D28*$B$1+F28*$B$1</f>
        <v>1103.8339561180273</v>
      </c>
      <c r="H28" s="75"/>
      <c r="I28" s="34">
        <f t="shared" ref="I28:I29" si="11">H28-G28</f>
        <v>-1103.8339561180273</v>
      </c>
      <c r="J28" s="39"/>
      <c r="K28" s="40"/>
    </row>
    <row r="29" spans="1:11" x14ac:dyDescent="0.25">
      <c r="A29" s="3" t="s">
        <v>409</v>
      </c>
      <c r="B29" s="3">
        <v>1</v>
      </c>
      <c r="C29" s="3">
        <f>2773/1000*400</f>
        <v>1109.2</v>
      </c>
      <c r="D29" s="84">
        <f>B29*C29*0.1</f>
        <v>110.92000000000002</v>
      </c>
      <c r="E29" s="3">
        <v>0.45999999999999996</v>
      </c>
      <c r="F29" s="30">
        <f>E29/$E$48*$F$48</f>
        <v>759.3369557741247</v>
      </c>
      <c r="G29" s="30">
        <f t="shared" ref="G29" si="12">(B29*C29)*$B$1+D29*$B$1+F29*$B$1</f>
        <v>1068.9067561180275</v>
      </c>
      <c r="H29" s="75"/>
      <c r="I29" s="34">
        <f t="shared" si="11"/>
        <v>-1068.9067561180275</v>
      </c>
      <c r="J29" s="39"/>
      <c r="K29" s="40"/>
    </row>
    <row r="30" spans="1:11" x14ac:dyDescent="0.25">
      <c r="A30" s="9" t="s">
        <v>416</v>
      </c>
      <c r="B30" s="9"/>
      <c r="C30" s="9"/>
      <c r="D30" s="87"/>
      <c r="E30" s="9"/>
      <c r="F30" s="10"/>
      <c r="G30" s="10"/>
      <c r="H30" s="75"/>
      <c r="I30" s="42">
        <f>SUM(I31:I32)</f>
        <v>-1798.786267143545</v>
      </c>
      <c r="J30" s="38"/>
      <c r="K30" s="38">
        <f>J30+I30</f>
        <v>-1798.786267143545</v>
      </c>
    </row>
    <row r="31" spans="1:11" x14ac:dyDescent="0.25">
      <c r="A31" s="122" t="s">
        <v>417</v>
      </c>
      <c r="B31" s="3">
        <v>1</v>
      </c>
      <c r="C31" s="3">
        <v>1131</v>
      </c>
      <c r="D31" s="84">
        <f>B31*C31*0.1</f>
        <v>113.10000000000001</v>
      </c>
      <c r="E31" s="3">
        <v>0.26</v>
      </c>
      <c r="F31" s="30">
        <f>E31/$E$48*$F$48</f>
        <v>429.19045326363573</v>
      </c>
      <c r="G31" s="30">
        <f>(B31*C31)*$B$1+D31*$B$1+F31*$B$1</f>
        <v>903.57684476236329</v>
      </c>
      <c r="H31" s="75"/>
      <c r="I31" s="34">
        <f t="shared" ref="I31:I32" si="13">H31-G31</f>
        <v>-903.57684476236329</v>
      </c>
      <c r="J31" s="39"/>
      <c r="K31" s="40"/>
    </row>
    <row r="32" spans="1:11" x14ac:dyDescent="0.25">
      <c r="A32" s="102" t="s">
        <v>418</v>
      </c>
      <c r="B32" s="3">
        <v>1</v>
      </c>
      <c r="C32" s="3">
        <v>1312</v>
      </c>
      <c r="D32" s="84">
        <f>B32*C32*0.1</f>
        <v>131.20000000000002</v>
      </c>
      <c r="E32" s="3">
        <v>0.13</v>
      </c>
      <c r="F32" s="30">
        <f>E32/$E$48*$F$48</f>
        <v>214.59522663181787</v>
      </c>
      <c r="G32" s="30">
        <f t="shared" ref="G32" si="14">(B32*C32)*$B$1+D32*$B$1+F32*$B$1</f>
        <v>895.20942238118164</v>
      </c>
      <c r="H32" s="75"/>
      <c r="I32" s="34">
        <f t="shared" si="13"/>
        <v>-895.20942238118164</v>
      </c>
      <c r="J32" s="39"/>
      <c r="K32" s="40"/>
    </row>
    <row r="33" spans="1:11" x14ac:dyDescent="0.25">
      <c r="A33" s="9" t="s">
        <v>143</v>
      </c>
      <c r="B33" s="9"/>
      <c r="C33" s="9"/>
      <c r="D33" s="87"/>
      <c r="E33" s="9"/>
      <c r="F33" s="10"/>
      <c r="G33" s="10"/>
      <c r="H33" s="75"/>
      <c r="I33" s="42">
        <f>SUM(I34:I34)</f>
        <v>-1175.3515561180275</v>
      </c>
      <c r="J33" s="38"/>
      <c r="K33" s="38">
        <f>J33+I33</f>
        <v>-1175.3515561180275</v>
      </c>
    </row>
    <row r="34" spans="1:11" x14ac:dyDescent="0.25">
      <c r="A34" s="3" t="s">
        <v>410</v>
      </c>
      <c r="B34" s="3">
        <v>1</v>
      </c>
      <c r="C34" s="3">
        <f>3221/1000*400</f>
        <v>1288.4000000000001</v>
      </c>
      <c r="D34" s="84">
        <f t="shared" ref="D34" si="15">B34*C34*0.1</f>
        <v>128.84</v>
      </c>
      <c r="E34" s="3">
        <v>0.45999999999999996</v>
      </c>
      <c r="F34" s="30">
        <f>E34/$E$48*$F$48</f>
        <v>759.3369557741247</v>
      </c>
      <c r="G34" s="30">
        <f>(B34*C34)*$B$1+D34*$B$1+F34*$B$1</f>
        <v>1175.3515561180275</v>
      </c>
      <c r="H34" s="75"/>
      <c r="I34" s="34">
        <f>H34-G34</f>
        <v>-1175.3515561180275</v>
      </c>
      <c r="J34" s="39"/>
      <c r="K34" s="40"/>
    </row>
    <row r="35" spans="1:11" x14ac:dyDescent="0.25">
      <c r="A35" s="9" t="s">
        <v>419</v>
      </c>
      <c r="B35" s="9"/>
      <c r="C35" s="9"/>
      <c r="D35" s="87"/>
      <c r="E35" s="9"/>
      <c r="F35" s="10"/>
      <c r="G35" s="10"/>
      <c r="H35" s="75"/>
      <c r="I35" s="42">
        <f>SUM(I36:I36)</f>
        <v>-4584.5664909553616</v>
      </c>
      <c r="J35" s="38"/>
      <c r="K35" s="38">
        <f>J35+I35</f>
        <v>-4584.5664909553616</v>
      </c>
    </row>
    <row r="36" spans="1:11" x14ac:dyDescent="0.25">
      <c r="A36" s="102" t="s">
        <v>420</v>
      </c>
      <c r="B36" s="3">
        <v>1</v>
      </c>
      <c r="C36" s="3">
        <v>5182</v>
      </c>
      <c r="D36" s="84">
        <f>B36*C36*0.1</f>
        <v>518.20000000000005</v>
      </c>
      <c r="E36" s="3">
        <v>1.6899999999999997</v>
      </c>
      <c r="F36" s="30">
        <f>E36/$E$48*$F$48</f>
        <v>2789.7379462136319</v>
      </c>
      <c r="G36" s="30">
        <f>(B36*C36)*$B$1+D36*$B$1+F36*$B$1</f>
        <v>4584.5664909553616</v>
      </c>
      <c r="H36" s="75"/>
      <c r="I36" s="34">
        <f>H36-G36</f>
        <v>-4584.5664909553616</v>
      </c>
      <c r="J36" s="39"/>
      <c r="K36" s="40"/>
    </row>
    <row r="37" spans="1:11" x14ac:dyDescent="0.25">
      <c r="A37" s="9" t="s">
        <v>421</v>
      </c>
      <c r="B37" s="9"/>
      <c r="C37" s="9"/>
      <c r="D37" s="87"/>
      <c r="E37" s="9"/>
      <c r="F37" s="10"/>
      <c r="G37" s="10"/>
      <c r="H37" s="75"/>
      <c r="I37" s="42">
        <f>SUM(I38:I38)</f>
        <v>-4584.5664909553616</v>
      </c>
      <c r="J37" s="38"/>
      <c r="K37" s="38">
        <f>J37+I37</f>
        <v>-4584.5664909553616</v>
      </c>
    </row>
    <row r="38" spans="1:11" x14ac:dyDescent="0.25">
      <c r="A38" s="102" t="s">
        <v>420</v>
      </c>
      <c r="B38" s="3">
        <v>1</v>
      </c>
      <c r="C38" s="3">
        <v>5182</v>
      </c>
      <c r="D38" s="84">
        <f t="shared" ref="D38" si="16">B38*C38*0.1</f>
        <v>518.20000000000005</v>
      </c>
      <c r="E38" s="3">
        <v>1.6899999999999997</v>
      </c>
      <c r="F38" s="30">
        <f>E38/$E$48*$F$48</f>
        <v>2789.7379462136319</v>
      </c>
      <c r="G38" s="30">
        <f>(B38*C38)*$B$1+D38*$B$1+F38*$B$1</f>
        <v>4584.5664909553616</v>
      </c>
      <c r="H38" s="75"/>
      <c r="I38" s="34">
        <f>H38-G38</f>
        <v>-4584.5664909553616</v>
      </c>
      <c r="J38" s="39"/>
      <c r="K38" s="40"/>
    </row>
    <row r="39" spans="1:11" x14ac:dyDescent="0.25">
      <c r="A39" s="9" t="s">
        <v>422</v>
      </c>
      <c r="B39" s="9"/>
      <c r="C39" s="9"/>
      <c r="D39" s="87"/>
      <c r="E39" s="9"/>
      <c r="F39" s="10"/>
      <c r="G39" s="10"/>
      <c r="H39" s="75"/>
      <c r="I39" s="42">
        <f>SUM(I40:I40)</f>
        <v>-3245.7498244721096</v>
      </c>
      <c r="J39" s="38">
        <v>3330</v>
      </c>
      <c r="K39" s="38">
        <f>J39+I39</f>
        <v>84.250175527890406</v>
      </c>
    </row>
    <row r="40" spans="1:11" x14ac:dyDescent="0.25">
      <c r="A40" s="102" t="s">
        <v>423</v>
      </c>
      <c r="B40" s="3">
        <v>1</v>
      </c>
      <c r="C40" s="3">
        <v>2703</v>
      </c>
      <c r="D40" s="84">
        <f>B40*C40*0.1</f>
        <v>270.3</v>
      </c>
      <c r="E40" s="3">
        <v>1.8399999999999999</v>
      </c>
      <c r="F40" s="30">
        <f>E40/$E$48*$F$48</f>
        <v>3037.3478230964988</v>
      </c>
      <c r="G40" s="30">
        <f>(B40*C40)*$B$1+D40*$B$1+F40*$B$1</f>
        <v>3245.7498244721096</v>
      </c>
      <c r="H40" s="75"/>
      <c r="I40" s="34">
        <f>H40-G40</f>
        <v>-3245.7498244721096</v>
      </c>
      <c r="J40" s="39"/>
      <c r="K40" s="40"/>
    </row>
    <row r="41" spans="1:11" x14ac:dyDescent="0.25">
      <c r="A41" s="9" t="s">
        <v>424</v>
      </c>
      <c r="B41" s="9"/>
      <c r="C41" s="9"/>
      <c r="D41" s="87"/>
      <c r="E41" s="9"/>
      <c r="F41" s="10"/>
      <c r="G41" s="10"/>
      <c r="H41" s="75"/>
      <c r="I41" s="42">
        <f>SUM(I42:I42)</f>
        <v>-1012.6015559529542</v>
      </c>
      <c r="J41" s="38"/>
      <c r="K41" s="38">
        <f>J41+I41</f>
        <v>-1012.6015559529542</v>
      </c>
    </row>
    <row r="42" spans="1:11" x14ac:dyDescent="0.25">
      <c r="A42" s="102" t="s">
        <v>425</v>
      </c>
      <c r="B42" s="3">
        <v>1</v>
      </c>
      <c r="C42" s="3">
        <v>1217</v>
      </c>
      <c r="D42" s="84">
        <f t="shared" ref="D42" si="17">B42*C42*0.1</f>
        <v>121.7</v>
      </c>
      <c r="E42" s="3">
        <v>0.32500000000000001</v>
      </c>
      <c r="F42" s="30">
        <f>E42/$E$48*$F$48</f>
        <v>536.48806657954469</v>
      </c>
      <c r="G42" s="30">
        <f>(B42*C42)*$B$1+D42*$B$1+F42*$B$1</f>
        <v>1012.6015559529542</v>
      </c>
      <c r="H42" s="75"/>
      <c r="I42" s="34">
        <f>H42-G42</f>
        <v>-1012.6015559529542</v>
      </c>
      <c r="J42" s="39"/>
      <c r="K42" s="40"/>
    </row>
    <row r="43" spans="1:11" x14ac:dyDescent="0.25">
      <c r="A43" s="91" t="s">
        <v>30</v>
      </c>
      <c r="B43" s="9"/>
      <c r="C43" s="9"/>
      <c r="D43" s="87"/>
      <c r="E43" s="9"/>
      <c r="F43" s="10"/>
      <c r="G43" s="10"/>
      <c r="H43" s="75"/>
      <c r="I43" s="42">
        <f>SUM(I44:I47)</f>
        <v>-3498.7704899649225</v>
      </c>
      <c r="J43" s="38"/>
      <c r="K43" s="38">
        <f>J43+I43</f>
        <v>-3498.7704899649225</v>
      </c>
    </row>
    <row r="44" spans="1:11" x14ac:dyDescent="0.25">
      <c r="A44" s="6">
        <v>1</v>
      </c>
      <c r="B44" s="3">
        <v>1</v>
      </c>
      <c r="C44">
        <f>3403/1000*200</f>
        <v>680.6</v>
      </c>
      <c r="D44" s="84">
        <f>B44*C44*0.1</f>
        <v>68.06</v>
      </c>
      <c r="E44">
        <f>0.2*1.15</f>
        <v>0.22999999999999998</v>
      </c>
      <c r="F44" s="30">
        <f>E44/$E$48*$F$48</f>
        <v>379.66847788706235</v>
      </c>
      <c r="G44" s="30">
        <f>(B44*C44)*$B$1+D44*$B$1+F44*$B$1</f>
        <v>609.29737805901379</v>
      </c>
      <c r="H44" s="75"/>
      <c r="I44" s="34">
        <f t="shared" ref="I44:I47" si="18">H44-G44</f>
        <v>-609.29737805901379</v>
      </c>
      <c r="J44" s="39"/>
      <c r="K44" s="40"/>
    </row>
    <row r="45" spans="1:11" x14ac:dyDescent="0.25">
      <c r="A45" s="6">
        <v>2</v>
      </c>
      <c r="B45" s="3">
        <v>1</v>
      </c>
      <c r="C45" s="3">
        <v>1325</v>
      </c>
      <c r="D45" s="84">
        <f>B45*C45*0.1</f>
        <v>132.5</v>
      </c>
      <c r="E45" s="3">
        <v>0.13</v>
      </c>
      <c r="F45" s="30">
        <f>E45/$E$48*$F$48</f>
        <v>214.59522663181787</v>
      </c>
      <c r="G45" s="30">
        <f t="shared" ref="G45:G47" si="19">(B45*C45)*$B$1+D45*$B$1+F45*$B$1</f>
        <v>902.93142238118162</v>
      </c>
      <c r="H45" s="75"/>
      <c r="I45" s="34">
        <f t="shared" si="18"/>
        <v>-902.93142238118162</v>
      </c>
      <c r="J45" s="39"/>
      <c r="K45" s="40"/>
    </row>
    <row r="46" spans="1:11" x14ac:dyDescent="0.25">
      <c r="A46" s="6">
        <v>3</v>
      </c>
      <c r="B46" s="3">
        <v>1</v>
      </c>
      <c r="C46" s="3">
        <v>1312</v>
      </c>
      <c r="D46" s="84">
        <f>B46*C46*0.1</f>
        <v>131.20000000000002</v>
      </c>
      <c r="E46" s="3">
        <v>0.13</v>
      </c>
      <c r="F46" s="30">
        <f>E46/$E$48*$F$48</f>
        <v>214.59522663181787</v>
      </c>
      <c r="G46" s="30">
        <f t="shared" si="19"/>
        <v>895.20942238118164</v>
      </c>
      <c r="H46" s="75"/>
      <c r="I46" s="34">
        <f t="shared" si="18"/>
        <v>-895.20942238118164</v>
      </c>
      <c r="J46" s="39"/>
      <c r="K46" s="40"/>
    </row>
    <row r="47" spans="1:11" x14ac:dyDescent="0.25">
      <c r="A47" s="6">
        <v>4</v>
      </c>
      <c r="B47" s="3">
        <v>1</v>
      </c>
      <c r="C47" s="3">
        <v>1252</v>
      </c>
      <c r="D47" s="84">
        <f>B47*C47*0.1</f>
        <v>125.2</v>
      </c>
      <c r="E47" s="3">
        <f>0.3*1.3</f>
        <v>0.39</v>
      </c>
      <c r="F47" s="30">
        <f>E47/$E$48*$F$48</f>
        <v>643.78567989545365</v>
      </c>
      <c r="G47" s="30">
        <f t="shared" si="19"/>
        <v>1091.3322671435451</v>
      </c>
      <c r="H47" s="75"/>
      <c r="I47" s="34">
        <f t="shared" si="18"/>
        <v>-1091.3322671435451</v>
      </c>
      <c r="J47" s="39"/>
      <c r="K47" s="40"/>
    </row>
    <row r="48" spans="1:11" x14ac:dyDescent="0.25">
      <c r="A48" s="27"/>
      <c r="B48" s="28"/>
      <c r="C48" s="28"/>
      <c r="D48" s="28"/>
      <c r="E48" s="103">
        <f>SUM(E4:E47)</f>
        <v>14.539</v>
      </c>
      <c r="F48" s="98">
        <v>24000</v>
      </c>
      <c r="G48" s="28">
        <f>F48/E48</f>
        <v>1650.7325125524451</v>
      </c>
      <c r="H48" s="75"/>
      <c r="I48" s="28"/>
      <c r="J48" s="28"/>
      <c r="K48" s="28"/>
    </row>
    <row r="49" spans="1:7" x14ac:dyDescent="0.25">
      <c r="G49">
        <f>G48*B1</f>
        <v>891.39555677832038</v>
      </c>
    </row>
    <row r="50" spans="1:7" ht="36.75" customHeight="1" x14ac:dyDescent="0.25">
      <c r="A50" s="118" t="s">
        <v>391</v>
      </c>
      <c r="B50" s="119"/>
      <c r="C50" s="119"/>
      <c r="D50" s="119"/>
      <c r="E50" s="119"/>
    </row>
  </sheetData>
  <mergeCells count="1">
    <mergeCell ref="A50:E50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workbookViewId="0">
      <selection activeCell="F14" sqref="F14"/>
    </sheetView>
  </sheetViews>
  <sheetFormatPr defaultRowHeight="15" x14ac:dyDescent="0.25"/>
  <cols>
    <col min="1" max="1" width="33.42578125" bestFit="1" customWidth="1"/>
    <col min="2" max="2" width="13.7109375" customWidth="1"/>
    <col min="3" max="3" width="20.5703125" customWidth="1"/>
    <col min="4" max="4" width="16.7109375" customWidth="1"/>
    <col min="5" max="5" width="15.7109375" customWidth="1"/>
    <col min="6" max="6" width="13.7109375" customWidth="1"/>
  </cols>
  <sheetData>
    <row r="1" spans="1:8" x14ac:dyDescent="0.25">
      <c r="C1" s="2" t="s">
        <v>5</v>
      </c>
      <c r="D1" s="1">
        <v>0.32</v>
      </c>
    </row>
    <row r="2" spans="1:8" ht="21" x14ac:dyDescent="0.35">
      <c r="A2" s="8" t="s">
        <v>11</v>
      </c>
    </row>
    <row r="3" spans="1:8" ht="22.5" customHeight="1" x14ac:dyDescent="0.25">
      <c r="A3" s="3"/>
      <c r="B3" s="6" t="s">
        <v>1</v>
      </c>
      <c r="C3" s="6" t="s">
        <v>7</v>
      </c>
      <c r="D3" s="6" t="s">
        <v>6</v>
      </c>
      <c r="E3" s="6" t="s">
        <v>9</v>
      </c>
      <c r="F3" s="6" t="s">
        <v>8</v>
      </c>
      <c r="G3" s="3" t="s">
        <v>17</v>
      </c>
    </row>
    <row r="4" spans="1:8" x14ac:dyDescent="0.25">
      <c r="A4" s="11" t="s">
        <v>14</v>
      </c>
      <c r="B4" s="10"/>
      <c r="C4" s="10"/>
      <c r="D4" s="10"/>
      <c r="E4" s="10"/>
      <c r="F4" s="10"/>
      <c r="G4" s="3"/>
    </row>
    <row r="5" spans="1:8" x14ac:dyDescent="0.25">
      <c r="A5" s="4" t="s">
        <v>0</v>
      </c>
      <c r="B5" s="5">
        <v>1043</v>
      </c>
      <c r="C5" s="5">
        <v>200</v>
      </c>
      <c r="D5" s="5">
        <f>C5*1.25</f>
        <v>250</v>
      </c>
      <c r="E5" s="5">
        <f>D5/$D$14*$E$14</f>
        <v>736</v>
      </c>
      <c r="F5" s="7">
        <f>(B5+E5)*$D$1</f>
        <v>569.28</v>
      </c>
      <c r="G5" s="3">
        <f>210+210+210</f>
        <v>630</v>
      </c>
      <c r="H5" s="16">
        <f>570/3+20</f>
        <v>210</v>
      </c>
    </row>
    <row r="6" spans="1:8" x14ac:dyDescent="0.25">
      <c r="A6" s="9" t="s">
        <v>12</v>
      </c>
      <c r="B6" s="10"/>
      <c r="C6" s="10"/>
      <c r="D6" s="10"/>
      <c r="E6" s="10"/>
      <c r="F6" s="10"/>
      <c r="G6" s="3"/>
    </row>
    <row r="7" spans="1:8" x14ac:dyDescent="0.25">
      <c r="A7" s="4" t="s">
        <v>10</v>
      </c>
      <c r="B7" s="5">
        <v>1054</v>
      </c>
      <c r="C7" s="5">
        <v>200</v>
      </c>
      <c r="D7" s="5">
        <f t="shared" ref="D7:D13" si="0">C7*1.25</f>
        <v>250</v>
      </c>
      <c r="E7" s="5">
        <f t="shared" ref="E7:E13" si="1">D7/$D$14*$E$14</f>
        <v>736</v>
      </c>
      <c r="F7" s="7">
        <f t="shared" ref="F7:F13" si="2">(B7+E7)*$D$1</f>
        <v>572.80000000000007</v>
      </c>
      <c r="G7" s="3">
        <v>570</v>
      </c>
    </row>
    <row r="8" spans="1:8" x14ac:dyDescent="0.25">
      <c r="A8" s="9" t="s">
        <v>13</v>
      </c>
      <c r="B8" s="10"/>
      <c r="C8" s="10"/>
      <c r="D8" s="10"/>
      <c r="E8" s="10"/>
      <c r="F8" s="10"/>
      <c r="G8" s="3"/>
    </row>
    <row r="9" spans="1:8" x14ac:dyDescent="0.25">
      <c r="A9" s="4" t="s">
        <v>10</v>
      </c>
      <c r="B9" s="5">
        <v>1054</v>
      </c>
      <c r="C9" s="5">
        <v>200</v>
      </c>
      <c r="D9" s="5">
        <f t="shared" si="0"/>
        <v>250</v>
      </c>
      <c r="E9" s="5">
        <f t="shared" si="1"/>
        <v>736</v>
      </c>
      <c r="F9" s="7">
        <f t="shared" si="2"/>
        <v>572.80000000000007</v>
      </c>
      <c r="G9" s="3">
        <v>573</v>
      </c>
    </row>
    <row r="10" spans="1:8" x14ac:dyDescent="0.25">
      <c r="A10" s="9" t="s">
        <v>16</v>
      </c>
      <c r="B10" s="10"/>
      <c r="C10" s="10"/>
      <c r="D10" s="10"/>
      <c r="E10" s="10"/>
      <c r="F10" s="10"/>
      <c r="G10" s="3"/>
    </row>
    <row r="11" spans="1:8" ht="39" x14ac:dyDescent="0.25">
      <c r="A11" s="13" t="s">
        <v>2</v>
      </c>
      <c r="B11" s="14">
        <v>1788</v>
      </c>
      <c r="C11" s="14">
        <v>170</v>
      </c>
      <c r="D11" s="14">
        <f t="shared" si="0"/>
        <v>212.5</v>
      </c>
      <c r="E11" s="14">
        <f t="shared" si="1"/>
        <v>625.6</v>
      </c>
      <c r="F11" s="15">
        <f t="shared" si="2"/>
        <v>772.35199999999998</v>
      </c>
      <c r="G11" s="3"/>
    </row>
    <row r="12" spans="1:8" x14ac:dyDescent="0.25">
      <c r="A12" s="13" t="s">
        <v>3</v>
      </c>
      <c r="B12" s="14">
        <v>1273</v>
      </c>
      <c r="C12" s="14">
        <v>240</v>
      </c>
      <c r="D12" s="14">
        <f t="shared" si="0"/>
        <v>300</v>
      </c>
      <c r="E12" s="14">
        <f t="shared" si="1"/>
        <v>883.2</v>
      </c>
      <c r="F12" s="15">
        <f t="shared" si="2"/>
        <v>689.98399999999992</v>
      </c>
      <c r="G12" s="3"/>
    </row>
    <row r="13" spans="1:8" x14ac:dyDescent="0.25">
      <c r="A13" s="13" t="s">
        <v>4</v>
      </c>
      <c r="B13" s="14">
        <v>1273</v>
      </c>
      <c r="C13" s="14">
        <v>240</v>
      </c>
      <c r="D13" s="14">
        <f t="shared" si="0"/>
        <v>300</v>
      </c>
      <c r="E13" s="14">
        <f t="shared" si="1"/>
        <v>883.2</v>
      </c>
      <c r="F13" s="15">
        <f t="shared" si="2"/>
        <v>689.98399999999992</v>
      </c>
      <c r="G13" s="3"/>
    </row>
    <row r="14" spans="1:8" x14ac:dyDescent="0.25">
      <c r="A14" s="3"/>
      <c r="B14" s="6">
        <f>SUM(B5:B13)</f>
        <v>7485</v>
      </c>
      <c r="C14" s="6"/>
      <c r="D14" s="6">
        <f>SUM(D5:D13)</f>
        <v>1562.5</v>
      </c>
      <c r="E14" s="6">
        <v>4600</v>
      </c>
      <c r="F14" s="6">
        <f>E14*D1</f>
        <v>1472</v>
      </c>
      <c r="G14" s="3"/>
    </row>
    <row r="16" spans="1:8" ht="64.5" x14ac:dyDescent="0.25">
      <c r="A16" s="12" t="s">
        <v>63</v>
      </c>
    </row>
    <row r="17" spans="1:1" ht="98.25" customHeight="1" x14ac:dyDescent="0.25">
      <c r="A17" s="12" t="s">
        <v>15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opLeftCell="A4" zoomScale="83" zoomScaleNormal="83" workbookViewId="0">
      <selection activeCell="E45" sqref="E45"/>
    </sheetView>
  </sheetViews>
  <sheetFormatPr defaultRowHeight="15" x14ac:dyDescent="0.25"/>
  <cols>
    <col min="1" max="1" width="27.28515625" customWidth="1"/>
    <col min="2" max="2" width="11.28515625" customWidth="1"/>
    <col min="3" max="3" width="8.28515625" customWidth="1"/>
    <col min="4" max="4" width="7.7109375" customWidth="1"/>
    <col min="5" max="5" width="12.85546875" customWidth="1"/>
    <col min="6" max="6" width="10.7109375" customWidth="1"/>
    <col min="7" max="7" width="10.5703125" customWidth="1"/>
    <col min="8" max="8" width="2.7109375" customWidth="1"/>
    <col min="9" max="9" width="12.140625" style="41" customWidth="1"/>
    <col min="10" max="10" width="10.28515625" customWidth="1"/>
    <col min="11" max="11" width="12.5703125" style="37" customWidth="1"/>
  </cols>
  <sheetData>
    <row r="1" spans="1:11" x14ac:dyDescent="0.25">
      <c r="A1" s="1" t="s">
        <v>5</v>
      </c>
      <c r="B1" s="1">
        <v>0.33900000000000002</v>
      </c>
      <c r="C1" s="1" t="s">
        <v>67</v>
      </c>
    </row>
    <row r="2" spans="1:11" x14ac:dyDescent="0.25">
      <c r="A2" s="1"/>
      <c r="B2" s="1"/>
      <c r="C2" s="1"/>
    </row>
    <row r="3" spans="1:11" ht="21" x14ac:dyDescent="0.35">
      <c r="A3" s="8"/>
    </row>
    <row r="4" spans="1:11" ht="29.45" customHeight="1" x14ac:dyDescent="0.25">
      <c r="A4" s="3"/>
      <c r="B4" s="21" t="s">
        <v>28</v>
      </c>
      <c r="C4" s="21" t="s">
        <v>60</v>
      </c>
      <c r="D4" s="21" t="s">
        <v>59</v>
      </c>
      <c r="E4" s="21" t="s">
        <v>27</v>
      </c>
      <c r="F4" s="21" t="s">
        <v>61</v>
      </c>
      <c r="G4" s="21" t="s">
        <v>65</v>
      </c>
      <c r="H4" s="74"/>
      <c r="I4" s="21" t="s">
        <v>62</v>
      </c>
      <c r="J4" s="6" t="s">
        <v>17</v>
      </c>
      <c r="K4" s="21" t="s">
        <v>62</v>
      </c>
    </row>
    <row r="5" spans="1:11" x14ac:dyDescent="0.25">
      <c r="A5" s="33" t="s">
        <v>18</v>
      </c>
      <c r="B5" s="11"/>
      <c r="C5" s="10"/>
      <c r="D5" s="10"/>
      <c r="E5" s="10"/>
      <c r="F5" s="10"/>
      <c r="G5" s="10"/>
      <c r="H5" s="75"/>
      <c r="I5" s="42">
        <f>SUM(I6:I7)</f>
        <v>-842.36036216606499</v>
      </c>
      <c r="J5" s="38">
        <f>400+424</f>
        <v>824</v>
      </c>
      <c r="K5" s="38">
        <f t="shared" ref="K5:K28" si="0">J5+I5</f>
        <v>-18.360362166064988</v>
      </c>
    </row>
    <row r="6" spans="1:11" ht="30" x14ac:dyDescent="0.25">
      <c r="A6" s="23" t="s">
        <v>19</v>
      </c>
      <c r="B6" s="3">
        <v>1</v>
      </c>
      <c r="C6" s="3">
        <v>643</v>
      </c>
      <c r="D6" s="5">
        <f>B6*C6*0.1</f>
        <v>64.3</v>
      </c>
      <c r="E6" s="6">
        <f>0.2*1.3</f>
        <v>0.26</v>
      </c>
      <c r="F6" s="30">
        <f>E6/$E$47*$F$47</f>
        <v>374.64404332129965</v>
      </c>
      <c r="G6" s="30">
        <f>(B6*C6)*$B$1+D6+F6*$B$1</f>
        <v>409.28133068592058</v>
      </c>
      <c r="H6" s="75"/>
      <c r="I6" s="34">
        <f>H6-G6</f>
        <v>-409.28133068592058</v>
      </c>
      <c r="J6" s="39"/>
      <c r="K6" s="40"/>
    </row>
    <row r="7" spans="1:11" x14ac:dyDescent="0.25">
      <c r="A7" s="23" t="s">
        <v>20</v>
      </c>
      <c r="B7" s="17">
        <v>1</v>
      </c>
      <c r="C7" s="3">
        <v>784</v>
      </c>
      <c r="D7" s="5">
        <f>B7*C7*0.1</f>
        <v>78.400000000000006</v>
      </c>
      <c r="E7" s="6">
        <f>0.14*1.3</f>
        <v>0.18200000000000002</v>
      </c>
      <c r="F7" s="30">
        <f>E7/$E$47*$F$47</f>
        <v>262.25083032490977</v>
      </c>
      <c r="G7" s="30">
        <f t="shared" ref="G7:G44" si="1">(B7*C7)*$B$1+D7+F7*$B$1</f>
        <v>433.07903148014447</v>
      </c>
      <c r="H7" s="75"/>
      <c r="I7" s="34">
        <f>H7-G7</f>
        <v>-433.07903148014447</v>
      </c>
      <c r="J7" s="39"/>
      <c r="K7" s="40"/>
    </row>
    <row r="8" spans="1:11" x14ac:dyDescent="0.25">
      <c r="A8" s="33" t="s">
        <v>21</v>
      </c>
      <c r="B8" s="9"/>
      <c r="C8" s="10"/>
      <c r="D8" s="10"/>
      <c r="E8" s="10"/>
      <c r="F8" s="10"/>
      <c r="G8" s="35"/>
      <c r="H8" s="75"/>
      <c r="I8" s="42">
        <f>I9</f>
        <v>-600.39916534296037</v>
      </c>
      <c r="J8" s="38">
        <f>588+12</f>
        <v>600</v>
      </c>
      <c r="K8" s="38">
        <f t="shared" si="0"/>
        <v>-0.39916534296037298</v>
      </c>
    </row>
    <row r="9" spans="1:11" x14ac:dyDescent="0.25">
      <c r="A9" s="24" t="s">
        <v>22</v>
      </c>
      <c r="B9" s="3">
        <v>1</v>
      </c>
      <c r="C9" s="3">
        <v>1223</v>
      </c>
      <c r="D9" s="5">
        <f>B9*C9*0.1</f>
        <v>122.30000000000001</v>
      </c>
      <c r="E9" s="6">
        <f>0.1*1.3</f>
        <v>0.13</v>
      </c>
      <c r="F9" s="30">
        <f>E9/$E$47*$F$47</f>
        <v>187.32202166064982</v>
      </c>
      <c r="G9" s="30">
        <f t="shared" si="1"/>
        <v>600.39916534296037</v>
      </c>
      <c r="H9" s="75"/>
      <c r="I9" s="34">
        <f>H9-G9</f>
        <v>-600.39916534296037</v>
      </c>
      <c r="J9" s="39"/>
      <c r="K9" s="40"/>
    </row>
    <row r="10" spans="1:11" x14ac:dyDescent="0.25">
      <c r="A10" s="33" t="s">
        <v>23</v>
      </c>
      <c r="B10" s="11"/>
      <c r="C10" s="11"/>
      <c r="D10" s="10"/>
      <c r="E10" s="10"/>
      <c r="F10" s="10"/>
      <c r="G10" s="35"/>
      <c r="H10" s="75"/>
      <c r="I10" s="42">
        <f>SUM(I11:I14)</f>
        <v>-2817.9442774368235</v>
      </c>
      <c r="J10" s="38">
        <f>2756+62</f>
        <v>2818</v>
      </c>
      <c r="K10" s="38">
        <f t="shared" si="0"/>
        <v>5.5722563176459516E-2</v>
      </c>
    </row>
    <row r="11" spans="1:11" ht="30" x14ac:dyDescent="0.25">
      <c r="A11" s="25" t="s">
        <v>24</v>
      </c>
      <c r="B11" s="3">
        <v>1</v>
      </c>
      <c r="C11" s="26">
        <v>754</v>
      </c>
      <c r="D11" s="14">
        <f>B11*C11*0.1</f>
        <v>75.400000000000006</v>
      </c>
      <c r="E11" s="6">
        <f>0.13*1.3</f>
        <v>0.16900000000000001</v>
      </c>
      <c r="F11" s="30">
        <f>E11/$E$47*$F$47</f>
        <v>243.51862815884479</v>
      </c>
      <c r="G11" s="30">
        <f t="shared" si="1"/>
        <v>413.55881494584844</v>
      </c>
      <c r="H11" s="75"/>
      <c r="I11" s="34">
        <f>H11-G11</f>
        <v>-413.55881494584844</v>
      </c>
      <c r="J11" s="39"/>
      <c r="K11" s="40"/>
    </row>
    <row r="12" spans="1:11" ht="45" x14ac:dyDescent="0.25">
      <c r="A12" s="18" t="s">
        <v>29</v>
      </c>
      <c r="B12" s="3">
        <v>1</v>
      </c>
      <c r="C12" s="3">
        <v>778</v>
      </c>
      <c r="D12" s="14">
        <f t="shared" ref="D12:D44" si="2">B12*C12*0.1</f>
        <v>77.800000000000011</v>
      </c>
      <c r="E12" s="6">
        <f>0.145*1.3</f>
        <v>0.1885</v>
      </c>
      <c r="F12" s="30">
        <f>E12/$E$47*$F$47</f>
        <v>271.61693140794227</v>
      </c>
      <c r="G12" s="30">
        <f t="shared" si="1"/>
        <v>433.62013974729246</v>
      </c>
      <c r="H12" s="75"/>
      <c r="I12" s="34">
        <f>H12-G12</f>
        <v>-433.62013974729246</v>
      </c>
      <c r="J12" s="39"/>
      <c r="K12" s="40"/>
    </row>
    <row r="13" spans="1:11" ht="39" customHeight="1" x14ac:dyDescent="0.25">
      <c r="A13" s="18" t="s">
        <v>25</v>
      </c>
      <c r="B13" s="3">
        <v>1</v>
      </c>
      <c r="C13" s="3">
        <v>1033</v>
      </c>
      <c r="D13" s="14">
        <f t="shared" si="2"/>
        <v>103.30000000000001</v>
      </c>
      <c r="E13" s="6">
        <f>0.2*1.3</f>
        <v>0.26</v>
      </c>
      <c r="F13" s="30">
        <f>E13/$E$47*$F$47</f>
        <v>374.64404332129965</v>
      </c>
      <c r="G13" s="30">
        <f t="shared" si="1"/>
        <v>580.49133068592062</v>
      </c>
      <c r="H13" s="75"/>
      <c r="I13" s="34">
        <f>H13-G13</f>
        <v>-580.49133068592062</v>
      </c>
      <c r="J13" s="39"/>
      <c r="K13" s="40"/>
    </row>
    <row r="14" spans="1:11" x14ac:dyDescent="0.25">
      <c r="A14" s="18" t="s">
        <v>26</v>
      </c>
      <c r="B14" s="3">
        <v>1</v>
      </c>
      <c r="C14" s="3">
        <v>2299</v>
      </c>
      <c r="D14" s="14">
        <f t="shared" si="2"/>
        <v>229.9</v>
      </c>
      <c r="E14" s="6">
        <f>0.6*1.3</f>
        <v>0.78</v>
      </c>
      <c r="F14" s="30">
        <f>E14/$E$47*$F$47</f>
        <v>1123.9321299638989</v>
      </c>
      <c r="G14" s="30">
        <f t="shared" si="1"/>
        <v>1390.2739920577619</v>
      </c>
      <c r="H14" s="75"/>
      <c r="I14" s="34">
        <f>H14-G14</f>
        <v>-1390.2739920577619</v>
      </c>
      <c r="J14" s="39"/>
      <c r="K14" s="40"/>
    </row>
    <row r="15" spans="1:11" x14ac:dyDescent="0.25">
      <c r="A15" s="32" t="s">
        <v>31</v>
      </c>
      <c r="B15" s="32"/>
      <c r="C15" s="32"/>
      <c r="D15" s="10"/>
      <c r="E15" s="10"/>
      <c r="F15" s="10"/>
      <c r="G15" s="35"/>
      <c r="H15" s="75"/>
      <c r="I15" s="42">
        <f>SUM(I16:I18)</f>
        <v>-3431.4126454873649</v>
      </c>
      <c r="J15" s="38">
        <f>3354+77</f>
        <v>3431</v>
      </c>
      <c r="K15" s="38">
        <f t="shared" si="0"/>
        <v>-0.41264548736489814</v>
      </c>
    </row>
    <row r="16" spans="1:11" x14ac:dyDescent="0.25">
      <c r="A16" s="18" t="s">
        <v>32</v>
      </c>
      <c r="B16" s="3">
        <v>1</v>
      </c>
      <c r="C16" s="3">
        <v>1224</v>
      </c>
      <c r="D16" s="5">
        <f t="shared" ref="D16" si="3">B16*C16*0.1</f>
        <v>122.4</v>
      </c>
      <c r="E16" s="6">
        <f>0.1*1.3</f>
        <v>0.13</v>
      </c>
      <c r="F16" s="30">
        <f>E16/$E$47*$F$47</f>
        <v>187.32202166064982</v>
      </c>
      <c r="G16" s="30">
        <f t="shared" ref="G16" si="4">(B16*C16)*$B$1+D16+F16*$B$1</f>
        <v>600.83816534296034</v>
      </c>
      <c r="H16" s="75"/>
      <c r="I16" s="34">
        <f>H16-G16</f>
        <v>-600.83816534296034</v>
      </c>
      <c r="J16" s="39"/>
      <c r="K16" s="40"/>
    </row>
    <row r="17" spans="1:11" ht="30" x14ac:dyDescent="0.25">
      <c r="A17" s="18" t="s">
        <v>33</v>
      </c>
      <c r="B17" s="3">
        <v>1</v>
      </c>
      <c r="C17" s="3">
        <v>1182</v>
      </c>
      <c r="D17" s="14">
        <f t="shared" si="2"/>
        <v>118.2</v>
      </c>
      <c r="E17" s="6">
        <f>0.5*1.3</f>
        <v>0.65</v>
      </c>
      <c r="F17" s="30">
        <f>E17/$E$47*$F$47</f>
        <v>936.61010830324915</v>
      </c>
      <c r="G17" s="30">
        <f t="shared" si="1"/>
        <v>836.40882671480153</v>
      </c>
      <c r="H17" s="75"/>
      <c r="I17" s="34">
        <f>H17-G17</f>
        <v>-836.40882671480153</v>
      </c>
      <c r="J17" s="39"/>
      <c r="K17" s="40"/>
    </row>
    <row r="18" spans="1:11" ht="30" x14ac:dyDescent="0.25">
      <c r="A18" s="18" t="s">
        <v>34</v>
      </c>
      <c r="B18" s="3">
        <v>1</v>
      </c>
      <c r="C18" s="3">
        <v>3096</v>
      </c>
      <c r="D18" s="14">
        <f t="shared" si="2"/>
        <v>309.60000000000002</v>
      </c>
      <c r="E18" s="6">
        <f>1*1.3</f>
        <v>1.3</v>
      </c>
      <c r="F18" s="30">
        <f>E18/$E$47*$F$47</f>
        <v>1873.2202166064983</v>
      </c>
      <c r="G18" s="30">
        <f t="shared" si="1"/>
        <v>1994.1656534296033</v>
      </c>
      <c r="H18" s="75"/>
      <c r="I18" s="34">
        <f>H18-G18</f>
        <v>-1994.1656534296033</v>
      </c>
      <c r="J18" s="39"/>
      <c r="K18" s="40"/>
    </row>
    <row r="19" spans="1:11" x14ac:dyDescent="0.25">
      <c r="A19" s="32" t="s">
        <v>35</v>
      </c>
      <c r="B19" s="32"/>
      <c r="C19" s="32"/>
      <c r="D19" s="10"/>
      <c r="E19" s="10"/>
      <c r="F19" s="10"/>
      <c r="G19" s="35"/>
      <c r="H19" s="75"/>
      <c r="I19" s="42">
        <f>SUM(I20:I21)</f>
        <v>-1801.9031574007222</v>
      </c>
      <c r="J19" s="38">
        <v>1802</v>
      </c>
      <c r="K19" s="38">
        <f t="shared" si="0"/>
        <v>9.6842599277806585E-2</v>
      </c>
    </row>
    <row r="20" spans="1:11" ht="60" x14ac:dyDescent="0.25">
      <c r="A20" s="18" t="s">
        <v>36</v>
      </c>
      <c r="B20" s="3">
        <v>1</v>
      </c>
      <c r="C20" s="3">
        <v>2217</v>
      </c>
      <c r="D20" s="5">
        <f t="shared" si="2"/>
        <v>221.70000000000002</v>
      </c>
      <c r="E20" s="6">
        <f>0.3*1.3+0.25*1.3</f>
        <v>0.71500000000000008</v>
      </c>
      <c r="F20" s="30">
        <f>E20/$E$47*$F$47</f>
        <v>1030.2711191335741</v>
      </c>
      <c r="G20" s="30">
        <f t="shared" si="1"/>
        <v>1322.5249093862817</v>
      </c>
      <c r="H20" s="75"/>
      <c r="I20" s="34">
        <f>H20-G20</f>
        <v>-1322.5249093862817</v>
      </c>
      <c r="J20" s="39"/>
      <c r="K20" s="40"/>
    </row>
    <row r="21" spans="1:11" x14ac:dyDescent="0.25">
      <c r="A21" s="31" t="s">
        <v>37</v>
      </c>
      <c r="B21" s="3">
        <v>1</v>
      </c>
      <c r="C21" s="26">
        <v>875</v>
      </c>
      <c r="D21" s="5">
        <f t="shared" si="2"/>
        <v>87.5</v>
      </c>
      <c r="E21" s="6">
        <f>0.15*1.3</f>
        <v>0.19500000000000001</v>
      </c>
      <c r="F21" s="30">
        <f>E21/$E$47*$F$47</f>
        <v>280.98303249097472</v>
      </c>
      <c r="G21" s="30">
        <f t="shared" si="1"/>
        <v>479.37824801444043</v>
      </c>
      <c r="H21" s="75"/>
      <c r="I21" s="34">
        <f>H21-G21</f>
        <v>-479.37824801444043</v>
      </c>
      <c r="J21" s="39"/>
      <c r="K21" s="40"/>
    </row>
    <row r="22" spans="1:11" x14ac:dyDescent="0.25">
      <c r="A22" s="32" t="s">
        <v>38</v>
      </c>
      <c r="B22" s="32"/>
      <c r="C22" s="32"/>
      <c r="D22" s="10"/>
      <c r="E22" s="10"/>
      <c r="F22" s="10"/>
      <c r="G22" s="35"/>
      <c r="H22" s="75"/>
      <c r="I22" s="42">
        <f>SUM(I23:I25)</f>
        <v>-1456.5935589891697</v>
      </c>
      <c r="J22" s="38">
        <f>1425+32</f>
        <v>1457</v>
      </c>
      <c r="K22" s="38">
        <f t="shared" si="0"/>
        <v>0.40644101083034911</v>
      </c>
    </row>
    <row r="23" spans="1:11" ht="30" x14ac:dyDescent="0.25">
      <c r="A23" s="31" t="s">
        <v>39</v>
      </c>
      <c r="B23" s="3">
        <v>1</v>
      </c>
      <c r="C23" s="3">
        <v>1087</v>
      </c>
      <c r="D23" s="5">
        <f t="shared" ref="D23:D25" si="5">B23*C23*0.1</f>
        <v>108.7</v>
      </c>
      <c r="E23" s="6">
        <f>0.25*1.3</f>
        <v>0.32500000000000001</v>
      </c>
      <c r="F23" s="30">
        <f>E23/$E$47*$F$47</f>
        <v>468.30505415162457</v>
      </c>
      <c r="G23" s="30">
        <f t="shared" ref="G23:G25" si="6">(B23*C23)*$B$1+D23+F23*$B$1</f>
        <v>635.9484133574008</v>
      </c>
      <c r="H23" s="75"/>
      <c r="I23" s="34">
        <f>H23-G23</f>
        <v>-635.9484133574008</v>
      </c>
      <c r="J23" s="39"/>
      <c r="K23" s="40"/>
    </row>
    <row r="24" spans="1:11" ht="30" x14ac:dyDescent="0.25">
      <c r="A24" s="31" t="s">
        <v>40</v>
      </c>
      <c r="B24" s="3">
        <v>1</v>
      </c>
      <c r="C24" s="26">
        <v>638</v>
      </c>
      <c r="D24" s="14">
        <f t="shared" si="5"/>
        <v>63.800000000000004</v>
      </c>
      <c r="E24" s="6">
        <f>0.2*1.3</f>
        <v>0.26</v>
      </c>
      <c r="F24" s="30">
        <f>E24/$E$47*$F$47</f>
        <v>374.64404332129965</v>
      </c>
      <c r="G24" s="30">
        <f t="shared" si="6"/>
        <v>407.08633068592059</v>
      </c>
      <c r="H24" s="75"/>
      <c r="I24" s="34">
        <f>H24-G24</f>
        <v>-407.08633068592059</v>
      </c>
      <c r="J24" s="39"/>
      <c r="K24" s="40"/>
    </row>
    <row r="25" spans="1:11" ht="30" x14ac:dyDescent="0.25">
      <c r="A25" s="19" t="s">
        <v>24</v>
      </c>
      <c r="B25" s="20">
        <v>1</v>
      </c>
      <c r="C25" s="22">
        <v>754</v>
      </c>
      <c r="D25" s="14">
        <f t="shared" si="5"/>
        <v>75.400000000000006</v>
      </c>
      <c r="E25" s="6">
        <f>0.13*1.3</f>
        <v>0.16900000000000001</v>
      </c>
      <c r="F25" s="30">
        <f>E25/$E$47*$F$47</f>
        <v>243.51862815884479</v>
      </c>
      <c r="G25" s="30">
        <f t="shared" si="6"/>
        <v>413.55881494584844</v>
      </c>
      <c r="H25" s="75"/>
      <c r="I25" s="34">
        <f>H25-G25</f>
        <v>-413.55881494584844</v>
      </c>
      <c r="J25" s="39"/>
      <c r="K25" s="40"/>
    </row>
    <row r="26" spans="1:11" x14ac:dyDescent="0.25">
      <c r="A26" s="32" t="s">
        <v>41</v>
      </c>
      <c r="B26" s="32"/>
      <c r="C26" s="32"/>
      <c r="D26" s="10"/>
      <c r="E26" s="10"/>
      <c r="F26" s="10"/>
      <c r="G26" s="35"/>
      <c r="H26" s="75"/>
      <c r="I26" s="42">
        <f>I27</f>
        <v>-479.37824801444043</v>
      </c>
      <c r="J26" s="38">
        <f>464+15</f>
        <v>479</v>
      </c>
      <c r="K26" s="38">
        <f t="shared" si="0"/>
        <v>-0.37824801444043032</v>
      </c>
    </row>
    <row r="27" spans="1:11" x14ac:dyDescent="0.25">
      <c r="A27" s="31" t="s">
        <v>37</v>
      </c>
      <c r="B27" s="3">
        <v>1</v>
      </c>
      <c r="C27" s="26">
        <v>875</v>
      </c>
      <c r="D27" s="5">
        <f t="shared" ref="D27" si="7">B27*C27*0.1</f>
        <v>87.5</v>
      </c>
      <c r="E27" s="6">
        <f>0.15*1.3</f>
        <v>0.19500000000000001</v>
      </c>
      <c r="F27" s="30">
        <f>E27/$E$47*$F$47</f>
        <v>280.98303249097472</v>
      </c>
      <c r="G27" s="30">
        <f t="shared" ref="G27" si="8">(B27*C27)*$B$1+D27+F27*$B$1</f>
        <v>479.37824801444043</v>
      </c>
      <c r="H27" s="75"/>
      <c r="I27" s="34">
        <f>H27-G27</f>
        <v>-479.37824801444043</v>
      </c>
      <c r="J27" s="39"/>
      <c r="K27" s="40"/>
    </row>
    <row r="28" spans="1:11" x14ac:dyDescent="0.25">
      <c r="A28" s="32" t="s">
        <v>42</v>
      </c>
      <c r="B28" s="32"/>
      <c r="C28" s="32"/>
      <c r="D28" s="10"/>
      <c r="E28" s="10"/>
      <c r="F28" s="10"/>
      <c r="G28" s="35"/>
      <c r="H28" s="75"/>
      <c r="I28" s="42">
        <f>SUM(I29:I31)</f>
        <v>-1903.1079408664264</v>
      </c>
      <c r="J28" s="38">
        <f>500+1362+41</f>
        <v>1903</v>
      </c>
      <c r="K28" s="38">
        <f t="shared" si="0"/>
        <v>-0.10794086642636103</v>
      </c>
    </row>
    <row r="29" spans="1:11" ht="30" x14ac:dyDescent="0.25">
      <c r="A29" s="18" t="s">
        <v>43</v>
      </c>
      <c r="B29" s="3">
        <v>1</v>
      </c>
      <c r="C29" s="3">
        <v>1571</v>
      </c>
      <c r="D29" s="5">
        <f t="shared" ref="D29:D31" si="9">B29*C29*0.1</f>
        <v>157.10000000000002</v>
      </c>
      <c r="E29" s="6">
        <f>0.36*1.3</f>
        <v>0.46799999999999997</v>
      </c>
      <c r="F29" s="30">
        <f>E29/$E$47*$F$47</f>
        <v>674.35927797833926</v>
      </c>
      <c r="G29" s="30">
        <f t="shared" ref="G29:G31" si="10">(B29*C29)*$B$1+D29+F29*$B$1</f>
        <v>918.27679523465713</v>
      </c>
      <c r="H29" s="75"/>
      <c r="I29" s="34">
        <f>H29-G29</f>
        <v>-918.27679523465713</v>
      </c>
      <c r="J29" s="39"/>
      <c r="K29" s="40"/>
    </row>
    <row r="30" spans="1:11" ht="60" x14ac:dyDescent="0.25">
      <c r="A30" s="18" t="s">
        <v>44</v>
      </c>
      <c r="B30" s="3">
        <v>1</v>
      </c>
      <c r="C30" s="3">
        <v>1012</v>
      </c>
      <c r="D30" s="14">
        <f t="shared" si="9"/>
        <v>101.2</v>
      </c>
      <c r="E30" s="6">
        <f>0.2*1.3</f>
        <v>0.26</v>
      </c>
      <c r="F30" s="30">
        <f>E30/$E$47*$F$47</f>
        <v>374.64404332129965</v>
      </c>
      <c r="G30" s="30">
        <f t="shared" si="10"/>
        <v>571.27233068592068</v>
      </c>
      <c r="H30" s="75"/>
      <c r="I30" s="34">
        <f>H30-G30</f>
        <v>-571.27233068592068</v>
      </c>
      <c r="J30" s="39"/>
      <c r="K30" s="40"/>
    </row>
    <row r="31" spans="1:11" ht="45" x14ac:dyDescent="0.25">
      <c r="A31" s="18" t="s">
        <v>45</v>
      </c>
      <c r="B31" s="20">
        <v>1</v>
      </c>
      <c r="C31" s="22">
        <v>754</v>
      </c>
      <c r="D31" s="14">
        <f t="shared" si="9"/>
        <v>75.400000000000006</v>
      </c>
      <c r="E31" s="6">
        <f>0.13*1.3</f>
        <v>0.16900000000000001</v>
      </c>
      <c r="F31" s="30">
        <f>E31/$E$47*$F$47</f>
        <v>243.51862815884479</v>
      </c>
      <c r="G31" s="30">
        <f t="shared" si="10"/>
        <v>413.55881494584844</v>
      </c>
      <c r="H31" s="75"/>
      <c r="I31" s="34">
        <f>H31-G31</f>
        <v>-413.55881494584844</v>
      </c>
      <c r="J31" s="39"/>
      <c r="K31" s="40"/>
    </row>
    <row r="32" spans="1:11" x14ac:dyDescent="0.25">
      <c r="A32" s="32" t="s">
        <v>46</v>
      </c>
      <c r="B32" s="32"/>
      <c r="C32" s="32"/>
      <c r="D32" s="10"/>
      <c r="E32" s="10"/>
      <c r="F32" s="10"/>
      <c r="G32" s="35"/>
      <c r="H32" s="75"/>
      <c r="I32" s="42">
        <f>SUM(I33:I34)</f>
        <v>-1462.0143936462096</v>
      </c>
      <c r="J32" s="38">
        <f>950+438+77</f>
        <v>1465</v>
      </c>
      <c r="K32" s="38">
        <f>J32+I32</f>
        <v>2.9856063537904447</v>
      </c>
    </row>
    <row r="33" spans="1:12" ht="30" x14ac:dyDescent="0.25">
      <c r="A33" s="18" t="s">
        <v>49</v>
      </c>
      <c r="B33" s="3">
        <v>1</v>
      </c>
      <c r="C33" s="3">
        <v>998</v>
      </c>
      <c r="D33" s="5">
        <f t="shared" ref="D33:D34" si="11">B33*C33*0.1</f>
        <v>99.800000000000011</v>
      </c>
      <c r="E33" s="6">
        <f>0.12*1.3</f>
        <v>0.156</v>
      </c>
      <c r="F33" s="30">
        <f>E33/$E$47*$F$47</f>
        <v>224.78642599277981</v>
      </c>
      <c r="G33" s="30">
        <f t="shared" ref="G33:G34" si="12">(B33*C33)*$B$1+D33+F33*$B$1</f>
        <v>514.32459841155242</v>
      </c>
      <c r="H33" s="75"/>
      <c r="I33" s="34">
        <f>H33-G33</f>
        <v>-514.32459841155242</v>
      </c>
      <c r="J33" s="39"/>
      <c r="K33" s="40"/>
    </row>
    <row r="34" spans="1:12" ht="45" x14ac:dyDescent="0.25">
      <c r="A34" s="18" t="s">
        <v>50</v>
      </c>
      <c r="B34" s="3">
        <v>1</v>
      </c>
      <c r="C34" s="3">
        <v>1638</v>
      </c>
      <c r="D34" s="5">
        <f t="shared" si="11"/>
        <v>163.80000000000001</v>
      </c>
      <c r="E34" s="6">
        <f>0.36*1.3</f>
        <v>0.46799999999999997</v>
      </c>
      <c r="F34" s="30">
        <f>E34/$E$47*$F$47</f>
        <v>674.35927797833926</v>
      </c>
      <c r="G34" s="30">
        <f t="shared" si="12"/>
        <v>947.68979523465714</v>
      </c>
      <c r="H34" s="75"/>
      <c r="I34" s="34">
        <f>H34-G34</f>
        <v>-947.68979523465714</v>
      </c>
      <c r="J34" s="39"/>
      <c r="K34" s="40"/>
      <c r="L34" t="s">
        <v>66</v>
      </c>
    </row>
    <row r="35" spans="1:12" x14ac:dyDescent="0.25">
      <c r="A35" s="32" t="s">
        <v>12</v>
      </c>
      <c r="B35" s="32"/>
      <c r="C35" s="32"/>
      <c r="D35" s="10"/>
      <c r="E35" s="10"/>
      <c r="F35" s="10"/>
      <c r="G35" s="35"/>
      <c r="H35" s="75"/>
      <c r="I35" s="42">
        <f>SUM(I36:I37)</f>
        <v>-1848.0801062093865</v>
      </c>
      <c r="J35" s="38">
        <f>1807+42</f>
        <v>1849</v>
      </c>
      <c r="K35" s="38">
        <f t="shared" ref="K35:K41" si="13">J35+I35</f>
        <v>0.91989379061351428</v>
      </c>
    </row>
    <row r="36" spans="1:12" x14ac:dyDescent="0.25">
      <c r="A36" s="31" t="s">
        <v>58</v>
      </c>
      <c r="B36" s="3">
        <v>1</v>
      </c>
      <c r="C36" s="3">
        <v>916</v>
      </c>
      <c r="D36" s="5">
        <f t="shared" ref="D36:D37" si="14">B36*C36*0.1</f>
        <v>91.600000000000009</v>
      </c>
      <c r="E36" s="5">
        <v>0.312</v>
      </c>
      <c r="F36" s="30">
        <f>E36/$E$47*$F$47</f>
        <v>449.57285198555962</v>
      </c>
      <c r="G36" s="30">
        <f t="shared" ref="G36:G37" si="15">(B36*C36)*$B$1+D36+F36*$B$1</f>
        <v>554.52919682310471</v>
      </c>
      <c r="H36" s="75"/>
      <c r="I36" s="34">
        <f>H36-G36</f>
        <v>-554.52919682310471</v>
      </c>
      <c r="J36" s="39"/>
      <c r="K36" s="40"/>
    </row>
    <row r="37" spans="1:12" ht="31.9" customHeight="1" x14ac:dyDescent="0.25">
      <c r="A37" s="31" t="s">
        <v>57</v>
      </c>
      <c r="B37" s="3">
        <v>1</v>
      </c>
      <c r="C37" s="3">
        <v>2151</v>
      </c>
      <c r="D37" s="5">
        <f t="shared" si="14"/>
        <v>215.10000000000002</v>
      </c>
      <c r="E37" s="14">
        <v>0.71500000000000008</v>
      </c>
      <c r="F37" s="30">
        <f>E37/$E$47*$F$47</f>
        <v>1030.2711191335741</v>
      </c>
      <c r="G37" s="30">
        <f t="shared" si="15"/>
        <v>1293.5509093862818</v>
      </c>
      <c r="H37" s="75"/>
      <c r="I37" s="34">
        <f>H37-G37</f>
        <v>-1293.5509093862818</v>
      </c>
      <c r="J37" s="39"/>
      <c r="K37" s="40"/>
    </row>
    <row r="38" spans="1:12" x14ac:dyDescent="0.25">
      <c r="A38" s="32" t="s">
        <v>51</v>
      </c>
      <c r="B38" s="32"/>
      <c r="C38" s="32"/>
      <c r="D38" s="10"/>
      <c r="E38" s="10"/>
      <c r="F38" s="10"/>
      <c r="G38" s="35"/>
      <c r="H38" s="75"/>
      <c r="I38" s="42">
        <f>SUM(I39:I40)</f>
        <v>-1178.9816613718413</v>
      </c>
      <c r="J38" s="38">
        <v>1153</v>
      </c>
      <c r="K38" s="38">
        <f t="shared" si="13"/>
        <v>-25.981661371841255</v>
      </c>
    </row>
    <row r="39" spans="1:12" x14ac:dyDescent="0.25">
      <c r="A39" s="18" t="s">
        <v>52</v>
      </c>
      <c r="B39" s="3">
        <v>1</v>
      </c>
      <c r="C39" s="3">
        <v>1064</v>
      </c>
      <c r="D39" s="5">
        <f t="shared" ref="D39:D40" si="16">B39*C39*0.1</f>
        <v>106.4</v>
      </c>
      <c r="E39" s="5">
        <v>0.26</v>
      </c>
      <c r="F39" s="30">
        <f>E39/$E$47*$F$47</f>
        <v>374.64404332129965</v>
      </c>
      <c r="G39" s="30">
        <f t="shared" ref="G39:G40" si="17">(B39*C39)*$B$1+D39+F39*$B$1</f>
        <v>594.10033068592065</v>
      </c>
      <c r="H39" s="75"/>
      <c r="I39" s="34">
        <f>H39-G39</f>
        <v>-594.10033068592065</v>
      </c>
      <c r="J39" s="39"/>
      <c r="K39" s="40"/>
    </row>
    <row r="40" spans="1:12" ht="45" x14ac:dyDescent="0.25">
      <c r="A40" s="31" t="s">
        <v>53</v>
      </c>
      <c r="B40" s="3">
        <v>1</v>
      </c>
      <c r="C40" s="3">
        <v>1043</v>
      </c>
      <c r="D40" s="5">
        <f t="shared" si="16"/>
        <v>104.30000000000001</v>
      </c>
      <c r="E40" s="14">
        <v>0.26</v>
      </c>
      <c r="F40" s="30">
        <f>E40/$E$47*$F$47</f>
        <v>374.64404332129965</v>
      </c>
      <c r="G40" s="30">
        <f t="shared" si="17"/>
        <v>584.8813306859206</v>
      </c>
      <c r="H40" s="75"/>
      <c r="I40" s="34">
        <f>H40-G40</f>
        <v>-584.8813306859206</v>
      </c>
      <c r="J40" s="39"/>
      <c r="K40" s="40"/>
    </row>
    <row r="41" spans="1:12" x14ac:dyDescent="0.25">
      <c r="A41" s="32" t="s">
        <v>54</v>
      </c>
      <c r="B41" s="32"/>
      <c r="C41" s="32"/>
      <c r="D41" s="10"/>
      <c r="E41" s="10"/>
      <c r="F41" s="10"/>
      <c r="G41" s="35"/>
      <c r="H41" s="75"/>
      <c r="I41" s="42">
        <f>SUM(I42:I44)</f>
        <v>-1253.8262853790616</v>
      </c>
      <c r="J41" s="38">
        <f>1226+28</f>
        <v>1254</v>
      </c>
      <c r="K41" s="38">
        <f t="shared" si="13"/>
        <v>0.17371462093842638</v>
      </c>
    </row>
    <row r="42" spans="1:12" ht="30" x14ac:dyDescent="0.25">
      <c r="A42" s="31" t="s">
        <v>55</v>
      </c>
      <c r="B42" s="3">
        <v>1</v>
      </c>
      <c r="C42" s="3">
        <v>778</v>
      </c>
      <c r="D42" s="5">
        <f t="shared" ref="D42:D43" si="18">B42*C42*0.1</f>
        <v>77.800000000000011</v>
      </c>
      <c r="E42" s="5">
        <v>0.1885</v>
      </c>
      <c r="F42" s="30">
        <f>E42/$E$47*$F$47</f>
        <v>271.61693140794227</v>
      </c>
      <c r="G42" s="30">
        <f t="shared" ref="G42:G43" si="19">(B42*C42)*$B$1+D42+F42*$B$1</f>
        <v>433.62013974729246</v>
      </c>
      <c r="H42" s="75"/>
      <c r="I42" s="34">
        <f>H42-G42</f>
        <v>-433.62013974729246</v>
      </c>
      <c r="J42" s="39"/>
      <c r="K42" s="40"/>
    </row>
    <row r="43" spans="1:12" ht="30" x14ac:dyDescent="0.25">
      <c r="A43" s="31" t="s">
        <v>56</v>
      </c>
      <c r="B43" s="3">
        <v>1</v>
      </c>
      <c r="C43" s="3">
        <v>637</v>
      </c>
      <c r="D43" s="5">
        <f t="shared" si="18"/>
        <v>63.7</v>
      </c>
      <c r="E43" s="14">
        <v>0.26</v>
      </c>
      <c r="F43" s="30">
        <f>E43/$E$47*$F$47</f>
        <v>374.64404332129965</v>
      </c>
      <c r="G43" s="30">
        <f t="shared" si="19"/>
        <v>406.64733068592062</v>
      </c>
      <c r="H43" s="75"/>
      <c r="I43" s="34">
        <f>H43-G43</f>
        <v>-406.64733068592062</v>
      </c>
      <c r="J43" s="39"/>
      <c r="K43" s="40"/>
    </row>
    <row r="44" spans="1:12" ht="30" x14ac:dyDescent="0.25">
      <c r="A44" s="19" t="s">
        <v>24</v>
      </c>
      <c r="B44" s="20">
        <v>1</v>
      </c>
      <c r="C44" s="22">
        <v>754</v>
      </c>
      <c r="D44" s="5">
        <f t="shared" si="2"/>
        <v>75.400000000000006</v>
      </c>
      <c r="E44" s="14">
        <v>0.16900000000000001</v>
      </c>
      <c r="F44" s="30">
        <f>E44/$E$47*$F$47</f>
        <v>243.51862815884479</v>
      </c>
      <c r="G44" s="30">
        <f t="shared" si="1"/>
        <v>413.55881494584844</v>
      </c>
      <c r="H44" s="75"/>
      <c r="I44" s="34">
        <f>H44-G44</f>
        <v>-413.55881494584844</v>
      </c>
      <c r="J44" s="39"/>
      <c r="K44" s="40"/>
    </row>
    <row r="45" spans="1:12" x14ac:dyDescent="0.25">
      <c r="A45" s="9" t="s">
        <v>30</v>
      </c>
      <c r="B45" s="9"/>
      <c r="C45" s="10"/>
      <c r="D45" s="10"/>
      <c r="E45" s="10"/>
      <c r="F45" s="10"/>
      <c r="G45" s="10"/>
      <c r="H45" s="75"/>
      <c r="I45" s="43"/>
      <c r="J45" s="38"/>
      <c r="K45" s="38"/>
    </row>
    <row r="46" spans="1:12" x14ac:dyDescent="0.25">
      <c r="A46" s="4"/>
      <c r="B46" s="4"/>
      <c r="C46" s="5"/>
      <c r="D46" s="5">
        <f t="shared" ref="D46" si="20">B46*C46*0.1</f>
        <v>0</v>
      </c>
      <c r="E46" s="5">
        <v>4.2560000000000002</v>
      </c>
      <c r="F46" s="30">
        <f>E46/$E$47*$F$47</f>
        <v>6132.6348014440437</v>
      </c>
      <c r="G46" s="30">
        <f t="shared" ref="G46" si="21">(B46*C46)*$B$1+D46+F46*$B$1</f>
        <v>2078.9631976895312</v>
      </c>
      <c r="H46" s="75"/>
      <c r="I46" s="28"/>
      <c r="J46" s="28"/>
      <c r="K46" s="28"/>
    </row>
    <row r="47" spans="1:12" x14ac:dyDescent="0.25">
      <c r="A47" s="27"/>
      <c r="B47" s="27"/>
      <c r="C47" s="28"/>
      <c r="D47" s="28"/>
      <c r="E47" s="29">
        <f>SUM(E6:E46)</f>
        <v>13.85</v>
      </c>
      <c r="F47" s="29">
        <v>19957</v>
      </c>
      <c r="G47" s="28">
        <f>F47/E47</f>
        <v>1440.9386281588447</v>
      </c>
      <c r="H47" s="75"/>
      <c r="I47" s="28"/>
      <c r="J47" s="28"/>
      <c r="K47" s="28"/>
    </row>
    <row r="49" spans="1:5" ht="58.9" customHeight="1" x14ac:dyDescent="0.25">
      <c r="A49" s="118" t="s">
        <v>64</v>
      </c>
      <c r="B49" s="119"/>
      <c r="C49" s="119"/>
      <c r="D49" s="119"/>
      <c r="E49" s="119"/>
    </row>
    <row r="52" spans="1:5" ht="28.5" x14ac:dyDescent="0.45">
      <c r="A52" s="36" t="s">
        <v>48</v>
      </c>
    </row>
    <row r="53" spans="1:5" x14ac:dyDescent="0.25">
      <c r="A53" s="32" t="s">
        <v>46</v>
      </c>
    </row>
    <row r="54" spans="1:5" ht="45" x14ac:dyDescent="0.25">
      <c r="A54" s="31" t="s">
        <v>47</v>
      </c>
    </row>
  </sheetData>
  <mergeCells count="1">
    <mergeCell ref="A49:E49"/>
  </mergeCells>
  <hyperlinks>
    <hyperlink ref="A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workbookViewId="0">
      <selection activeCell="B25" sqref="B25"/>
    </sheetView>
  </sheetViews>
  <sheetFormatPr defaultRowHeight="15" x14ac:dyDescent="0.25"/>
  <cols>
    <col min="1" max="1" width="27.28515625" customWidth="1"/>
    <col min="2" max="2" width="13.140625" style="41" customWidth="1"/>
    <col min="3" max="3" width="8.28515625" customWidth="1"/>
    <col min="4" max="4" width="7.7109375" customWidth="1"/>
    <col min="5" max="5" width="15.28515625" customWidth="1"/>
    <col min="6" max="6" width="10.7109375" customWidth="1"/>
    <col min="7" max="7" width="12" customWidth="1"/>
    <col min="8" max="8" width="2.710937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0.32</v>
      </c>
      <c r="C1" s="1" t="s">
        <v>67</v>
      </c>
    </row>
    <row r="2" spans="1:11" ht="21" x14ac:dyDescent="0.35">
      <c r="A2" s="8"/>
    </row>
    <row r="3" spans="1:11" ht="30" x14ac:dyDescent="0.25">
      <c r="A3" s="3"/>
      <c r="B3" s="21" t="s">
        <v>28</v>
      </c>
      <c r="C3" s="21" t="s">
        <v>60</v>
      </c>
      <c r="D3" s="21" t="s">
        <v>59</v>
      </c>
      <c r="E3" s="21" t="s">
        <v>27</v>
      </c>
      <c r="F3" s="21" t="s">
        <v>61</v>
      </c>
      <c r="G3" s="21" t="s">
        <v>65</v>
      </c>
      <c r="H3" s="74"/>
      <c r="I3" s="21" t="s">
        <v>62</v>
      </c>
      <c r="J3" s="6" t="s">
        <v>17</v>
      </c>
      <c r="K3" s="21" t="s">
        <v>62</v>
      </c>
    </row>
    <row r="4" spans="1:11" x14ac:dyDescent="0.25">
      <c r="A4" s="33" t="s">
        <v>68</v>
      </c>
      <c r="B4" s="46"/>
      <c r="C4" s="33"/>
      <c r="D4" s="10"/>
      <c r="E4" s="10"/>
      <c r="F4" s="10"/>
      <c r="G4" s="35"/>
      <c r="H4" s="75"/>
      <c r="I4" s="42">
        <f>I5</f>
        <v>-787.98318894009219</v>
      </c>
      <c r="J4" s="38">
        <v>814</v>
      </c>
      <c r="K4" s="38">
        <f t="shared" ref="K4:K32" si="0">J4+I4</f>
        <v>26.016811059907809</v>
      </c>
    </row>
    <row r="5" spans="1:11" ht="45" x14ac:dyDescent="0.25">
      <c r="A5" s="31" t="s">
        <v>69</v>
      </c>
      <c r="B5" s="47">
        <v>1</v>
      </c>
      <c r="C5" s="26">
        <v>1953</v>
      </c>
      <c r="D5" s="5">
        <f>B5*C5*0.1</f>
        <v>195.3</v>
      </c>
      <c r="E5" s="47">
        <f>0.17*1.3</f>
        <v>0.22100000000000003</v>
      </c>
      <c r="F5" s="30">
        <f>E5/$E$50*$F$50</f>
        <v>314.14746543778807</v>
      </c>
      <c r="G5" s="30">
        <f>(B5*C5)*$B$1+D5*$B$1+F5*$B$1</f>
        <v>787.98318894009219</v>
      </c>
      <c r="H5" s="75"/>
      <c r="I5" s="34">
        <f>H5-G5</f>
        <v>-787.98318894009219</v>
      </c>
      <c r="J5" s="39"/>
      <c r="K5" s="40"/>
    </row>
    <row r="6" spans="1:11" x14ac:dyDescent="0.25">
      <c r="A6" s="33" t="s">
        <v>70</v>
      </c>
      <c r="B6" s="46"/>
      <c r="C6" s="33"/>
      <c r="D6" s="10"/>
      <c r="E6" s="10"/>
      <c r="F6" s="10"/>
      <c r="G6" s="10"/>
      <c r="H6" s="75"/>
      <c r="I6" s="42">
        <f>SUM(I7:I12)</f>
        <v>-2986.6192811059909</v>
      </c>
      <c r="J6" s="38">
        <v>3187</v>
      </c>
      <c r="K6" s="38">
        <f t="shared" si="0"/>
        <v>200.38071889400908</v>
      </c>
    </row>
    <row r="7" spans="1:11" x14ac:dyDescent="0.25">
      <c r="A7" s="3" t="s">
        <v>71</v>
      </c>
      <c r="B7" s="6">
        <v>1</v>
      </c>
      <c r="C7" s="3">
        <v>2151</v>
      </c>
      <c r="D7" s="14">
        <f>B7*C7*0.1</f>
        <v>215.10000000000002</v>
      </c>
      <c r="E7" s="47">
        <f>0.3*1.3+0.25*1.3</f>
        <v>0.71500000000000008</v>
      </c>
      <c r="F7" s="30">
        <f t="shared" ref="F7:F12" si="1">E7/$E$50*$F$50</f>
        <v>1016.3594470046083</v>
      </c>
      <c r="G7" s="30">
        <f t="shared" ref="G7:G49" si="2">(B7*C7)*$B$1+D7*$B$1+F7*$B$1</f>
        <v>1082.3870230414748</v>
      </c>
      <c r="H7" s="75"/>
      <c r="I7" s="34">
        <f t="shared" ref="I7:I12" si="3">H7-G7</f>
        <v>-1082.3870230414748</v>
      </c>
      <c r="J7" s="39"/>
      <c r="K7" s="40"/>
    </row>
    <row r="8" spans="1:11" x14ac:dyDescent="0.25">
      <c r="A8" s="3" t="s">
        <v>72</v>
      </c>
      <c r="B8" s="6">
        <v>1</v>
      </c>
      <c r="C8" s="3">
        <v>1044</v>
      </c>
      <c r="D8" s="14">
        <f t="shared" ref="D8:D9" si="4">B8*C8*0.1</f>
        <v>104.4</v>
      </c>
      <c r="E8" s="47">
        <f>0.2*1.3</f>
        <v>0.26</v>
      </c>
      <c r="F8" s="30">
        <f t="shared" si="1"/>
        <v>369.58525345622121</v>
      </c>
      <c r="G8" s="30">
        <f t="shared" si="2"/>
        <v>485.75528110599078</v>
      </c>
      <c r="H8" s="75"/>
      <c r="I8" s="34">
        <f t="shared" si="3"/>
        <v>-485.75528110599078</v>
      </c>
      <c r="J8" s="39"/>
      <c r="K8" s="40"/>
    </row>
    <row r="9" spans="1:11" x14ac:dyDescent="0.25">
      <c r="A9" s="3" t="s">
        <v>73</v>
      </c>
      <c r="B9" s="6">
        <v>1</v>
      </c>
      <c r="C9" s="3">
        <v>1054</v>
      </c>
      <c r="D9" s="14">
        <f t="shared" si="4"/>
        <v>105.4</v>
      </c>
      <c r="E9" s="47">
        <f>0.2*1.3</f>
        <v>0.26</v>
      </c>
      <c r="F9" s="30">
        <f t="shared" si="1"/>
        <v>369.58525345622121</v>
      </c>
      <c r="G9" s="30">
        <f t="shared" si="2"/>
        <v>489.27528110599081</v>
      </c>
      <c r="H9" s="75"/>
      <c r="I9" s="34">
        <f t="shared" si="3"/>
        <v>-489.27528110599081</v>
      </c>
      <c r="J9" s="39"/>
      <c r="K9" s="40"/>
    </row>
    <row r="10" spans="1:11" x14ac:dyDescent="0.25">
      <c r="A10" s="3" t="s">
        <v>74</v>
      </c>
      <c r="B10" s="6">
        <v>1</v>
      </c>
      <c r="C10" s="3">
        <v>416</v>
      </c>
      <c r="D10" s="14">
        <f t="shared" ref="D10:D47" si="5">B10*C10*0.1</f>
        <v>41.6</v>
      </c>
      <c r="E10" s="47">
        <f>0.04*1.3</f>
        <v>5.2000000000000005E-2</v>
      </c>
      <c r="F10" s="30">
        <f t="shared" si="1"/>
        <v>73.917050691244242</v>
      </c>
      <c r="G10" s="30">
        <f t="shared" si="2"/>
        <v>170.08545622119817</v>
      </c>
      <c r="H10" s="75"/>
      <c r="I10" s="34">
        <f t="shared" si="3"/>
        <v>-170.08545622119817</v>
      </c>
      <c r="J10" s="39"/>
      <c r="K10" s="40"/>
    </row>
    <row r="11" spans="1:11" x14ac:dyDescent="0.25">
      <c r="A11" s="3" t="s">
        <v>75</v>
      </c>
      <c r="B11" s="47">
        <v>1</v>
      </c>
      <c r="C11" s="26">
        <v>876</v>
      </c>
      <c r="D11" s="14">
        <f t="shared" si="5"/>
        <v>87.600000000000009</v>
      </c>
      <c r="E11" s="47">
        <f>0.15*1.3</f>
        <v>0.19500000000000001</v>
      </c>
      <c r="F11" s="30">
        <f t="shared" si="1"/>
        <v>277.18894009216592</v>
      </c>
      <c r="G11" s="30">
        <f t="shared" si="2"/>
        <v>397.05246082949304</v>
      </c>
      <c r="H11" s="75"/>
      <c r="I11" s="34">
        <f t="shared" si="3"/>
        <v>-397.05246082949304</v>
      </c>
      <c r="J11" s="39"/>
      <c r="K11" s="40"/>
    </row>
    <row r="12" spans="1:11" x14ac:dyDescent="0.25">
      <c r="A12" s="3" t="s">
        <v>76</v>
      </c>
      <c r="B12" s="6">
        <v>1</v>
      </c>
      <c r="C12" s="3">
        <v>785</v>
      </c>
      <c r="D12" s="14">
        <f t="shared" si="5"/>
        <v>78.5</v>
      </c>
      <c r="E12" s="47">
        <f>0.145*1.3</f>
        <v>0.1885</v>
      </c>
      <c r="F12" s="30">
        <f t="shared" si="1"/>
        <v>267.9493087557604</v>
      </c>
      <c r="G12" s="30">
        <f t="shared" si="2"/>
        <v>362.06377880184334</v>
      </c>
      <c r="H12" s="75"/>
      <c r="I12" s="34">
        <f t="shared" si="3"/>
        <v>-362.06377880184334</v>
      </c>
      <c r="J12" s="39"/>
      <c r="K12" s="40"/>
    </row>
    <row r="13" spans="1:11" x14ac:dyDescent="0.25">
      <c r="A13" s="33" t="s">
        <v>77</v>
      </c>
      <c r="B13" s="46"/>
      <c r="C13" s="33"/>
      <c r="D13" s="10"/>
      <c r="E13" s="10"/>
      <c r="F13" s="10"/>
      <c r="G13" s="10"/>
      <c r="H13" s="75"/>
      <c r="I13" s="42">
        <f>I14</f>
        <v>-342.63373271889401</v>
      </c>
      <c r="J13" s="38">
        <v>363</v>
      </c>
      <c r="K13" s="38">
        <f>J13+I13</f>
        <v>20.366267281105991</v>
      </c>
    </row>
    <row r="14" spans="1:11" x14ac:dyDescent="0.25">
      <c r="A14" s="3" t="s">
        <v>78</v>
      </c>
      <c r="B14" s="6">
        <v>1</v>
      </c>
      <c r="C14" s="3">
        <v>755</v>
      </c>
      <c r="D14" s="5">
        <f t="shared" ref="D14" si="6">B14*C14*0.1</f>
        <v>75.5</v>
      </c>
      <c r="E14" s="47">
        <f>0.13*1.3</f>
        <v>0.16900000000000001</v>
      </c>
      <c r="F14" s="30">
        <f>E14/$E$50*$F$50</f>
        <v>240.2304147465438</v>
      </c>
      <c r="G14" s="30">
        <f t="shared" si="2"/>
        <v>342.63373271889401</v>
      </c>
      <c r="H14" s="75"/>
      <c r="I14" s="34">
        <f>H14-G14</f>
        <v>-342.63373271889401</v>
      </c>
      <c r="J14" s="39"/>
      <c r="K14" s="40"/>
    </row>
    <row r="15" spans="1:11" x14ac:dyDescent="0.25">
      <c r="A15" s="33" t="s">
        <v>12</v>
      </c>
      <c r="B15" s="46"/>
      <c r="C15" s="33"/>
      <c r="D15" s="10"/>
      <c r="E15" s="10"/>
      <c r="F15" s="10"/>
      <c r="G15" s="10"/>
      <c r="H15" s="75"/>
      <c r="I15" s="42">
        <f>SUM(I16:I17)</f>
        <v>-1262.7402027649769</v>
      </c>
      <c r="J15" s="38">
        <v>1341</v>
      </c>
      <c r="K15" s="38">
        <f>J15+I15</f>
        <v>78.259797235023143</v>
      </c>
    </row>
    <row r="16" spans="1:11" ht="30" x14ac:dyDescent="0.25">
      <c r="A16" s="31" t="s">
        <v>79</v>
      </c>
      <c r="B16" s="48">
        <v>2</v>
      </c>
      <c r="C16" s="26">
        <f>876</f>
        <v>876</v>
      </c>
      <c r="D16" s="5">
        <f>C16*0.1</f>
        <v>87.600000000000009</v>
      </c>
      <c r="E16" s="47">
        <f>0.15*1.3*B16</f>
        <v>0.39</v>
      </c>
      <c r="F16" s="30">
        <f>E16/$E$50*$F$50</f>
        <v>554.37788018433184</v>
      </c>
      <c r="G16" s="30">
        <f t="shared" si="2"/>
        <v>766.07292165898616</v>
      </c>
      <c r="H16" s="75"/>
      <c r="I16" s="34">
        <f>H16-G16</f>
        <v>-766.07292165898616</v>
      </c>
      <c r="J16" s="39"/>
      <c r="K16" s="40"/>
    </row>
    <row r="17" spans="1:12" x14ac:dyDescent="0.25">
      <c r="A17" s="26" t="s">
        <v>80</v>
      </c>
      <c r="B17" s="47">
        <v>1</v>
      </c>
      <c r="C17" s="26">
        <v>1075</v>
      </c>
      <c r="D17" s="5">
        <f>B17*C17*0.1</f>
        <v>107.5</v>
      </c>
      <c r="E17" s="47">
        <f>0.2*1.3</f>
        <v>0.26</v>
      </c>
      <c r="F17" s="30">
        <f>E17/$E$50*$F$50</f>
        <v>369.58525345622121</v>
      </c>
      <c r="G17" s="30">
        <f t="shared" si="2"/>
        <v>496.66728110599075</v>
      </c>
      <c r="H17" s="75"/>
      <c r="I17" s="34">
        <f>H17-G17</f>
        <v>-496.66728110599075</v>
      </c>
      <c r="J17" s="39"/>
      <c r="K17" s="40"/>
    </row>
    <row r="18" spans="1:12" x14ac:dyDescent="0.25">
      <c r="A18" s="33" t="s">
        <v>81</v>
      </c>
      <c r="B18" s="46"/>
      <c r="C18" s="33"/>
      <c r="D18" s="10"/>
      <c r="E18" s="10"/>
      <c r="F18" s="10"/>
      <c r="G18" s="10"/>
      <c r="H18" s="75"/>
      <c r="I18" s="42">
        <f>SUM(I19:I20)</f>
        <v>-1568.1423041474654</v>
      </c>
      <c r="J18" s="38">
        <v>1685</v>
      </c>
      <c r="K18" s="38">
        <f>J18+I18</f>
        <v>116.85769585253456</v>
      </c>
    </row>
    <row r="19" spans="1:12" x14ac:dyDescent="0.25">
      <c r="A19" s="26" t="s">
        <v>82</v>
      </c>
      <c r="B19" s="47">
        <v>1</v>
      </c>
      <c r="C19" s="26">
        <v>2151</v>
      </c>
      <c r="D19" s="5">
        <f>B19*C19*0.1</f>
        <v>215.10000000000002</v>
      </c>
      <c r="E19" s="47">
        <f>0.3*1.3+0.25*1.3</f>
        <v>0.71500000000000008</v>
      </c>
      <c r="F19" s="30">
        <f>E19/$E$50*$F$50</f>
        <v>1016.3594470046083</v>
      </c>
      <c r="G19" s="30">
        <f t="shared" si="2"/>
        <v>1082.3870230414748</v>
      </c>
      <c r="H19" s="75"/>
      <c r="I19" s="34">
        <f>H19-G19</f>
        <v>-1082.3870230414748</v>
      </c>
      <c r="J19" s="39"/>
      <c r="K19" s="40"/>
    </row>
    <row r="20" spans="1:12" x14ac:dyDescent="0.25">
      <c r="A20" s="26" t="s">
        <v>83</v>
      </c>
      <c r="B20" s="47">
        <v>1</v>
      </c>
      <c r="C20" s="26">
        <v>1044</v>
      </c>
      <c r="D20" s="5">
        <f>B20*C20*0.1</f>
        <v>104.4</v>
      </c>
      <c r="E20" s="47">
        <f>0.2*1.3</f>
        <v>0.26</v>
      </c>
      <c r="F20" s="30">
        <f>E20/$E$50*$F$50</f>
        <v>369.58525345622121</v>
      </c>
      <c r="G20" s="30">
        <f t="shared" si="2"/>
        <v>485.75528110599078</v>
      </c>
      <c r="H20" s="75"/>
      <c r="I20" s="34">
        <f>H20-G20</f>
        <v>-485.75528110599078</v>
      </c>
      <c r="J20" s="39"/>
      <c r="K20" s="40"/>
    </row>
    <row r="21" spans="1:12" x14ac:dyDescent="0.25">
      <c r="A21" s="33" t="s">
        <v>13</v>
      </c>
      <c r="B21" s="46"/>
      <c r="C21" s="33"/>
      <c r="D21" s="10"/>
      <c r="E21" s="10"/>
      <c r="F21" s="10"/>
      <c r="G21" s="10"/>
      <c r="H21" s="75"/>
      <c r="I21" s="42">
        <f>SUM(I22:I25)</f>
        <v>-2166.3262672811061</v>
      </c>
      <c r="J21" s="38">
        <v>2315</v>
      </c>
      <c r="K21" s="38">
        <f>J21+I21-135</f>
        <v>13.673732718893916</v>
      </c>
      <c r="L21" t="s">
        <v>175</v>
      </c>
    </row>
    <row r="22" spans="1:12" ht="30" x14ac:dyDescent="0.25">
      <c r="A22" s="31" t="s">
        <v>43</v>
      </c>
      <c r="B22" s="47">
        <v>1</v>
      </c>
      <c r="C22" s="26">
        <v>1603</v>
      </c>
      <c r="D22" s="5">
        <f t="shared" ref="D22:D23" si="7">B22*C22*0.1</f>
        <v>160.30000000000001</v>
      </c>
      <c r="E22" s="47">
        <f>0.36*1.3</f>
        <v>0.46799999999999997</v>
      </c>
      <c r="F22" s="30">
        <f>E22/$E$50*$F$50</f>
        <v>665.25345622119812</v>
      </c>
      <c r="G22" s="30">
        <f t="shared" si="2"/>
        <v>777.13710599078354</v>
      </c>
      <c r="H22" s="75"/>
      <c r="I22" s="34">
        <f>H22-G22</f>
        <v>-777.13710599078354</v>
      </c>
      <c r="J22" s="39"/>
      <c r="K22" s="40"/>
    </row>
    <row r="23" spans="1:12" ht="30" x14ac:dyDescent="0.25">
      <c r="A23" s="31" t="s">
        <v>39</v>
      </c>
      <c r="B23" s="47">
        <v>1</v>
      </c>
      <c r="C23" s="26">
        <v>1087</v>
      </c>
      <c r="D23" s="14">
        <f t="shared" si="7"/>
        <v>108.7</v>
      </c>
      <c r="E23" s="47">
        <f>0.25*1.3</f>
        <v>0.32500000000000001</v>
      </c>
      <c r="F23" s="30">
        <f>E23/$E$50*$F$50</f>
        <v>461.98156682027656</v>
      </c>
      <c r="G23" s="30">
        <f t="shared" si="2"/>
        <v>530.45810138248851</v>
      </c>
      <c r="H23" s="75"/>
      <c r="I23" s="34">
        <f>H23-G23</f>
        <v>-530.45810138248851</v>
      </c>
      <c r="J23" s="39"/>
      <c r="K23" s="40"/>
    </row>
    <row r="24" spans="1:12" x14ac:dyDescent="0.25">
      <c r="A24" s="26" t="s">
        <v>84</v>
      </c>
      <c r="B24" s="47">
        <v>1</v>
      </c>
      <c r="C24" s="26">
        <v>785</v>
      </c>
      <c r="D24" s="14">
        <f t="shared" si="5"/>
        <v>78.5</v>
      </c>
      <c r="E24" s="47">
        <f>0.145*1.3</f>
        <v>0.1885</v>
      </c>
      <c r="F24" s="30">
        <f>E24/$E$50*$F$50</f>
        <v>267.9493087557604</v>
      </c>
      <c r="G24" s="30">
        <f t="shared" si="2"/>
        <v>362.06377880184334</v>
      </c>
      <c r="H24" s="75"/>
      <c r="I24" s="34">
        <f>H24-G24</f>
        <v>-362.06377880184334</v>
      </c>
      <c r="J24" s="39"/>
      <c r="K24" s="40"/>
    </row>
    <row r="25" spans="1:12" x14ac:dyDescent="0.25">
      <c r="A25" s="26" t="s">
        <v>80</v>
      </c>
      <c r="B25" s="47">
        <v>1</v>
      </c>
      <c r="C25" s="26">
        <v>1075</v>
      </c>
      <c r="D25" s="14">
        <f t="shared" si="5"/>
        <v>107.5</v>
      </c>
      <c r="E25" s="47">
        <f>0.2*1.3</f>
        <v>0.26</v>
      </c>
      <c r="F25" s="30">
        <f>E25/$E$50*$F$50</f>
        <v>369.58525345622121</v>
      </c>
      <c r="G25" s="30">
        <f t="shared" si="2"/>
        <v>496.66728110599075</v>
      </c>
      <c r="H25" s="75"/>
      <c r="I25" s="34">
        <f>H25-G25</f>
        <v>-496.66728110599075</v>
      </c>
      <c r="J25" s="39"/>
      <c r="K25" s="40"/>
    </row>
    <row r="26" spans="1:12" x14ac:dyDescent="0.25">
      <c r="A26" s="33" t="s">
        <v>85</v>
      </c>
      <c r="B26" s="46"/>
      <c r="C26" s="33"/>
      <c r="D26" s="10"/>
      <c r="E26" s="10"/>
      <c r="F26" s="10"/>
      <c r="G26" s="10"/>
      <c r="H26" s="75"/>
      <c r="I26" s="42">
        <f>SUM(I27:I31)</f>
        <v>-2245.1748571428575</v>
      </c>
      <c r="J26" s="38">
        <v>2390</v>
      </c>
      <c r="K26" s="38">
        <f t="shared" si="0"/>
        <v>144.82514285714251</v>
      </c>
    </row>
    <row r="27" spans="1:12" x14ac:dyDescent="0.25">
      <c r="A27" s="26" t="s">
        <v>86</v>
      </c>
      <c r="B27" s="47">
        <v>1</v>
      </c>
      <c r="C27" s="26">
        <v>1044</v>
      </c>
      <c r="D27" s="5">
        <f t="shared" ref="D27:D31" si="8">B27*C27*0.1</f>
        <v>104.4</v>
      </c>
      <c r="E27" s="47">
        <f>0.2*1.3</f>
        <v>0.26</v>
      </c>
      <c r="F27" s="30">
        <f>E27/$E$50*$F$50</f>
        <v>369.58525345622121</v>
      </c>
      <c r="G27" s="30">
        <f t="shared" si="2"/>
        <v>485.75528110599078</v>
      </c>
      <c r="H27" s="75"/>
      <c r="I27" s="34">
        <f>H27-G27</f>
        <v>-485.75528110599078</v>
      </c>
      <c r="J27" s="39"/>
      <c r="K27" s="40"/>
    </row>
    <row r="28" spans="1:12" x14ac:dyDescent="0.25">
      <c r="A28" s="26" t="s">
        <v>87</v>
      </c>
      <c r="B28" s="47">
        <v>1</v>
      </c>
      <c r="C28" s="26">
        <v>755</v>
      </c>
      <c r="D28" s="14">
        <f t="shared" ref="D28:D29" si="9">B28*C28*0.1</f>
        <v>75.5</v>
      </c>
      <c r="E28" s="47">
        <f>0.13*1.3</f>
        <v>0.16900000000000001</v>
      </c>
      <c r="F28" s="30">
        <f>E28/$E$50*$F$50</f>
        <v>240.2304147465438</v>
      </c>
      <c r="G28" s="30">
        <f t="shared" si="2"/>
        <v>342.63373271889401</v>
      </c>
      <c r="H28" s="75"/>
      <c r="I28" s="34">
        <f>H28-G28</f>
        <v>-342.63373271889401</v>
      </c>
      <c r="J28" s="39"/>
      <c r="K28" s="40"/>
    </row>
    <row r="29" spans="1:12" x14ac:dyDescent="0.25">
      <c r="A29" s="31" t="s">
        <v>37</v>
      </c>
      <c r="B29" s="47">
        <v>1</v>
      </c>
      <c r="C29" s="26">
        <v>876</v>
      </c>
      <c r="D29" s="14">
        <f t="shared" si="9"/>
        <v>87.600000000000009</v>
      </c>
      <c r="E29" s="47">
        <f>0.15*1.3</f>
        <v>0.19500000000000001</v>
      </c>
      <c r="F29" s="30">
        <f>E29/$E$50*$F$50</f>
        <v>277.18894009216592</v>
      </c>
      <c r="G29" s="30">
        <f t="shared" si="2"/>
        <v>397.05246082949304</v>
      </c>
      <c r="H29" s="75"/>
      <c r="I29" s="34">
        <f>H29-G29</f>
        <v>-397.05246082949304</v>
      </c>
      <c r="J29" s="39"/>
      <c r="K29" s="40"/>
    </row>
    <row r="30" spans="1:12" x14ac:dyDescent="0.25">
      <c r="A30" s="26" t="s">
        <v>88</v>
      </c>
      <c r="B30" s="47">
        <v>1</v>
      </c>
      <c r="C30" s="26">
        <v>1054</v>
      </c>
      <c r="D30" s="14">
        <f t="shared" si="8"/>
        <v>105.4</v>
      </c>
      <c r="E30" s="47">
        <f>0.2*1.3</f>
        <v>0.26</v>
      </c>
      <c r="F30" s="30">
        <f>E30/$E$50*$F$50</f>
        <v>369.58525345622121</v>
      </c>
      <c r="G30" s="30">
        <f t="shared" si="2"/>
        <v>489.27528110599081</v>
      </c>
      <c r="H30" s="75"/>
      <c r="I30" s="34">
        <f>H30-G30</f>
        <v>-489.27528110599081</v>
      </c>
      <c r="J30" s="39"/>
      <c r="K30" s="40"/>
    </row>
    <row r="31" spans="1:12" x14ac:dyDescent="0.25">
      <c r="A31" s="26" t="s">
        <v>89</v>
      </c>
      <c r="B31" s="47">
        <v>1</v>
      </c>
      <c r="C31" s="26">
        <v>1087</v>
      </c>
      <c r="D31" s="14">
        <f t="shared" si="8"/>
        <v>108.7</v>
      </c>
      <c r="E31" s="47">
        <f>0.25*1.3</f>
        <v>0.32500000000000001</v>
      </c>
      <c r="F31" s="30">
        <f>E31/$E$50*$F$50</f>
        <v>461.98156682027656</v>
      </c>
      <c r="G31" s="30">
        <f t="shared" si="2"/>
        <v>530.45810138248851</v>
      </c>
      <c r="H31" s="75"/>
      <c r="I31" s="34">
        <f>H31-G31</f>
        <v>-530.45810138248851</v>
      </c>
      <c r="J31" s="39"/>
      <c r="K31" s="40"/>
    </row>
    <row r="32" spans="1:12" x14ac:dyDescent="0.25">
      <c r="A32" s="33" t="s">
        <v>90</v>
      </c>
      <c r="B32" s="46"/>
      <c r="C32" s="33"/>
      <c r="D32" s="10"/>
      <c r="E32" s="10"/>
      <c r="F32" s="10"/>
      <c r="G32" s="10"/>
      <c r="H32" s="75"/>
      <c r="I32" s="42">
        <f>SUM(I33:I36)</f>
        <v>-2169.5613640552997</v>
      </c>
      <c r="J32" s="38">
        <v>2340</v>
      </c>
      <c r="K32" s="38">
        <f t="shared" si="0"/>
        <v>170.43863594470031</v>
      </c>
    </row>
    <row r="33" spans="1:11" x14ac:dyDescent="0.25">
      <c r="A33" s="44" t="s">
        <v>91</v>
      </c>
      <c r="B33" s="47">
        <v>1</v>
      </c>
      <c r="C33" s="26">
        <v>785</v>
      </c>
      <c r="D33" s="5">
        <f t="shared" ref="D33:D36" si="10">B33*C33*0.1</f>
        <v>78.5</v>
      </c>
      <c r="E33" s="47">
        <f>0.145*1.3</f>
        <v>0.1885</v>
      </c>
      <c r="F33" s="30">
        <f>E33/$E$50*$F$50</f>
        <v>267.9493087557604</v>
      </c>
      <c r="G33" s="30">
        <f t="shared" si="2"/>
        <v>362.06377880184334</v>
      </c>
      <c r="H33" s="75"/>
      <c r="I33" s="34">
        <f>H33-G33</f>
        <v>-362.06377880184334</v>
      </c>
      <c r="J33" s="39"/>
      <c r="K33" s="40"/>
    </row>
    <row r="34" spans="1:11" x14ac:dyDescent="0.25">
      <c r="A34" s="44" t="s">
        <v>92</v>
      </c>
      <c r="B34" s="47">
        <v>1</v>
      </c>
      <c r="C34" s="26">
        <v>1588</v>
      </c>
      <c r="D34" s="14">
        <f t="shared" ref="D34" si="11">B34*C34*0.1</f>
        <v>158.80000000000001</v>
      </c>
      <c r="E34" s="47">
        <f>0.6*1.3</f>
        <v>0.78</v>
      </c>
      <c r="F34" s="30">
        <f>E34/$E$50*$F$50</f>
        <v>1108.7557603686637</v>
      </c>
      <c r="G34" s="30">
        <f t="shared" si="2"/>
        <v>913.77784331797238</v>
      </c>
      <c r="H34" s="75"/>
      <c r="I34" s="34">
        <f>H34-G34</f>
        <v>-913.77784331797238</v>
      </c>
      <c r="J34" s="39"/>
      <c r="K34" s="40"/>
    </row>
    <row r="35" spans="1:11" x14ac:dyDescent="0.25">
      <c r="A35" s="26" t="s">
        <v>93</v>
      </c>
      <c r="B35" s="47">
        <v>1</v>
      </c>
      <c r="C35" s="26">
        <v>1075</v>
      </c>
      <c r="D35" s="14">
        <f t="shared" si="10"/>
        <v>107.5</v>
      </c>
      <c r="E35" s="47">
        <f>0.2*1.3</f>
        <v>0.26</v>
      </c>
      <c r="F35" s="30">
        <f>E35/$E$50*$F$50</f>
        <v>369.58525345622121</v>
      </c>
      <c r="G35" s="30">
        <f t="shared" si="2"/>
        <v>496.66728110599075</v>
      </c>
      <c r="H35" s="75"/>
      <c r="I35" s="34">
        <f>H35-G35</f>
        <v>-496.66728110599075</v>
      </c>
      <c r="J35" s="39"/>
      <c r="K35" s="40"/>
    </row>
    <row r="36" spans="1:11" x14ac:dyDescent="0.25">
      <c r="A36" s="31" t="s">
        <v>37</v>
      </c>
      <c r="B36" s="47">
        <v>1</v>
      </c>
      <c r="C36" s="26">
        <v>876</v>
      </c>
      <c r="D36" s="14">
        <f t="shared" si="10"/>
        <v>87.600000000000009</v>
      </c>
      <c r="E36" s="47">
        <f>0.15*1.3</f>
        <v>0.19500000000000001</v>
      </c>
      <c r="F36" s="30">
        <f>E36/$E$50*$F$50</f>
        <v>277.18894009216592</v>
      </c>
      <c r="G36" s="30">
        <f t="shared" si="2"/>
        <v>397.05246082949304</v>
      </c>
      <c r="H36" s="75"/>
      <c r="I36" s="34">
        <f>H36-G36</f>
        <v>-397.05246082949304</v>
      </c>
      <c r="J36" s="39"/>
      <c r="K36" s="40"/>
    </row>
    <row r="37" spans="1:11" x14ac:dyDescent="0.25">
      <c r="A37" s="33" t="s">
        <v>94</v>
      </c>
      <c r="B37" s="46"/>
      <c r="C37" s="33"/>
      <c r="D37" s="10"/>
      <c r="E37" s="10"/>
      <c r="F37" s="10"/>
      <c r="G37" s="10"/>
      <c r="H37" s="75"/>
      <c r="I37" s="42">
        <f>SUM(I38:I41)</f>
        <v>-1734.1468018433179</v>
      </c>
      <c r="J37" s="38">
        <v>1843</v>
      </c>
      <c r="K37" s="38">
        <f>J37+I37</f>
        <v>108.85319815668208</v>
      </c>
    </row>
    <row r="38" spans="1:11" x14ac:dyDescent="0.25">
      <c r="A38" s="26" t="s">
        <v>95</v>
      </c>
      <c r="B38" s="47">
        <v>1</v>
      </c>
      <c r="C38" s="26">
        <v>1044</v>
      </c>
      <c r="D38" s="5">
        <f t="shared" ref="D38:D39" si="12">B38*C38*0.1</f>
        <v>104.4</v>
      </c>
      <c r="E38" s="47">
        <f>0.2*1.3</f>
        <v>0.26</v>
      </c>
      <c r="F38" s="30">
        <f>E38/$E$50*$F$50</f>
        <v>369.58525345622121</v>
      </c>
      <c r="G38" s="30">
        <f t="shared" si="2"/>
        <v>485.75528110599078</v>
      </c>
      <c r="H38" s="75"/>
      <c r="I38" s="34">
        <f>H38-G38</f>
        <v>-485.75528110599078</v>
      </c>
      <c r="J38" s="39"/>
      <c r="K38" s="40"/>
    </row>
    <row r="39" spans="1:11" x14ac:dyDescent="0.25">
      <c r="A39" s="26" t="s">
        <v>96</v>
      </c>
      <c r="B39" s="47">
        <v>1</v>
      </c>
      <c r="C39" s="26">
        <v>1054</v>
      </c>
      <c r="D39" s="5">
        <f t="shared" si="12"/>
        <v>105.4</v>
      </c>
      <c r="E39" s="47">
        <f>0.2*1.3</f>
        <v>0.26</v>
      </c>
      <c r="F39" s="30">
        <f>E39/$E$50*$F$50</f>
        <v>369.58525345622121</v>
      </c>
      <c r="G39" s="30">
        <f t="shared" si="2"/>
        <v>489.27528110599081</v>
      </c>
      <c r="H39" s="75"/>
      <c r="I39" s="34">
        <f>H39-G39</f>
        <v>-489.27528110599081</v>
      </c>
      <c r="J39" s="39"/>
      <c r="K39" s="40"/>
    </row>
    <row r="40" spans="1:11" x14ac:dyDescent="0.25">
      <c r="A40" s="26" t="s">
        <v>97</v>
      </c>
      <c r="B40" s="47">
        <v>1</v>
      </c>
      <c r="C40" s="26">
        <v>785</v>
      </c>
      <c r="D40" s="5">
        <f t="shared" ref="D40:D41" si="13">B40*C40*0.1</f>
        <v>78.5</v>
      </c>
      <c r="E40" s="47">
        <f>0.145*1.3</f>
        <v>0.1885</v>
      </c>
      <c r="F40" s="30">
        <f>E40/$E$50*$F$50</f>
        <v>267.9493087557604</v>
      </c>
      <c r="G40" s="30">
        <f t="shared" si="2"/>
        <v>362.06377880184334</v>
      </c>
      <c r="H40" s="75"/>
      <c r="I40" s="34">
        <f>H40-G40</f>
        <v>-362.06377880184334</v>
      </c>
      <c r="J40" s="39"/>
      <c r="K40" s="40"/>
    </row>
    <row r="41" spans="1:11" ht="30" x14ac:dyDescent="0.25">
      <c r="A41" s="31" t="s">
        <v>98</v>
      </c>
      <c r="B41" s="47">
        <v>1</v>
      </c>
      <c r="C41" s="26">
        <v>876</v>
      </c>
      <c r="D41" s="5">
        <f t="shared" si="13"/>
        <v>87.600000000000009</v>
      </c>
      <c r="E41" s="47">
        <f>0.15*1.3</f>
        <v>0.19500000000000001</v>
      </c>
      <c r="F41" s="30">
        <f>E41/$E$50*$F$50</f>
        <v>277.18894009216592</v>
      </c>
      <c r="G41" s="30">
        <f t="shared" si="2"/>
        <v>397.05246082949304</v>
      </c>
      <c r="H41" s="75"/>
      <c r="I41" s="34">
        <f>H41-G41</f>
        <v>-397.05246082949304</v>
      </c>
      <c r="J41" s="39"/>
      <c r="K41" s="40"/>
    </row>
    <row r="42" spans="1:11" x14ac:dyDescent="0.25">
      <c r="A42" s="33" t="s">
        <v>99</v>
      </c>
      <c r="B42" s="46"/>
      <c r="C42" s="33"/>
      <c r="D42" s="10"/>
      <c r="E42" s="10"/>
      <c r="F42" s="10"/>
      <c r="G42" s="10"/>
      <c r="H42" s="75"/>
      <c r="I42" s="42">
        <f>SUM(I43:I47)</f>
        <v>-2015.8127188940091</v>
      </c>
      <c r="J42" s="38">
        <v>2154</v>
      </c>
      <c r="K42" s="38">
        <f t="shared" ref="K42" si="14">J42+I42</f>
        <v>138.18728110599091</v>
      </c>
    </row>
    <row r="43" spans="1:11" ht="17.45" customHeight="1" x14ac:dyDescent="0.25">
      <c r="A43" s="31" t="s">
        <v>100</v>
      </c>
      <c r="B43" s="47">
        <v>1</v>
      </c>
      <c r="C43" s="26">
        <v>876</v>
      </c>
      <c r="D43" s="5">
        <f t="shared" ref="D43:D46" si="15">B43*C43*0.1</f>
        <v>87.600000000000009</v>
      </c>
      <c r="E43" s="47">
        <f>0.15*1.3</f>
        <v>0.19500000000000001</v>
      </c>
      <c r="F43" s="30">
        <f>E43/$E$50*$F$50</f>
        <v>277.18894009216592</v>
      </c>
      <c r="G43" s="30">
        <f t="shared" si="2"/>
        <v>397.05246082949304</v>
      </c>
      <c r="H43" s="75"/>
      <c r="I43" s="34">
        <f>H43-G43</f>
        <v>-397.05246082949304</v>
      </c>
      <c r="J43" s="39"/>
      <c r="K43" s="40"/>
    </row>
    <row r="44" spans="1:11" x14ac:dyDescent="0.25">
      <c r="A44" s="26" t="s">
        <v>101</v>
      </c>
      <c r="B44" s="47">
        <v>1</v>
      </c>
      <c r="C44" s="26">
        <v>785</v>
      </c>
      <c r="D44" s="5">
        <f t="shared" ref="D44:D45" si="16">B44*C44*0.1</f>
        <v>78.5</v>
      </c>
      <c r="E44" s="47">
        <f>0.145*1.3</f>
        <v>0.1885</v>
      </c>
      <c r="F44" s="30">
        <f>E44/$E$50*$F$50</f>
        <v>267.9493087557604</v>
      </c>
      <c r="G44" s="30">
        <f t="shared" si="2"/>
        <v>362.06377880184334</v>
      </c>
      <c r="H44" s="75"/>
      <c r="I44" s="34">
        <f>H44-G44</f>
        <v>-362.06377880184334</v>
      </c>
      <c r="J44" s="39"/>
      <c r="K44" s="40"/>
    </row>
    <row r="45" spans="1:11" x14ac:dyDescent="0.25">
      <c r="A45" s="26" t="s">
        <v>102</v>
      </c>
      <c r="B45" s="47">
        <v>1</v>
      </c>
      <c r="C45" s="26">
        <v>1087</v>
      </c>
      <c r="D45" s="5">
        <f t="shared" si="16"/>
        <v>108.7</v>
      </c>
      <c r="E45" s="47">
        <f>0.25*1.3</f>
        <v>0.32500000000000001</v>
      </c>
      <c r="F45" s="30">
        <f>E45/$E$50*$F$50</f>
        <v>461.98156682027656</v>
      </c>
      <c r="G45" s="30">
        <f t="shared" si="2"/>
        <v>530.45810138248851</v>
      </c>
      <c r="H45" s="75"/>
      <c r="I45" s="34">
        <f>H45-G45</f>
        <v>-530.45810138248851</v>
      </c>
      <c r="J45" s="39"/>
      <c r="K45" s="40"/>
    </row>
    <row r="46" spans="1:11" x14ac:dyDescent="0.25">
      <c r="A46" s="26" t="s">
        <v>103</v>
      </c>
      <c r="B46" s="47">
        <v>1</v>
      </c>
      <c r="C46" s="26">
        <v>1076</v>
      </c>
      <c r="D46" s="5">
        <f t="shared" si="15"/>
        <v>107.60000000000001</v>
      </c>
      <c r="E46" s="47">
        <f>0.3*1.3</f>
        <v>0.39</v>
      </c>
      <c r="F46" s="30">
        <f>E46/$E$50*$F$50</f>
        <v>554.37788018433184</v>
      </c>
      <c r="G46" s="30">
        <f t="shared" si="2"/>
        <v>556.1529216589862</v>
      </c>
      <c r="H46" s="75"/>
      <c r="I46" s="34">
        <f>H46-G46</f>
        <v>-556.1529216589862</v>
      </c>
      <c r="J46" s="39"/>
      <c r="K46" s="40"/>
    </row>
    <row r="47" spans="1:11" x14ac:dyDescent="0.25">
      <c r="A47" s="26" t="s">
        <v>104</v>
      </c>
      <c r="B47" s="47">
        <v>1</v>
      </c>
      <c r="C47" s="26">
        <v>416</v>
      </c>
      <c r="D47" s="5">
        <f t="shared" si="5"/>
        <v>41.6</v>
      </c>
      <c r="E47" s="47">
        <f>0.04*1.3</f>
        <v>5.2000000000000005E-2</v>
      </c>
      <c r="F47" s="30">
        <f>E47/$E$50*$F$50</f>
        <v>73.917050691244242</v>
      </c>
      <c r="G47" s="30">
        <f t="shared" si="2"/>
        <v>170.08545622119817</v>
      </c>
      <c r="H47" s="75"/>
      <c r="I47" s="34">
        <f>H47-G47</f>
        <v>-170.08545622119817</v>
      </c>
      <c r="J47" s="39"/>
      <c r="K47" s="40"/>
    </row>
    <row r="48" spans="1:11" x14ac:dyDescent="0.25">
      <c r="A48" s="33" t="s">
        <v>30</v>
      </c>
      <c r="B48" s="46"/>
      <c r="C48" s="33"/>
      <c r="D48" s="10"/>
      <c r="E48" s="10"/>
      <c r="F48" s="10"/>
      <c r="G48" s="10"/>
      <c r="H48" s="75"/>
      <c r="I48" s="42"/>
      <c r="J48" s="38"/>
      <c r="K48" s="38"/>
    </row>
    <row r="49" spans="1:11" x14ac:dyDescent="0.25">
      <c r="A49" s="4"/>
      <c r="B49" s="5"/>
      <c r="C49" s="5"/>
      <c r="D49" s="5">
        <f t="shared" ref="D49" si="17">B49*C49*0.1</f>
        <v>0</v>
      </c>
      <c r="E49" s="5">
        <v>0.26</v>
      </c>
      <c r="F49" s="30">
        <f>E49/$E$50*$F$50</f>
        <v>369.58525345622121</v>
      </c>
      <c r="G49" s="30">
        <f t="shared" si="2"/>
        <v>118.26728110599079</v>
      </c>
      <c r="H49" s="75"/>
      <c r="I49" s="28"/>
      <c r="J49" s="28"/>
      <c r="K49" s="28"/>
    </row>
    <row r="50" spans="1:11" x14ac:dyDescent="0.25">
      <c r="A50" s="27"/>
      <c r="B50" s="28"/>
      <c r="C50" s="28"/>
      <c r="D50" s="28"/>
      <c r="E50" s="29">
        <f>SUM(E4:E49)</f>
        <v>9.8734999999999999</v>
      </c>
      <c r="F50" s="29">
        <v>14035</v>
      </c>
      <c r="G50" s="28">
        <f>F50/E50</f>
        <v>1421.4817440623892</v>
      </c>
      <c r="H50" s="75"/>
      <c r="I50" s="28"/>
      <c r="J50" s="28"/>
      <c r="K50" s="28"/>
    </row>
    <row r="52" spans="1:11" ht="52.5" customHeight="1" x14ac:dyDescent="0.25">
      <c r="A52" s="118" t="s">
        <v>64</v>
      </c>
      <c r="B52" s="119"/>
      <c r="C52" s="119"/>
      <c r="D52" s="119"/>
      <c r="E52" s="119"/>
    </row>
    <row r="55" spans="1:11" ht="28.5" x14ac:dyDescent="0.45">
      <c r="A55" s="36" t="s">
        <v>48</v>
      </c>
    </row>
    <row r="56" spans="1:11" x14ac:dyDescent="0.25">
      <c r="A56" s="49" t="s">
        <v>70</v>
      </c>
    </row>
    <row r="57" spans="1:11" ht="45" x14ac:dyDescent="0.25">
      <c r="A57" s="31" t="s">
        <v>107</v>
      </c>
      <c r="B57" s="51" t="s">
        <v>105</v>
      </c>
    </row>
    <row r="58" spans="1:11" ht="45" x14ac:dyDescent="0.25">
      <c r="A58" s="31" t="s">
        <v>107</v>
      </c>
      <c r="B58" s="51" t="s">
        <v>106</v>
      </c>
    </row>
    <row r="59" spans="1:11" x14ac:dyDescent="0.25">
      <c r="A59" s="49" t="s">
        <v>12</v>
      </c>
      <c r="B59" s="52"/>
    </row>
    <row r="60" spans="1:11" x14ac:dyDescent="0.25">
      <c r="A60" t="s">
        <v>109</v>
      </c>
      <c r="B60" s="51" t="s">
        <v>108</v>
      </c>
    </row>
    <row r="61" spans="1:11" x14ac:dyDescent="0.25">
      <c r="A61" s="49" t="s">
        <v>85</v>
      </c>
      <c r="B61" s="52"/>
    </row>
    <row r="62" spans="1:11" x14ac:dyDescent="0.25">
      <c r="A62" t="s">
        <v>109</v>
      </c>
      <c r="B62" s="50" t="s">
        <v>110</v>
      </c>
    </row>
  </sheetData>
  <mergeCells count="1">
    <mergeCell ref="A52:E52"/>
  </mergeCells>
  <hyperlinks>
    <hyperlink ref="B57" r:id="rId1"/>
    <hyperlink ref="B58" r:id="rId2"/>
    <hyperlink ref="B60" r:id="rId3" display="http://global.rakuten.com/en/store/bibi7/item/le_co_sk75/"/>
    <hyperlink ref="B62" r:id="rId4" display="http://global.rakuten.com/en/store/bibi7/item/le_co_sk225/"/>
  </hyperlinks>
  <pageMargins left="0.7" right="0.7" top="0.75" bottom="0.75" header="0.3" footer="0.3"/>
  <pageSetup paperSize="9" orientation="portrait" horizontalDpi="4294967293" vertic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6"/>
  <sheetViews>
    <sheetView topLeftCell="A7" workbookViewId="0">
      <selection activeCell="D50" sqref="D50"/>
    </sheetView>
  </sheetViews>
  <sheetFormatPr defaultRowHeight="15" x14ac:dyDescent="0.25"/>
  <cols>
    <col min="1" max="1" width="33.5703125" customWidth="1"/>
    <col min="2" max="2" width="7.57031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0.35</v>
      </c>
      <c r="C1" s="1"/>
    </row>
    <row r="2" spans="1:11" x14ac:dyDescent="0.25">
      <c r="A2" s="1" t="s">
        <v>111</v>
      </c>
      <c r="B2" s="45"/>
      <c r="C2" s="1"/>
    </row>
    <row r="3" spans="1:11" x14ac:dyDescent="0.25">
      <c r="A3" s="1" t="s">
        <v>112</v>
      </c>
      <c r="B3" s="45"/>
      <c r="C3" s="1"/>
    </row>
    <row r="4" spans="1:11" ht="21" x14ac:dyDescent="0.35">
      <c r="A4" s="8"/>
    </row>
    <row r="5" spans="1:11" ht="42.75" customHeight="1" x14ac:dyDescent="0.25">
      <c r="A5" s="53"/>
      <c r="B5" s="54" t="s">
        <v>28</v>
      </c>
      <c r="C5" s="54" t="s">
        <v>60</v>
      </c>
      <c r="D5" s="54" t="s">
        <v>59</v>
      </c>
      <c r="E5" s="54" t="s">
        <v>27</v>
      </c>
      <c r="F5" s="54" t="s">
        <v>61</v>
      </c>
      <c r="G5" s="54" t="s">
        <v>65</v>
      </c>
      <c r="H5" s="76"/>
      <c r="I5" s="54" t="s">
        <v>62</v>
      </c>
      <c r="J5" s="55" t="s">
        <v>17</v>
      </c>
      <c r="K5" s="54" t="s">
        <v>62</v>
      </c>
    </row>
    <row r="6" spans="1:11" ht="28.5" x14ac:dyDescent="0.45">
      <c r="A6" s="60" t="s">
        <v>113</v>
      </c>
      <c r="B6" s="61"/>
      <c r="C6" s="61"/>
      <c r="D6" s="61"/>
      <c r="E6" s="61"/>
      <c r="F6" s="61"/>
      <c r="G6" s="61"/>
      <c r="H6" s="77"/>
      <c r="I6" s="61"/>
      <c r="J6" s="62"/>
      <c r="K6" s="63"/>
    </row>
    <row r="7" spans="1:11" x14ac:dyDescent="0.25">
      <c r="A7" s="9" t="s">
        <v>114</v>
      </c>
      <c r="B7" s="9"/>
      <c r="C7" s="9"/>
      <c r="D7" s="10"/>
      <c r="E7" s="10"/>
      <c r="F7" s="10"/>
      <c r="G7" s="10"/>
      <c r="H7" s="75"/>
      <c r="I7" s="42">
        <f>SUM(I8:I11)</f>
        <v>-2923.6158313123146</v>
      </c>
      <c r="J7" s="38">
        <f>2842+80</f>
        <v>2922</v>
      </c>
      <c r="K7" s="38">
        <f t="shared" ref="K7:K33" si="0">J7+I7</f>
        <v>-1.6158313123146399</v>
      </c>
    </row>
    <row r="8" spans="1:11" ht="45" x14ac:dyDescent="0.25">
      <c r="A8" s="31" t="s">
        <v>118</v>
      </c>
      <c r="B8" s="3">
        <v>1</v>
      </c>
      <c r="C8" s="3">
        <v>2347</v>
      </c>
      <c r="D8" s="14">
        <f>B8*C8*0.1</f>
        <v>234.70000000000002</v>
      </c>
      <c r="E8" s="3">
        <f>0.6*1.3</f>
        <v>0.78</v>
      </c>
      <c r="F8" s="30">
        <f>E8/$E$79*$F$79</f>
        <v>1447.1721907841554</v>
      </c>
      <c r="G8" s="30">
        <f>(B8*C8)*$B$1+D8*$B$1+F8*$B$1</f>
        <v>1410.1052667744543</v>
      </c>
      <c r="H8" s="75"/>
      <c r="I8" s="34">
        <f>H8-G8</f>
        <v>-1410.1052667744543</v>
      </c>
      <c r="J8" s="39"/>
      <c r="K8" s="40"/>
    </row>
    <row r="9" spans="1:11" x14ac:dyDescent="0.25">
      <c r="A9" s="67" t="s">
        <v>165</v>
      </c>
      <c r="B9" s="3">
        <v>1</v>
      </c>
      <c r="C9" s="3">
        <v>460</v>
      </c>
      <c r="D9" s="14">
        <f t="shared" ref="D9:D27" si="1">B9*C9*0.1</f>
        <v>46</v>
      </c>
      <c r="E9" s="3">
        <f>0.04*1.3</f>
        <v>5.2000000000000005E-2</v>
      </c>
      <c r="F9" s="30">
        <f>E9/$E$79*$F$79</f>
        <v>96.478146052277026</v>
      </c>
      <c r="G9" s="30">
        <f t="shared" ref="G9:G78" si="2">(B9*C9)*$B$1+D9*$B$1+F9*$B$1</f>
        <v>210.86735111829694</v>
      </c>
      <c r="H9" s="75"/>
      <c r="I9" s="34">
        <f t="shared" ref="I9:I11" si="3">H9-G9</f>
        <v>-210.86735111829694</v>
      </c>
      <c r="J9" s="39"/>
      <c r="K9" s="40"/>
    </row>
    <row r="10" spans="1:11" ht="45" x14ac:dyDescent="0.25">
      <c r="A10" s="31" t="s">
        <v>115</v>
      </c>
      <c r="B10" s="3">
        <v>1</v>
      </c>
      <c r="C10" s="3">
        <v>1423</v>
      </c>
      <c r="D10" s="14">
        <f t="shared" si="1"/>
        <v>142.30000000000001</v>
      </c>
      <c r="E10" s="3">
        <f>0.2*1.3+0.13*1.3</f>
        <v>0.42900000000000005</v>
      </c>
      <c r="F10" s="30">
        <f>E10/$E$79*$F$79</f>
        <v>795.94470493128551</v>
      </c>
      <c r="G10" s="30">
        <f t="shared" si="2"/>
        <v>826.43564672594982</v>
      </c>
      <c r="H10" s="75"/>
      <c r="I10" s="34">
        <f t="shared" si="3"/>
        <v>-826.43564672594982</v>
      </c>
      <c r="J10" s="39"/>
      <c r="K10" s="40"/>
    </row>
    <row r="11" spans="1:11" x14ac:dyDescent="0.25">
      <c r="A11" s="31" t="s">
        <v>37</v>
      </c>
      <c r="B11" s="3">
        <v>1</v>
      </c>
      <c r="C11" s="26">
        <v>908</v>
      </c>
      <c r="D11" s="14">
        <f t="shared" si="1"/>
        <v>90.800000000000011</v>
      </c>
      <c r="E11" s="64">
        <f>0.15*1.3*B11</f>
        <v>0.19500000000000001</v>
      </c>
      <c r="F11" s="30">
        <f>E11/$E$79*$F$79</f>
        <v>361.79304769603885</v>
      </c>
      <c r="G11" s="30">
        <f t="shared" si="2"/>
        <v>476.2075666936135</v>
      </c>
      <c r="H11" s="75"/>
      <c r="I11" s="34">
        <f t="shared" si="3"/>
        <v>-476.2075666936135</v>
      </c>
      <c r="J11" s="39"/>
      <c r="K11" s="40"/>
    </row>
    <row r="12" spans="1:11" x14ac:dyDescent="0.25">
      <c r="A12" s="9" t="s">
        <v>41</v>
      </c>
      <c r="B12" s="9"/>
      <c r="C12" s="9"/>
      <c r="D12" s="10"/>
      <c r="E12" s="9"/>
      <c r="F12" s="10"/>
      <c r="G12" s="10"/>
      <c r="H12" s="75"/>
      <c r="I12" s="42">
        <f>I13</f>
        <v>-476.2075666936135</v>
      </c>
      <c r="J12" s="38">
        <v>463</v>
      </c>
      <c r="K12" s="38">
        <f>J12+I12</f>
        <v>-13.207566693613501</v>
      </c>
    </row>
    <row r="13" spans="1:11" x14ac:dyDescent="0.25">
      <c r="A13" s="31" t="s">
        <v>37</v>
      </c>
      <c r="B13" s="3">
        <v>1</v>
      </c>
      <c r="C13" s="26">
        <v>908</v>
      </c>
      <c r="D13" s="5">
        <f t="shared" ref="D13" si="4">B13*C13*0.1</f>
        <v>90.800000000000011</v>
      </c>
      <c r="E13" s="64">
        <f>0.15*1.3*B13</f>
        <v>0.19500000000000001</v>
      </c>
      <c r="F13" s="30">
        <f>E13/$E$79*$F$79</f>
        <v>361.79304769603885</v>
      </c>
      <c r="G13" s="30">
        <f t="shared" si="2"/>
        <v>476.2075666936135</v>
      </c>
      <c r="H13" s="75"/>
      <c r="I13" s="34">
        <f>H13-G13</f>
        <v>-476.2075666936135</v>
      </c>
      <c r="J13" s="39"/>
      <c r="K13" s="40"/>
    </row>
    <row r="14" spans="1:11" x14ac:dyDescent="0.25">
      <c r="A14" s="9" t="s">
        <v>12</v>
      </c>
      <c r="B14" s="9"/>
      <c r="C14" s="9"/>
      <c r="D14" s="10"/>
      <c r="E14" s="9"/>
      <c r="F14" s="10"/>
      <c r="G14" s="10"/>
      <c r="H14" s="75"/>
      <c r="I14" s="42">
        <f>SUM(I15:I18)</f>
        <v>-5156.6385893290217</v>
      </c>
      <c r="J14" s="38">
        <f>4347+730</f>
        <v>5077</v>
      </c>
      <c r="K14" s="38">
        <f>J14+I14</f>
        <v>-79.63858932902167</v>
      </c>
    </row>
    <row r="15" spans="1:11" ht="30" x14ac:dyDescent="0.25">
      <c r="A15" s="18" t="s">
        <v>116</v>
      </c>
      <c r="B15" s="3">
        <v>1</v>
      </c>
      <c r="C15" s="3">
        <v>3174</v>
      </c>
      <c r="D15" s="5">
        <f>B15*C15*0.1</f>
        <v>317.40000000000003</v>
      </c>
      <c r="E15" s="3">
        <f>1*1.15</f>
        <v>1.1499999999999999</v>
      </c>
      <c r="F15" s="30">
        <f>E15/$E$79*$F$79</f>
        <v>2133.6513069253569</v>
      </c>
      <c r="G15" s="30">
        <f t="shared" ref="G15:G16" si="5">(B15*C15)*$B$1+D15*$B$1+F15*$B$1</f>
        <v>1968.7679574238746</v>
      </c>
      <c r="H15" s="75"/>
      <c r="I15" s="34">
        <f>H15-G15</f>
        <v>-1968.7679574238746</v>
      </c>
      <c r="J15" s="39"/>
      <c r="K15" s="40"/>
    </row>
    <row r="16" spans="1:11" x14ac:dyDescent="0.25">
      <c r="A16" s="79" t="s">
        <v>167</v>
      </c>
      <c r="B16" s="80">
        <v>1</v>
      </c>
      <c r="C16" s="80">
        <v>1550</v>
      </c>
      <c r="D16" s="5">
        <f>B16*C16*0.1</f>
        <v>155</v>
      </c>
      <c r="E16" s="3">
        <f>0.105*1.3</f>
        <v>0.13650000000000001</v>
      </c>
      <c r="F16" s="30">
        <f>E16/$E$79*$F$79</f>
        <v>253.25513338722718</v>
      </c>
      <c r="G16" s="30">
        <f t="shared" si="5"/>
        <v>685.38929668552953</v>
      </c>
      <c r="H16" s="75"/>
      <c r="I16" s="34">
        <f>H16-G16</f>
        <v>-685.38929668552953</v>
      </c>
      <c r="J16" s="39"/>
      <c r="K16" s="40"/>
    </row>
    <row r="17" spans="1:14" ht="30" x14ac:dyDescent="0.25">
      <c r="A17" s="18" t="s">
        <v>89</v>
      </c>
      <c r="B17" s="3">
        <v>1</v>
      </c>
      <c r="C17" s="3">
        <v>2995</v>
      </c>
      <c r="D17" s="5">
        <f>C17*0.1</f>
        <v>299.5</v>
      </c>
      <c r="E17" s="3">
        <f>1*1.15</f>
        <v>1.1499999999999999</v>
      </c>
      <c r="F17" s="30">
        <f>E17/$E$79*$F$79</f>
        <v>2133.6513069253569</v>
      </c>
      <c r="G17" s="30">
        <f t="shared" si="2"/>
        <v>1899.8529574238751</v>
      </c>
      <c r="H17" s="75"/>
      <c r="I17" s="34">
        <f>H17-G17</f>
        <v>-1899.8529574238751</v>
      </c>
      <c r="J17" s="39"/>
      <c r="K17" s="40"/>
    </row>
    <row r="18" spans="1:14" x14ac:dyDescent="0.25">
      <c r="A18" s="18" t="s">
        <v>117</v>
      </c>
      <c r="B18" s="3">
        <v>1</v>
      </c>
      <c r="C18" s="3">
        <v>1346</v>
      </c>
      <c r="D18" s="5">
        <f>B18*C18*0.1</f>
        <v>134.6</v>
      </c>
      <c r="E18" s="3">
        <f>0.1*1.3</f>
        <v>0.13</v>
      </c>
      <c r="F18" s="30">
        <f>E18/$E$79*$F$79</f>
        <v>241.19536513069255</v>
      </c>
      <c r="G18" s="30">
        <f t="shared" si="2"/>
        <v>602.62837779574227</v>
      </c>
      <c r="H18" s="75"/>
      <c r="I18" s="34">
        <f>H18-G18</f>
        <v>-602.62837779574227</v>
      </c>
      <c r="J18" s="39"/>
      <c r="K18" s="40"/>
    </row>
    <row r="19" spans="1:14" x14ac:dyDescent="0.25">
      <c r="A19" s="9" t="s">
        <v>51</v>
      </c>
      <c r="B19" s="9"/>
      <c r="C19" s="9"/>
      <c r="D19" s="56"/>
      <c r="E19" s="56"/>
      <c r="F19" s="56"/>
      <c r="G19" s="57"/>
      <c r="H19" s="78"/>
      <c r="I19" s="58">
        <f>I20</f>
        <v>-914.28124225276201</v>
      </c>
      <c r="J19" s="59">
        <v>915</v>
      </c>
      <c r="K19" s="59">
        <f>J19+I19</f>
        <v>0.71875774723798713</v>
      </c>
      <c r="L19" s="1" t="s">
        <v>166</v>
      </c>
      <c r="N19">
        <v>-26</v>
      </c>
    </row>
    <row r="20" spans="1:14" x14ac:dyDescent="0.25">
      <c r="A20" s="18" t="s">
        <v>119</v>
      </c>
      <c r="B20" s="3">
        <v>1</v>
      </c>
      <c r="C20" s="3">
        <v>2002</v>
      </c>
      <c r="D20" s="5">
        <f>B20*C20*0.1</f>
        <v>200.20000000000002</v>
      </c>
      <c r="E20" s="3">
        <f>0.17*1.3</f>
        <v>0.22100000000000003</v>
      </c>
      <c r="F20" s="30">
        <f>E20/$E$79*$F$79</f>
        <v>410.03212072217741</v>
      </c>
      <c r="G20" s="30">
        <f>(B20*C20)*$B$1+D20*$B$1+F20*$B$1</f>
        <v>914.28124225276201</v>
      </c>
      <c r="H20" s="75"/>
      <c r="I20" s="34">
        <f>H20-G20</f>
        <v>-914.28124225276201</v>
      </c>
      <c r="J20" s="39"/>
      <c r="K20" s="40"/>
    </row>
    <row r="21" spans="1:14" x14ac:dyDescent="0.25">
      <c r="A21" s="9" t="s">
        <v>68</v>
      </c>
      <c r="B21" s="9"/>
      <c r="C21" s="9"/>
      <c r="D21" s="10"/>
      <c r="E21" s="9"/>
      <c r="F21" s="10"/>
      <c r="G21" s="10"/>
      <c r="H21" s="75"/>
      <c r="I21" s="42">
        <f>SUM(I22:I23)</f>
        <v>-1184.4293222850984</v>
      </c>
      <c r="J21" s="38">
        <v>1151</v>
      </c>
      <c r="K21" s="38">
        <f>J21+I21</f>
        <v>-33.429322285098351</v>
      </c>
    </row>
    <row r="22" spans="1:14" x14ac:dyDescent="0.25">
      <c r="A22" s="18" t="s">
        <v>120</v>
      </c>
      <c r="B22" s="3">
        <v>1</v>
      </c>
      <c r="C22" s="3">
        <v>1104</v>
      </c>
      <c r="D22" s="5">
        <f>B22*C22*0.1</f>
        <v>110.4</v>
      </c>
      <c r="E22" s="3">
        <f>0.3*1.3</f>
        <v>0.39</v>
      </c>
      <c r="F22" s="30">
        <f>E22/$E$79*$F$79</f>
        <v>723.58609539207771</v>
      </c>
      <c r="G22" s="30">
        <f t="shared" si="2"/>
        <v>678.29513338722711</v>
      </c>
      <c r="H22" s="75"/>
      <c r="I22" s="34">
        <f>H22-G22</f>
        <v>-678.29513338722711</v>
      </c>
      <c r="J22" s="39"/>
      <c r="K22" s="40"/>
    </row>
    <row r="23" spans="1:14" ht="30" x14ac:dyDescent="0.25">
      <c r="A23" s="18" t="s">
        <v>121</v>
      </c>
      <c r="B23" s="3">
        <v>1</v>
      </c>
      <c r="C23" s="3">
        <v>1205</v>
      </c>
      <c r="D23" s="5">
        <f>B23*C23*0.1</f>
        <v>120.5</v>
      </c>
      <c r="E23" s="3">
        <f>0.05*1.3</f>
        <v>6.5000000000000002E-2</v>
      </c>
      <c r="F23" s="30">
        <f>E23/$E$79*$F$79</f>
        <v>120.59768256534628</v>
      </c>
      <c r="G23" s="30">
        <f t="shared" si="2"/>
        <v>506.13418889787118</v>
      </c>
      <c r="H23" s="75"/>
      <c r="I23" s="34">
        <f>H23-G23</f>
        <v>-506.13418889787118</v>
      </c>
      <c r="J23" s="39"/>
      <c r="K23" s="40"/>
    </row>
    <row r="24" spans="1:14" x14ac:dyDescent="0.25">
      <c r="A24" s="9" t="s">
        <v>122</v>
      </c>
      <c r="B24" s="9"/>
      <c r="C24" s="9"/>
      <c r="D24" s="10"/>
      <c r="E24" s="9"/>
      <c r="F24" s="10"/>
      <c r="G24" s="10"/>
      <c r="H24" s="75"/>
      <c r="I24" s="42">
        <f>SUM(I25:I27)</f>
        <v>-1725.1949690110482</v>
      </c>
      <c r="J24" s="38">
        <f>1677+48</f>
        <v>1725</v>
      </c>
      <c r="K24" s="38">
        <f t="shared" si="0"/>
        <v>-0.19496901104821518</v>
      </c>
    </row>
    <row r="25" spans="1:14" x14ac:dyDescent="0.25">
      <c r="A25" s="18" t="s">
        <v>123</v>
      </c>
      <c r="B25" s="3">
        <v>1</v>
      </c>
      <c r="C25" s="3">
        <v>772</v>
      </c>
      <c r="D25" s="5">
        <f t="shared" ref="D25:D26" si="6">B25*C25*0.1</f>
        <v>77.2</v>
      </c>
      <c r="E25" s="3">
        <f>0.13*1.3</f>
        <v>0.16900000000000001</v>
      </c>
      <c r="F25" s="30">
        <f>E25/$E$79*$F$79</f>
        <v>313.55397466990036</v>
      </c>
      <c r="G25" s="30">
        <f t="shared" si="2"/>
        <v>406.96389113446509</v>
      </c>
      <c r="H25" s="75"/>
      <c r="I25" s="34">
        <f>H25-G25</f>
        <v>-406.96389113446509</v>
      </c>
      <c r="J25" s="39"/>
      <c r="K25" s="40"/>
    </row>
    <row r="26" spans="1:14" x14ac:dyDescent="0.25">
      <c r="A26" s="18" t="s">
        <v>124</v>
      </c>
      <c r="B26" s="3">
        <v>1</v>
      </c>
      <c r="C26" s="3">
        <v>1104</v>
      </c>
      <c r="D26" s="14">
        <f t="shared" si="6"/>
        <v>110.4</v>
      </c>
      <c r="E26" s="3">
        <f>0.3*1.3</f>
        <v>0.39</v>
      </c>
      <c r="F26" s="30">
        <f>E26/$E$79*$F$79</f>
        <v>723.58609539207771</v>
      </c>
      <c r="G26" s="30">
        <f t="shared" si="2"/>
        <v>678.29513338722711</v>
      </c>
      <c r="H26" s="75"/>
      <c r="I26" s="34">
        <f>H26-G26</f>
        <v>-678.29513338722711</v>
      </c>
      <c r="J26" s="39"/>
      <c r="K26" s="40"/>
    </row>
    <row r="27" spans="1:14" ht="30" x14ac:dyDescent="0.25">
      <c r="A27" s="18" t="s">
        <v>125</v>
      </c>
      <c r="B27" s="3">
        <v>1</v>
      </c>
      <c r="C27" s="3">
        <v>1114</v>
      </c>
      <c r="D27" s="14">
        <f t="shared" si="1"/>
        <v>111.4</v>
      </c>
      <c r="E27" s="3">
        <f>0.25*1.3</f>
        <v>0.32500000000000001</v>
      </c>
      <c r="F27" s="30">
        <f>E27/$E$79*$F$79</f>
        <v>602.98841282673141</v>
      </c>
      <c r="G27" s="30">
        <f t="shared" si="2"/>
        <v>639.93594448935596</v>
      </c>
      <c r="H27" s="75"/>
      <c r="I27" s="34">
        <f>H27-G27</f>
        <v>-639.93594448935596</v>
      </c>
      <c r="J27" s="39"/>
      <c r="K27" s="40"/>
    </row>
    <row r="28" spans="1:14" x14ac:dyDescent="0.25">
      <c r="A28" s="9" t="s">
        <v>126</v>
      </c>
      <c r="B28" s="9"/>
      <c r="C28" s="9"/>
      <c r="D28" s="10"/>
      <c r="E28" s="9"/>
      <c r="F28" s="10"/>
      <c r="G28" s="10"/>
      <c r="H28" s="75"/>
      <c r="I28" s="42">
        <f>SUM(I29:I32)</f>
        <v>-2446.168777957424</v>
      </c>
      <c r="J28" s="38">
        <f>2378+68</f>
        <v>2446</v>
      </c>
      <c r="K28" s="38">
        <f t="shared" si="0"/>
        <v>-0.16877795742402668</v>
      </c>
    </row>
    <row r="29" spans="1:14" ht="45" x14ac:dyDescent="0.25">
      <c r="A29" s="31" t="s">
        <v>127</v>
      </c>
      <c r="B29" s="3">
        <v>1</v>
      </c>
      <c r="C29" s="3">
        <v>1653</v>
      </c>
      <c r="D29" s="5">
        <f t="shared" ref="D29:D32" si="7">B29*C29*0.1</f>
        <v>165.3</v>
      </c>
      <c r="E29" s="64">
        <f>0.36*1.3</f>
        <v>0.46799999999999997</v>
      </c>
      <c r="F29" s="30">
        <f>E29/$E$79*$F$79</f>
        <v>868.30331447049309</v>
      </c>
      <c r="G29" s="30">
        <f t="shared" si="2"/>
        <v>940.31116006467255</v>
      </c>
      <c r="H29" s="75"/>
      <c r="I29" s="34">
        <f>H29-G29</f>
        <v>-940.31116006467255</v>
      </c>
      <c r="J29" s="39"/>
      <c r="K29" s="40"/>
    </row>
    <row r="30" spans="1:14" ht="45" x14ac:dyDescent="0.25">
      <c r="A30" s="31" t="s">
        <v>128</v>
      </c>
      <c r="B30" s="3">
        <v>1</v>
      </c>
      <c r="C30" s="3">
        <v>1197</v>
      </c>
      <c r="D30" s="14">
        <f t="shared" si="7"/>
        <v>119.7</v>
      </c>
      <c r="E30" s="3">
        <f>0.24*1.3</f>
        <v>0.312</v>
      </c>
      <c r="F30" s="30">
        <f>E30/$E$79*$F$79</f>
        <v>578.8688763136621</v>
      </c>
      <c r="G30" s="30">
        <f t="shared" si="2"/>
        <v>663.44910670978174</v>
      </c>
      <c r="H30" s="75"/>
      <c r="I30" s="34">
        <f>H30-G30</f>
        <v>-663.44910670978174</v>
      </c>
      <c r="J30" s="39"/>
      <c r="K30" s="40"/>
    </row>
    <row r="31" spans="1:14" ht="30" x14ac:dyDescent="0.25">
      <c r="A31" s="31" t="s">
        <v>129</v>
      </c>
      <c r="B31" s="3">
        <v>1</v>
      </c>
      <c r="C31" s="3">
        <v>645</v>
      </c>
      <c r="D31" s="14">
        <f t="shared" si="7"/>
        <v>64.5</v>
      </c>
      <c r="E31" s="3">
        <f>0.2*1.3</f>
        <v>0.26</v>
      </c>
      <c r="F31" s="30">
        <f>E31/$E$79*$F$79</f>
        <v>482.3907302613851</v>
      </c>
      <c r="G31" s="30">
        <f t="shared" si="2"/>
        <v>417.16175559148473</v>
      </c>
      <c r="H31" s="75"/>
      <c r="I31" s="34">
        <f>H31-G31</f>
        <v>-417.16175559148473</v>
      </c>
      <c r="J31" s="39"/>
      <c r="K31" s="40"/>
    </row>
    <row r="32" spans="1:14" ht="30" x14ac:dyDescent="0.25">
      <c r="A32" s="31" t="s">
        <v>130</v>
      </c>
      <c r="B32" s="3">
        <v>1</v>
      </c>
      <c r="C32" s="3">
        <v>666</v>
      </c>
      <c r="D32" s="14">
        <f t="shared" si="7"/>
        <v>66.600000000000009</v>
      </c>
      <c r="E32" s="3">
        <f>0.2*1.3</f>
        <v>0.26</v>
      </c>
      <c r="F32" s="30">
        <f>E32/$E$79*$F$79</f>
        <v>482.3907302613851</v>
      </c>
      <c r="G32" s="30">
        <f t="shared" si="2"/>
        <v>425.24675559148477</v>
      </c>
      <c r="H32" s="75"/>
      <c r="I32" s="34">
        <f>H32-G32</f>
        <v>-425.24675559148477</v>
      </c>
      <c r="J32" s="39"/>
      <c r="K32" s="40"/>
    </row>
    <row r="33" spans="1:12" x14ac:dyDescent="0.25">
      <c r="A33" s="9" t="s">
        <v>99</v>
      </c>
      <c r="B33" s="9"/>
      <c r="C33" s="9"/>
      <c r="D33" s="10"/>
      <c r="E33" s="9"/>
      <c r="F33" s="10"/>
      <c r="G33" s="10"/>
      <c r="H33" s="75"/>
      <c r="I33" s="42">
        <f>SUM(I34:I35)</f>
        <v>-1815.219373484236</v>
      </c>
      <c r="J33" s="38">
        <f>1627+50</f>
        <v>1677</v>
      </c>
      <c r="K33" s="38">
        <f t="shared" si="0"/>
        <v>-138.21937348423603</v>
      </c>
    </row>
    <row r="34" spans="1:12" ht="30" x14ac:dyDescent="0.25">
      <c r="A34" s="31" t="s">
        <v>131</v>
      </c>
      <c r="B34" s="3">
        <v>1</v>
      </c>
      <c r="C34" s="3">
        <v>1197</v>
      </c>
      <c r="D34" s="5">
        <f t="shared" ref="D34:D35" si="8">B34*C34*0.1</f>
        <v>119.7</v>
      </c>
      <c r="E34" s="3">
        <f>0.24*1.3</f>
        <v>0.312</v>
      </c>
      <c r="F34" s="30">
        <f>E34/$E$79*$F$79</f>
        <v>578.8688763136621</v>
      </c>
      <c r="G34" s="30">
        <f t="shared" si="2"/>
        <v>663.44910670978174</v>
      </c>
      <c r="H34" s="75"/>
      <c r="I34" s="34">
        <f>H34-G34</f>
        <v>-663.44910670978174</v>
      </c>
      <c r="J34" s="39"/>
      <c r="K34" s="40"/>
    </row>
    <row r="35" spans="1:12" ht="30" x14ac:dyDescent="0.25">
      <c r="A35" s="31" t="s">
        <v>132</v>
      </c>
      <c r="B35" s="3">
        <v>1</v>
      </c>
      <c r="C35" s="3">
        <v>1676</v>
      </c>
      <c r="D35" s="14">
        <f t="shared" si="8"/>
        <v>167.60000000000002</v>
      </c>
      <c r="E35" s="3">
        <f>0.6*1.3</f>
        <v>0.78</v>
      </c>
      <c r="F35" s="30">
        <f>E35/$E$79*$F$79</f>
        <v>1447.1721907841554</v>
      </c>
      <c r="G35" s="30">
        <f t="shared" si="2"/>
        <v>1151.7702667744543</v>
      </c>
      <c r="H35" s="75"/>
      <c r="I35" s="34">
        <f>H35-G35</f>
        <v>-1151.7702667744543</v>
      </c>
      <c r="J35" s="39"/>
      <c r="K35" s="40"/>
    </row>
    <row r="36" spans="1:12" ht="28.5" x14ac:dyDescent="0.45">
      <c r="A36" s="60" t="s">
        <v>164</v>
      </c>
      <c r="B36" s="61"/>
      <c r="C36" s="61"/>
      <c r="D36" s="61"/>
      <c r="E36" s="61"/>
      <c r="F36" s="61"/>
      <c r="G36" s="61"/>
      <c r="H36" s="77"/>
      <c r="I36" s="61"/>
      <c r="J36" s="62"/>
      <c r="K36" s="63"/>
    </row>
    <row r="37" spans="1:12" x14ac:dyDescent="0.25">
      <c r="A37" s="9" t="s">
        <v>90</v>
      </c>
      <c r="B37" s="9"/>
      <c r="C37" s="9"/>
      <c r="D37" s="10"/>
      <c r="E37" s="9"/>
      <c r="F37" s="10"/>
      <c r="G37" s="10"/>
      <c r="H37" s="75"/>
      <c r="I37" s="42">
        <f>I38</f>
        <v>-940.31116006467255</v>
      </c>
      <c r="J37" s="38">
        <v>904</v>
      </c>
      <c r="K37" s="38">
        <f>J37+I37</f>
        <v>-36.311160064672549</v>
      </c>
    </row>
    <row r="38" spans="1:12" ht="28.5" customHeight="1" x14ac:dyDescent="0.25">
      <c r="A38" s="65" t="s">
        <v>133</v>
      </c>
      <c r="B38" s="3">
        <v>1</v>
      </c>
      <c r="C38" s="3">
        <v>1653</v>
      </c>
      <c r="D38" s="5">
        <f t="shared" ref="D38" si="9">B38*C38*0.1</f>
        <v>165.3</v>
      </c>
      <c r="E38" s="64">
        <f>0.36*1.3</f>
        <v>0.46799999999999997</v>
      </c>
      <c r="F38" s="30">
        <f>E38/$E$79*$F$79</f>
        <v>868.30331447049309</v>
      </c>
      <c r="G38" s="30">
        <f t="shared" ref="G38" si="10">(B38*C38)*$B$1+D38*$B$1+F38*$B$1</f>
        <v>940.31116006467255</v>
      </c>
      <c r="H38" s="75"/>
      <c r="I38" s="34">
        <f>H38-G38</f>
        <v>-940.31116006467255</v>
      </c>
      <c r="J38" s="39"/>
      <c r="K38" s="40"/>
    </row>
    <row r="39" spans="1:12" x14ac:dyDescent="0.25">
      <c r="A39" s="9" t="s">
        <v>70</v>
      </c>
      <c r="B39" s="46"/>
      <c r="C39" s="33"/>
      <c r="D39" s="10"/>
      <c r="E39" s="10"/>
      <c r="F39" s="10"/>
      <c r="G39" s="10"/>
      <c r="H39" s="75"/>
      <c r="I39" s="42">
        <f>SUM(I40:I44)</f>
        <v>-3614.7753179735923</v>
      </c>
      <c r="J39" s="38">
        <f>3514+110-10</f>
        <v>3614</v>
      </c>
      <c r="K39" s="38">
        <f>J39+I39</f>
        <v>-0.77531797359233678</v>
      </c>
      <c r="L39" t="s">
        <v>211</v>
      </c>
    </row>
    <row r="40" spans="1:12" ht="30" x14ac:dyDescent="0.25">
      <c r="A40" s="18" t="s">
        <v>134</v>
      </c>
      <c r="B40" s="3">
        <v>1</v>
      </c>
      <c r="C40" s="3">
        <v>2002</v>
      </c>
      <c r="D40" s="5">
        <f t="shared" ref="D40:D44" si="11">B40*C40*0.1</f>
        <v>200.20000000000002</v>
      </c>
      <c r="E40" s="3">
        <f>0.17*1.3</f>
        <v>0.22100000000000003</v>
      </c>
      <c r="F40" s="30">
        <f>E40/$E$79*$F$79</f>
        <v>410.03212072217741</v>
      </c>
      <c r="G40" s="30">
        <f t="shared" si="2"/>
        <v>914.28124225276201</v>
      </c>
      <c r="H40" s="75"/>
      <c r="I40" s="34">
        <f>H40-G40</f>
        <v>-914.28124225276201</v>
      </c>
      <c r="J40" s="39"/>
      <c r="K40" s="40"/>
    </row>
    <row r="41" spans="1:12" x14ac:dyDescent="0.25">
      <c r="A41" s="18" t="s">
        <v>135</v>
      </c>
      <c r="B41" s="3">
        <v>1</v>
      </c>
      <c r="C41" s="3">
        <v>2300</v>
      </c>
      <c r="D41" s="5">
        <f t="shared" si="11"/>
        <v>230</v>
      </c>
      <c r="E41" s="3">
        <f>0.6*1.3</f>
        <v>0.78</v>
      </c>
      <c r="F41" s="30">
        <f>E41/$E$79*$F$79</f>
        <v>1447.1721907841554</v>
      </c>
      <c r="G41" s="30">
        <f t="shared" si="2"/>
        <v>1392.0102667744543</v>
      </c>
      <c r="H41" s="75"/>
      <c r="I41" s="34">
        <f>H41-G41</f>
        <v>-1392.0102667744543</v>
      </c>
      <c r="J41" s="39"/>
      <c r="K41" s="40"/>
    </row>
    <row r="42" spans="1:12" ht="30" x14ac:dyDescent="0.25">
      <c r="A42" s="31" t="s">
        <v>136</v>
      </c>
      <c r="B42" s="3">
        <v>1</v>
      </c>
      <c r="C42" s="3">
        <v>1205</v>
      </c>
      <c r="D42" s="5">
        <f t="shared" ref="D42" si="12">B42*C42*0.1</f>
        <v>120.5</v>
      </c>
      <c r="E42" s="3">
        <f>0.05*1.3</f>
        <v>6.5000000000000002E-2</v>
      </c>
      <c r="F42" s="30">
        <f>E42/$E$79*$F$79</f>
        <v>120.59768256534628</v>
      </c>
      <c r="G42" s="30">
        <f t="shared" ref="G42" si="13">(B42*C42)*$B$1+D42*$B$1+F42*$B$1</f>
        <v>506.13418889787118</v>
      </c>
      <c r="H42" s="75"/>
      <c r="I42" s="34">
        <f>H42-G42</f>
        <v>-506.13418889787118</v>
      </c>
      <c r="J42" s="39"/>
      <c r="K42" s="40"/>
    </row>
    <row r="43" spans="1:12" ht="45" x14ac:dyDescent="0.25">
      <c r="A43" s="18" t="s">
        <v>137</v>
      </c>
      <c r="B43" s="3">
        <v>1</v>
      </c>
      <c r="C43" s="3">
        <v>709</v>
      </c>
      <c r="D43" s="5">
        <f t="shared" si="11"/>
        <v>70.900000000000006</v>
      </c>
      <c r="E43" s="3">
        <f>0.14*1.3</f>
        <v>0.18200000000000002</v>
      </c>
      <c r="F43" s="30">
        <f>E43/$E$79*$F$79</f>
        <v>337.67351118296961</v>
      </c>
      <c r="G43" s="30">
        <f t="shared" si="2"/>
        <v>391.15072891403935</v>
      </c>
      <c r="H43" s="75"/>
      <c r="I43" s="34">
        <f>H43-G43</f>
        <v>-391.15072891403935</v>
      </c>
      <c r="J43" s="39"/>
      <c r="K43" s="40"/>
    </row>
    <row r="44" spans="1:12" ht="30" x14ac:dyDescent="0.25">
      <c r="A44" s="18" t="s">
        <v>138</v>
      </c>
      <c r="B44" s="3">
        <v>1</v>
      </c>
      <c r="C44" s="3">
        <v>783</v>
      </c>
      <c r="D44" s="5">
        <f t="shared" si="11"/>
        <v>78.300000000000011</v>
      </c>
      <c r="E44" s="3">
        <f>0.13*1.3</f>
        <v>0.16900000000000001</v>
      </c>
      <c r="F44" s="30">
        <f>E44/$E$79*$F$79</f>
        <v>313.55397466990036</v>
      </c>
      <c r="G44" s="30">
        <f t="shared" si="2"/>
        <v>411.19889113446504</v>
      </c>
      <c r="H44" s="75"/>
      <c r="I44" s="34">
        <f>H44-G44</f>
        <v>-411.19889113446504</v>
      </c>
      <c r="J44" s="39"/>
      <c r="K44" s="40"/>
    </row>
    <row r="45" spans="1:12" x14ac:dyDescent="0.25">
      <c r="A45" s="9" t="s">
        <v>139</v>
      </c>
      <c r="B45" s="9"/>
      <c r="C45" s="9"/>
      <c r="D45" s="10"/>
      <c r="E45" s="10"/>
      <c r="F45" s="10"/>
      <c r="G45" s="10"/>
      <c r="H45" s="75"/>
      <c r="I45" s="42">
        <f>SUM(I46:I49)</f>
        <v>-2502.303562382107</v>
      </c>
      <c r="J45" s="38">
        <f>2433+69</f>
        <v>2502</v>
      </c>
      <c r="K45" s="38">
        <f>J45+I45</f>
        <v>-0.30356238210697484</v>
      </c>
    </row>
    <row r="46" spans="1:12" ht="24" x14ac:dyDescent="0.25">
      <c r="A46" s="65" t="s">
        <v>133</v>
      </c>
      <c r="B46" s="3">
        <v>1</v>
      </c>
      <c r="C46" s="3">
        <v>1653</v>
      </c>
      <c r="D46" s="5">
        <f t="shared" ref="D46:D49" si="14">B46*C46*0.1</f>
        <v>165.3</v>
      </c>
      <c r="E46" s="64">
        <f>0.36*1.3</f>
        <v>0.46799999999999997</v>
      </c>
      <c r="F46" s="30">
        <f>E46/$E$79*$F$79</f>
        <v>868.30331447049309</v>
      </c>
      <c r="G46" s="30">
        <f t="shared" ref="G46:G49" si="15">(B46*C46)*$B$1+D46*$B$1+F46*$B$1</f>
        <v>940.31116006467255</v>
      </c>
      <c r="H46" s="75"/>
      <c r="I46" s="34">
        <f>H46-G46</f>
        <v>-940.31116006467255</v>
      </c>
      <c r="J46" s="39"/>
      <c r="K46" s="40"/>
    </row>
    <row r="47" spans="1:12" ht="30" x14ac:dyDescent="0.25">
      <c r="A47" s="18" t="s">
        <v>140</v>
      </c>
      <c r="B47" s="20">
        <v>1</v>
      </c>
      <c r="C47" s="3">
        <v>772</v>
      </c>
      <c r="D47" s="5">
        <f t="shared" si="14"/>
        <v>77.2</v>
      </c>
      <c r="E47" s="64">
        <f>0.13*1.3</f>
        <v>0.16900000000000001</v>
      </c>
      <c r="F47" s="30">
        <f>E47/$E$79*$F$79</f>
        <v>313.55397466990036</v>
      </c>
      <c r="G47" s="30">
        <f t="shared" si="15"/>
        <v>406.96389113446509</v>
      </c>
      <c r="H47" s="75"/>
      <c r="I47" s="34">
        <f>H47-G47</f>
        <v>-406.96389113446509</v>
      </c>
      <c r="J47" s="39"/>
      <c r="K47" s="40"/>
    </row>
    <row r="48" spans="1:12" ht="30" x14ac:dyDescent="0.25">
      <c r="A48" s="18" t="s">
        <v>141</v>
      </c>
      <c r="B48" s="3">
        <v>1</v>
      </c>
      <c r="C48" s="3">
        <v>1069</v>
      </c>
      <c r="D48" s="5">
        <f t="shared" si="14"/>
        <v>106.9</v>
      </c>
      <c r="E48" s="64">
        <f>0.2*1.3</f>
        <v>0.26</v>
      </c>
      <c r="F48" s="30">
        <f>E48/$E$79*$F$79</f>
        <v>482.3907302613851</v>
      </c>
      <c r="G48" s="30">
        <f t="shared" si="15"/>
        <v>580.40175559148474</v>
      </c>
      <c r="H48" s="75"/>
      <c r="I48" s="34">
        <f>H48-G48</f>
        <v>-580.40175559148474</v>
      </c>
      <c r="J48" s="39"/>
      <c r="K48" s="40"/>
    </row>
    <row r="49" spans="1:12" ht="30" x14ac:dyDescent="0.25">
      <c r="A49" s="18" t="s">
        <v>142</v>
      </c>
      <c r="B49" s="3">
        <v>1</v>
      </c>
      <c r="C49" s="3">
        <v>1054</v>
      </c>
      <c r="D49" s="5">
        <f t="shared" si="14"/>
        <v>105.4</v>
      </c>
      <c r="E49" s="64">
        <f>0.2*1.3</f>
        <v>0.26</v>
      </c>
      <c r="F49" s="30">
        <f>E49/$E$79*$F$79</f>
        <v>482.3907302613851</v>
      </c>
      <c r="G49" s="30">
        <f t="shared" si="15"/>
        <v>574.62675559148477</v>
      </c>
      <c r="H49" s="75"/>
      <c r="I49" s="34">
        <f>H49-G49</f>
        <v>-574.62675559148477</v>
      </c>
      <c r="J49" s="39"/>
      <c r="K49" s="40"/>
    </row>
    <row r="50" spans="1:12" x14ac:dyDescent="0.25">
      <c r="A50" s="9" t="s">
        <v>143</v>
      </c>
      <c r="B50" s="9"/>
      <c r="C50" s="9"/>
      <c r="D50" s="10"/>
      <c r="E50" s="9"/>
      <c r="F50" s="10"/>
      <c r="G50" s="10"/>
      <c r="H50" s="75"/>
      <c r="I50" s="42">
        <f>SUM(I51:I52)</f>
        <v>-1781.3486445701965</v>
      </c>
      <c r="J50" s="38">
        <f>1732+49</f>
        <v>1781</v>
      </c>
      <c r="K50" s="38">
        <f t="shared" ref="K50" si="16">J50+I50</f>
        <v>-0.34864457019648398</v>
      </c>
    </row>
    <row r="51" spans="1:12" x14ac:dyDescent="0.25">
      <c r="A51" s="31" t="s">
        <v>37</v>
      </c>
      <c r="B51" s="3">
        <v>1</v>
      </c>
      <c r="C51" s="26">
        <v>908</v>
      </c>
      <c r="D51" s="5">
        <f t="shared" ref="D51:D52" si="17">B51*C51*0.1</f>
        <v>90.800000000000011</v>
      </c>
      <c r="E51" s="64">
        <f>0.15*1.3*B51</f>
        <v>0.19500000000000001</v>
      </c>
      <c r="F51" s="30">
        <f>E51/$E$79*$F$79</f>
        <v>361.79304769603885</v>
      </c>
      <c r="G51" s="30">
        <f t="shared" ref="G51:G52" si="18">(B51*C51)*$B$1+D51*$B$1+F51*$B$1</f>
        <v>476.2075666936135</v>
      </c>
      <c r="H51" s="75"/>
      <c r="I51" s="34">
        <f>H51-G51</f>
        <v>-476.2075666936135</v>
      </c>
      <c r="J51" s="39"/>
      <c r="K51" s="40"/>
    </row>
    <row r="52" spans="1:12" x14ac:dyDescent="0.25">
      <c r="A52" s="18" t="s">
        <v>144</v>
      </c>
      <c r="B52" s="3">
        <v>1</v>
      </c>
      <c r="C52" s="3">
        <v>2184</v>
      </c>
      <c r="D52" s="5">
        <f t="shared" si="17"/>
        <v>218.4</v>
      </c>
      <c r="E52" s="3">
        <f>0.3*1.3+0.25*1.3</f>
        <v>0.71500000000000008</v>
      </c>
      <c r="F52" s="30">
        <f>E52/$E$79*$F$79</f>
        <v>1326.5745082188091</v>
      </c>
      <c r="G52" s="30">
        <f t="shared" si="18"/>
        <v>1305.141077876583</v>
      </c>
      <c r="H52" s="75"/>
      <c r="I52" s="34">
        <f>H52-G52</f>
        <v>-1305.141077876583</v>
      </c>
      <c r="J52" s="39"/>
      <c r="K52" s="40"/>
    </row>
    <row r="53" spans="1:12" x14ac:dyDescent="0.25">
      <c r="A53" s="9" t="s">
        <v>23</v>
      </c>
      <c r="B53" s="9"/>
      <c r="C53" s="9"/>
      <c r="D53" s="10"/>
      <c r="E53" s="9"/>
      <c r="F53" s="10"/>
      <c r="G53" s="10"/>
      <c r="H53" s="75"/>
      <c r="I53" s="42">
        <f>SUM(I54:I54)</f>
        <v>-206.21918889787119</v>
      </c>
      <c r="J53" s="38">
        <v>477</v>
      </c>
      <c r="K53" s="38">
        <f>J53+I53-271</f>
        <v>-0.21918889787116314</v>
      </c>
      <c r="L53" s="82" t="s">
        <v>176</v>
      </c>
    </row>
    <row r="54" spans="1:12" x14ac:dyDescent="0.25">
      <c r="A54" s="18" t="s">
        <v>145</v>
      </c>
      <c r="B54" s="3">
        <v>1</v>
      </c>
      <c r="C54" s="3">
        <v>426</v>
      </c>
      <c r="D54" s="5">
        <f t="shared" ref="D54" si="19">B54*C54*0.1</f>
        <v>42.6</v>
      </c>
      <c r="E54" s="3">
        <f>0.05*1.3</f>
        <v>6.5000000000000002E-2</v>
      </c>
      <c r="F54" s="30">
        <f>E54/$E$79*$F$79</f>
        <v>120.59768256534628</v>
      </c>
      <c r="G54" s="30">
        <f t="shared" ref="G54" si="20">(B54*C54)*$B$1+D54*$B$1+F54*$B$1</f>
        <v>206.21918889787119</v>
      </c>
      <c r="H54" s="75"/>
      <c r="I54" s="34">
        <f>H54-G54</f>
        <v>-206.21918889787119</v>
      </c>
      <c r="J54" s="39"/>
      <c r="K54" s="40"/>
    </row>
    <row r="55" spans="1:12" x14ac:dyDescent="0.25">
      <c r="A55" s="9" t="s">
        <v>146</v>
      </c>
      <c r="B55" s="9"/>
      <c r="C55" s="9"/>
      <c r="D55" s="10"/>
      <c r="E55" s="9"/>
      <c r="F55" s="10"/>
      <c r="G55" s="10"/>
      <c r="H55" s="75"/>
      <c r="I55" s="42">
        <f>SUM(I56:I61)</f>
        <v>-3923.8554513608192</v>
      </c>
      <c r="J55" s="38">
        <f>2000+1815+110</f>
        <v>3925</v>
      </c>
      <c r="K55" s="38">
        <f>J55+I55</f>
        <v>1.1445486391808117</v>
      </c>
    </row>
    <row r="56" spans="1:12" x14ac:dyDescent="0.25">
      <c r="A56" s="31" t="s">
        <v>37</v>
      </c>
      <c r="B56" s="3">
        <v>1</v>
      </c>
      <c r="C56" s="26">
        <v>908</v>
      </c>
      <c r="D56" s="5">
        <f t="shared" ref="D56:D60" si="21">B56*C56*0.1</f>
        <v>90.800000000000011</v>
      </c>
      <c r="E56" s="64">
        <f>0.15*1.3*B56</f>
        <v>0.19500000000000001</v>
      </c>
      <c r="F56" s="30">
        <f t="shared" ref="F56:F60" si="22">E56/$E$79*$F$79</f>
        <v>361.79304769603885</v>
      </c>
      <c r="G56" s="30">
        <f t="shared" ref="G56:G60" si="23">(B56*C56)*$B$1+D56*$B$1+F56*$B$1</f>
        <v>476.2075666936135</v>
      </c>
      <c r="H56" s="75"/>
      <c r="I56" s="34">
        <f t="shared" ref="I56:I61" si="24">H56-G56</f>
        <v>-476.2075666936135</v>
      </c>
      <c r="J56" s="39"/>
      <c r="K56" s="40"/>
    </row>
    <row r="57" spans="1:12" ht="30" x14ac:dyDescent="0.25">
      <c r="A57" s="18" t="s">
        <v>147</v>
      </c>
      <c r="B57" s="3">
        <v>1</v>
      </c>
      <c r="C57" s="3">
        <v>1080</v>
      </c>
      <c r="D57" s="5">
        <f t="shared" ref="D57" si="25">B57*C57*0.1</f>
        <v>108</v>
      </c>
      <c r="E57" s="3">
        <f>0.2*1.3</f>
        <v>0.26</v>
      </c>
      <c r="F57" s="30">
        <f t="shared" si="22"/>
        <v>482.3907302613851</v>
      </c>
      <c r="G57" s="30">
        <f t="shared" ref="G57" si="26">(B57*C57)*$B$1+D57*$B$1+F57*$B$1</f>
        <v>584.63675559148476</v>
      </c>
      <c r="H57" s="75"/>
      <c r="I57" s="34">
        <f t="shared" si="24"/>
        <v>-584.63675559148476</v>
      </c>
      <c r="J57" s="39"/>
      <c r="K57" s="40"/>
    </row>
    <row r="58" spans="1:12" x14ac:dyDescent="0.25">
      <c r="A58" s="18" t="s">
        <v>148</v>
      </c>
      <c r="B58" s="3">
        <v>1</v>
      </c>
      <c r="C58" s="3">
        <v>880</v>
      </c>
      <c r="D58" s="5">
        <f t="shared" si="21"/>
        <v>88</v>
      </c>
      <c r="E58" s="3">
        <f>0.24*1.3</f>
        <v>0.312</v>
      </c>
      <c r="F58" s="30">
        <f t="shared" si="22"/>
        <v>578.8688763136621</v>
      </c>
      <c r="G58" s="30">
        <f t="shared" si="23"/>
        <v>541.40410670978167</v>
      </c>
      <c r="H58" s="75"/>
      <c r="I58" s="34">
        <f t="shared" si="24"/>
        <v>-541.40410670978167</v>
      </c>
      <c r="J58" s="39"/>
      <c r="K58" s="40"/>
    </row>
    <row r="59" spans="1:12" x14ac:dyDescent="0.25">
      <c r="A59" s="18" t="s">
        <v>149</v>
      </c>
      <c r="B59" s="3">
        <v>1</v>
      </c>
      <c r="C59" s="3">
        <v>1427</v>
      </c>
      <c r="D59" s="5">
        <f t="shared" si="21"/>
        <v>142.70000000000002</v>
      </c>
      <c r="E59" s="3">
        <f>0.26*1.3</f>
        <v>0.33800000000000002</v>
      </c>
      <c r="F59" s="30">
        <f t="shared" si="22"/>
        <v>627.10794933980071</v>
      </c>
      <c r="G59" s="30">
        <f t="shared" si="23"/>
        <v>768.88278226893021</v>
      </c>
      <c r="H59" s="75"/>
      <c r="I59" s="34">
        <f t="shared" si="24"/>
        <v>-768.88278226893021</v>
      </c>
      <c r="J59" s="39"/>
      <c r="K59" s="40"/>
    </row>
    <row r="60" spans="1:12" x14ac:dyDescent="0.25">
      <c r="A60" s="18" t="s">
        <v>150</v>
      </c>
      <c r="B60" s="3">
        <v>1</v>
      </c>
      <c r="C60" s="3">
        <v>709</v>
      </c>
      <c r="D60" s="5">
        <f t="shared" si="21"/>
        <v>70.900000000000006</v>
      </c>
      <c r="E60" s="3">
        <f>0.14*1.3</f>
        <v>0.18200000000000002</v>
      </c>
      <c r="F60" s="30">
        <f t="shared" si="22"/>
        <v>337.67351118296961</v>
      </c>
      <c r="G60" s="30">
        <f t="shared" si="23"/>
        <v>391.15072891403935</v>
      </c>
      <c r="H60" s="75"/>
      <c r="I60" s="34">
        <f t="shared" si="24"/>
        <v>-391.15072891403935</v>
      </c>
      <c r="J60" s="39"/>
      <c r="K60" s="40"/>
    </row>
    <row r="61" spans="1:12" x14ac:dyDescent="0.25">
      <c r="A61" s="18" t="s">
        <v>151</v>
      </c>
      <c r="B61" s="66">
        <v>2</v>
      </c>
      <c r="C61" s="3">
        <v>1070</v>
      </c>
      <c r="D61" s="5">
        <f>B61*C61*0.1</f>
        <v>214</v>
      </c>
      <c r="E61" s="26">
        <f>0.2*1.3*2</f>
        <v>0.52</v>
      </c>
      <c r="F61" s="30">
        <f>E61/$E$79*$F$79</f>
        <v>964.7814605227702</v>
      </c>
      <c r="G61" s="30">
        <f>(B61*C61)*$B$1+D61*$B$1+F61*$B$1</f>
        <v>1161.5735111829695</v>
      </c>
      <c r="H61" s="75"/>
      <c r="I61" s="34">
        <f t="shared" si="24"/>
        <v>-1161.5735111829695</v>
      </c>
      <c r="J61" s="39"/>
      <c r="K61" s="40"/>
    </row>
    <row r="62" spans="1:12" x14ac:dyDescent="0.25">
      <c r="A62" s="9" t="s">
        <v>13</v>
      </c>
      <c r="B62" s="9"/>
      <c r="C62" s="9"/>
      <c r="D62" s="10"/>
      <c r="E62" s="9"/>
      <c r="F62" s="10"/>
      <c r="G62" s="10"/>
      <c r="H62" s="75"/>
      <c r="I62" s="42">
        <f>I63</f>
        <v>-476.2075666936135</v>
      </c>
      <c r="J62" s="38">
        <v>463</v>
      </c>
      <c r="K62" s="38">
        <f>J62+I62</f>
        <v>-13.207566693613501</v>
      </c>
    </row>
    <row r="63" spans="1:12" x14ac:dyDescent="0.25">
      <c r="A63" s="31" t="s">
        <v>37</v>
      </c>
      <c r="B63" s="3">
        <v>1</v>
      </c>
      <c r="C63" s="26">
        <v>908</v>
      </c>
      <c r="D63" s="5">
        <f t="shared" ref="D63" si="27">B63*C63*0.1</f>
        <v>90.800000000000011</v>
      </c>
      <c r="E63" s="64">
        <f>0.15*1.3*B63</f>
        <v>0.19500000000000001</v>
      </c>
      <c r="F63" s="30">
        <f>E63/$E$79*$F$79</f>
        <v>361.79304769603885</v>
      </c>
      <c r="G63" s="30">
        <f t="shared" ref="G63" si="28">(B63*C63)*$B$1+D63*$B$1+F63*$B$1</f>
        <v>476.2075666936135</v>
      </c>
      <c r="H63" s="75"/>
      <c r="I63" s="34">
        <f>H63-G63</f>
        <v>-476.2075666936135</v>
      </c>
      <c r="J63" s="39"/>
      <c r="K63" s="40"/>
    </row>
    <row r="64" spans="1:12" x14ac:dyDescent="0.25">
      <c r="A64" s="9" t="s">
        <v>85</v>
      </c>
      <c r="B64" s="9"/>
      <c r="C64" s="9"/>
      <c r="D64" s="10"/>
      <c r="E64" s="9"/>
      <c r="F64" s="10"/>
      <c r="G64" s="10"/>
      <c r="H64" s="75"/>
      <c r="I64" s="42">
        <f>I65</f>
        <v>-580.78675559148473</v>
      </c>
      <c r="J64" s="38">
        <f>565+129</f>
        <v>694</v>
      </c>
      <c r="K64" s="38">
        <f>J64+I64</f>
        <v>113.21324440851527</v>
      </c>
    </row>
    <row r="65" spans="1:12" x14ac:dyDescent="0.25">
      <c r="A65" s="18" t="s">
        <v>152</v>
      </c>
      <c r="B65" s="3">
        <v>1</v>
      </c>
      <c r="C65" s="3">
        <v>1070</v>
      </c>
      <c r="D65" s="5">
        <f t="shared" ref="D65" si="29">B65*C65*0.1</f>
        <v>107</v>
      </c>
      <c r="E65" s="3">
        <f>0.2*1.3</f>
        <v>0.26</v>
      </c>
      <c r="F65" s="30">
        <f>E65/$E$79*$F$79</f>
        <v>482.3907302613851</v>
      </c>
      <c r="G65" s="30">
        <f t="shared" ref="G65" si="30">(B65*C65)*$B$1+D65*$B$1+F65*$B$1</f>
        <v>580.78675559148473</v>
      </c>
      <c r="H65" s="75"/>
      <c r="I65" s="34">
        <f>H65-G65</f>
        <v>-580.78675559148473</v>
      </c>
      <c r="J65" s="39"/>
      <c r="K65" s="40"/>
    </row>
    <row r="66" spans="1:12" x14ac:dyDescent="0.25">
      <c r="A66" s="9" t="s">
        <v>153</v>
      </c>
      <c r="B66" s="9"/>
      <c r="C66" s="9"/>
      <c r="D66" s="10"/>
      <c r="E66" s="9"/>
      <c r="F66" s="10"/>
      <c r="G66" s="10"/>
      <c r="H66" s="75"/>
      <c r="I66" s="42">
        <f>SUM(I67:I69)</f>
        <v>-1757.3189423336025</v>
      </c>
      <c r="J66" s="38">
        <f>1564+144+49</f>
        <v>1757</v>
      </c>
      <c r="K66" s="38">
        <f t="shared" ref="K66" si="31">J66+I66</f>
        <v>-0.31894233360253565</v>
      </c>
    </row>
    <row r="67" spans="1:12" x14ac:dyDescent="0.25">
      <c r="A67" s="18" t="s">
        <v>154</v>
      </c>
      <c r="B67" s="3">
        <v>1</v>
      </c>
      <c r="C67" s="3">
        <v>1103</v>
      </c>
      <c r="D67" s="5">
        <f t="shared" ref="D67:D69" si="32">B67*C67*0.1</f>
        <v>110.30000000000001</v>
      </c>
      <c r="E67" s="3">
        <f>0.24*1.3</f>
        <v>0.312</v>
      </c>
      <c r="F67" s="30">
        <f>E67/$E$79*$F$79</f>
        <v>578.8688763136621</v>
      </c>
      <c r="G67" s="30">
        <f t="shared" ref="G67:G69" si="33">(B67*C67)*$B$1+D67*$B$1+F67*$B$1</f>
        <v>627.25910670978169</v>
      </c>
      <c r="H67" s="75"/>
      <c r="I67" s="34">
        <f>H67-G67</f>
        <v>-627.25910670978169</v>
      </c>
      <c r="J67" s="39"/>
      <c r="K67" s="40"/>
    </row>
    <row r="68" spans="1:12" x14ac:dyDescent="0.25">
      <c r="A68" s="18" t="s">
        <v>155</v>
      </c>
      <c r="B68" s="3">
        <v>1</v>
      </c>
      <c r="C68" s="3">
        <v>1290</v>
      </c>
      <c r="D68" s="5">
        <f t="shared" si="32"/>
        <v>129</v>
      </c>
      <c r="E68" s="3">
        <f>0.24*1.3</f>
        <v>0.312</v>
      </c>
      <c r="F68" s="30">
        <f>E68/$E$79*$F$79</f>
        <v>578.8688763136621</v>
      </c>
      <c r="G68" s="30">
        <f t="shared" si="33"/>
        <v>699.25410670978158</v>
      </c>
      <c r="H68" s="75"/>
      <c r="I68" s="34">
        <f>H68-G68</f>
        <v>-699.25410670978158</v>
      </c>
      <c r="J68" s="39"/>
      <c r="K68" s="40"/>
    </row>
    <row r="69" spans="1:12" x14ac:dyDescent="0.25">
      <c r="A69" s="18" t="s">
        <v>156</v>
      </c>
      <c r="B69" s="3">
        <v>1</v>
      </c>
      <c r="C69" s="3">
        <v>812</v>
      </c>
      <c r="D69" s="5">
        <f t="shared" si="32"/>
        <v>81.2</v>
      </c>
      <c r="E69" s="3">
        <f>0.14*1.3</f>
        <v>0.18200000000000002</v>
      </c>
      <c r="F69" s="30">
        <f>E69/$E$79*$F$79</f>
        <v>337.67351118296961</v>
      </c>
      <c r="G69" s="30">
        <f t="shared" si="33"/>
        <v>430.80572891403938</v>
      </c>
      <c r="H69" s="75"/>
      <c r="I69" s="34">
        <f>H69-G69</f>
        <v>-430.80572891403938</v>
      </c>
      <c r="J69" s="39"/>
      <c r="K69" s="40"/>
    </row>
    <row r="70" spans="1:12" x14ac:dyDescent="0.25">
      <c r="A70" s="9" t="s">
        <v>157</v>
      </c>
      <c r="B70" s="9"/>
      <c r="C70" s="9"/>
      <c r="D70" s="10"/>
      <c r="E70" s="9"/>
      <c r="F70" s="10"/>
      <c r="G70" s="10"/>
      <c r="H70" s="75"/>
      <c r="I70" s="42">
        <f>SUM(I71:I73)</f>
        <v>-1608.9249690110482</v>
      </c>
      <c r="J70" s="38">
        <v>1564</v>
      </c>
      <c r="K70" s="38">
        <f t="shared" ref="K70" si="34">J70+I70</f>
        <v>-44.924969011048233</v>
      </c>
    </row>
    <row r="71" spans="1:12" ht="30" x14ac:dyDescent="0.25">
      <c r="A71" s="18" t="s">
        <v>158</v>
      </c>
      <c r="B71" s="3">
        <v>1</v>
      </c>
      <c r="C71" s="3">
        <v>1103</v>
      </c>
      <c r="D71" s="5">
        <f t="shared" ref="D71:D73" si="35">B71*C71*0.1</f>
        <v>110.30000000000001</v>
      </c>
      <c r="E71" s="3">
        <f>0.24*1.3</f>
        <v>0.312</v>
      </c>
      <c r="F71" s="30">
        <f>E71/$E$79*$F$79</f>
        <v>578.8688763136621</v>
      </c>
      <c r="G71" s="30">
        <f t="shared" ref="G71:G73" si="36">(B71*C71)*$B$1+D71*$B$1+F71*$B$1</f>
        <v>627.25910670978169</v>
      </c>
      <c r="H71" s="75"/>
      <c r="I71" s="34">
        <f>H71-G71</f>
        <v>-627.25910670978169</v>
      </c>
      <c r="J71" s="39"/>
      <c r="K71" s="40"/>
    </row>
    <row r="72" spans="1:12" x14ac:dyDescent="0.25">
      <c r="A72" s="18" t="s">
        <v>159</v>
      </c>
      <c r="B72" s="3">
        <v>1</v>
      </c>
      <c r="C72" s="3">
        <v>645</v>
      </c>
      <c r="D72" s="5">
        <f t="shared" si="35"/>
        <v>64.5</v>
      </c>
      <c r="E72" s="3">
        <f>0.2*1.3</f>
        <v>0.26</v>
      </c>
      <c r="F72" s="30">
        <f>E72/$E$79*$F$79</f>
        <v>482.3907302613851</v>
      </c>
      <c r="G72" s="30">
        <f t="shared" si="36"/>
        <v>417.16175559148473</v>
      </c>
      <c r="H72" s="75"/>
      <c r="I72" s="34">
        <f>H72-G72</f>
        <v>-417.16175559148473</v>
      </c>
      <c r="J72" s="39"/>
      <c r="K72" s="40"/>
    </row>
    <row r="73" spans="1:12" ht="30" x14ac:dyDescent="0.25">
      <c r="A73" s="18" t="s">
        <v>160</v>
      </c>
      <c r="B73" s="3">
        <v>1</v>
      </c>
      <c r="C73" s="3">
        <v>940</v>
      </c>
      <c r="D73" s="5">
        <f t="shared" si="35"/>
        <v>94</v>
      </c>
      <c r="E73" s="3">
        <f>0.24*1.3</f>
        <v>0.312</v>
      </c>
      <c r="F73" s="30">
        <f>E73/$E$79*$F$79</f>
        <v>578.8688763136621</v>
      </c>
      <c r="G73" s="30">
        <f t="shared" si="36"/>
        <v>564.50410670978169</v>
      </c>
      <c r="H73" s="75"/>
      <c r="I73" s="34">
        <f>H73-G73</f>
        <v>-564.50410670978169</v>
      </c>
      <c r="J73" s="39"/>
      <c r="K73" s="40"/>
    </row>
    <row r="74" spans="1:12" x14ac:dyDescent="0.25">
      <c r="A74" s="9" t="s">
        <v>161</v>
      </c>
      <c r="B74" s="32"/>
      <c r="C74" s="32"/>
      <c r="D74" s="10"/>
      <c r="E74" s="32"/>
      <c r="F74" s="10"/>
      <c r="G74" s="10"/>
      <c r="H74" s="75"/>
      <c r="I74" s="42">
        <f>SUM(I75:I76)</f>
        <v>-555.64429668552953</v>
      </c>
      <c r="J74" s="38">
        <f>540+16</f>
        <v>556</v>
      </c>
      <c r="K74" s="38">
        <f t="shared" ref="K74" si="37">J74+I74</f>
        <v>0.35570331447047465</v>
      </c>
      <c r="L74" s="81" t="s">
        <v>174</v>
      </c>
    </row>
    <row r="75" spans="1:12" ht="30" x14ac:dyDescent="0.25">
      <c r="A75" s="31" t="s">
        <v>162</v>
      </c>
      <c r="B75" s="3">
        <v>1</v>
      </c>
      <c r="C75" s="3">
        <v>646</v>
      </c>
      <c r="D75" s="5">
        <f t="shared" ref="D75:D76" si="38">B75*C75*0.1</f>
        <v>64.600000000000009</v>
      </c>
      <c r="E75" s="3">
        <f>0.055*1.3</f>
        <v>7.1500000000000008E-2</v>
      </c>
      <c r="F75" s="30">
        <f>E75/$E$79*$F$79</f>
        <v>132.6574508218809</v>
      </c>
      <c r="G75" s="30">
        <f t="shared" si="2"/>
        <v>295.14010778765834</v>
      </c>
      <c r="H75" s="75"/>
      <c r="I75" s="34">
        <f>H75-G75</f>
        <v>-295.14010778765834</v>
      </c>
      <c r="J75" s="39"/>
      <c r="K75" s="40"/>
    </row>
    <row r="76" spans="1:12" ht="30" x14ac:dyDescent="0.25">
      <c r="A76" s="31" t="s">
        <v>163</v>
      </c>
      <c r="B76" s="3">
        <v>1</v>
      </c>
      <c r="C76" s="3">
        <v>567</v>
      </c>
      <c r="D76" s="5">
        <f t="shared" si="38"/>
        <v>56.7</v>
      </c>
      <c r="E76" s="3">
        <f>0.05*1.3</f>
        <v>6.5000000000000002E-2</v>
      </c>
      <c r="F76" s="30">
        <f>E76/$E$79*$F$79</f>
        <v>120.59768256534628</v>
      </c>
      <c r="G76" s="30">
        <f t="shared" si="2"/>
        <v>260.50418889787119</v>
      </c>
      <c r="H76" s="75"/>
      <c r="I76" s="34">
        <f>H76-G76</f>
        <v>-260.50418889787119</v>
      </c>
      <c r="J76" s="39"/>
      <c r="K76" s="40"/>
    </row>
    <row r="77" spans="1:12" x14ac:dyDescent="0.25">
      <c r="A77" s="33" t="s">
        <v>30</v>
      </c>
      <c r="B77" s="46"/>
      <c r="C77" s="33"/>
      <c r="D77" s="10"/>
      <c r="E77" s="10"/>
      <c r="F77" s="10"/>
      <c r="G77" s="10"/>
      <c r="H77" s="75"/>
      <c r="I77" s="42"/>
      <c r="J77" s="38"/>
      <c r="K77" s="38"/>
    </row>
    <row r="78" spans="1:12" x14ac:dyDescent="0.25">
      <c r="A78" s="4"/>
      <c r="B78" s="5"/>
      <c r="C78" s="5"/>
      <c r="D78" s="5">
        <f t="shared" ref="D78" si="39">B78*C78*0.1</f>
        <v>0</v>
      </c>
      <c r="E78" s="5">
        <v>2.2799999999999998</v>
      </c>
      <c r="F78" s="30">
        <f>E78/$E$79*$F$79</f>
        <v>4230.1956345998378</v>
      </c>
      <c r="G78" s="30">
        <f t="shared" si="2"/>
        <v>1480.5684721099431</v>
      </c>
      <c r="H78" s="75"/>
      <c r="I78" s="28"/>
      <c r="J78" s="28"/>
      <c r="K78" s="28"/>
    </row>
    <row r="79" spans="1:12" x14ac:dyDescent="0.25">
      <c r="A79" s="27"/>
      <c r="B79" s="28"/>
      <c r="C79" s="28"/>
      <c r="D79" s="28"/>
      <c r="E79" s="29">
        <f>SUM(E8:E78)</f>
        <v>18.555</v>
      </c>
      <c r="F79" s="29">
        <v>34426</v>
      </c>
      <c r="G79" s="28">
        <f>F79/E79</f>
        <v>1855.3489625437887</v>
      </c>
      <c r="H79" s="75"/>
      <c r="I79" s="28"/>
      <c r="J79" s="28"/>
      <c r="K79" s="28"/>
    </row>
    <row r="81" spans="1:5" ht="53.25" customHeight="1" x14ac:dyDescent="0.25">
      <c r="A81" s="118" t="s">
        <v>64</v>
      </c>
      <c r="B81" s="119"/>
      <c r="C81" s="119"/>
      <c r="D81" s="119"/>
      <c r="E81" s="119"/>
    </row>
    <row r="84" spans="1:5" ht="28.5" x14ac:dyDescent="0.45">
      <c r="A84" s="36" t="s">
        <v>168</v>
      </c>
    </row>
    <row r="85" spans="1:5" x14ac:dyDescent="0.25">
      <c r="A85" s="9" t="s">
        <v>12</v>
      </c>
    </row>
    <row r="86" spans="1:5" x14ac:dyDescent="0.25">
      <c r="A86" s="68" t="s">
        <v>167</v>
      </c>
    </row>
  </sheetData>
  <mergeCells count="1">
    <mergeCell ref="A81:E8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topLeftCell="A16" zoomScale="90" zoomScaleNormal="90" workbookViewId="0">
      <selection activeCell="J28" sqref="J28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0.3584</v>
      </c>
      <c r="C1" s="1" t="s">
        <v>206</v>
      </c>
    </row>
    <row r="2" spans="1:12" ht="21" x14ac:dyDescent="0.35">
      <c r="A2" s="8"/>
    </row>
    <row r="3" spans="1:12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2" t="s">
        <v>177</v>
      </c>
      <c r="B4" s="9"/>
      <c r="C4" s="9"/>
      <c r="D4" s="10"/>
      <c r="E4" s="10"/>
      <c r="F4" s="10"/>
      <c r="G4" s="10"/>
      <c r="H4" s="75"/>
      <c r="I4" s="42">
        <f>SUM(I5:I6)</f>
        <v>-3025.913114931469</v>
      </c>
      <c r="J4" s="38">
        <f>3000+26</f>
        <v>3026</v>
      </c>
      <c r="K4" s="38">
        <f t="shared" ref="K4:K27" si="0">J4+I4</f>
        <v>8.6885068531046272E-2</v>
      </c>
    </row>
    <row r="5" spans="1:12" x14ac:dyDescent="0.25">
      <c r="A5" s="93" t="s">
        <v>178</v>
      </c>
      <c r="B5" s="85">
        <v>1</v>
      </c>
      <c r="C5" s="85">
        <v>1700</v>
      </c>
      <c r="D5" s="83">
        <f>B5*C5*0.1</f>
        <v>170</v>
      </c>
      <c r="E5" s="85">
        <f>0.36*1.3</f>
        <v>0.46799999999999997</v>
      </c>
      <c r="F5" s="30">
        <f>E5/$E$41*$F$41</f>
        <v>862.34001996913867</v>
      </c>
      <c r="G5" s="30">
        <f>(B5*C5)*$B$1+D5*$B$1+F5*$B$1</f>
        <v>979.27066315693924</v>
      </c>
      <c r="H5" s="75"/>
      <c r="I5" s="34">
        <f>H5-G5</f>
        <v>-979.27066315693924</v>
      </c>
      <c r="J5" s="39"/>
      <c r="K5" s="40"/>
    </row>
    <row r="6" spans="1:12" x14ac:dyDescent="0.25">
      <c r="A6" s="93" t="s">
        <v>179</v>
      </c>
      <c r="B6" s="85">
        <v>1</v>
      </c>
      <c r="C6" s="85">
        <v>3265</v>
      </c>
      <c r="D6" s="83">
        <f t="shared" ref="D6:D26" si="1">B6*C6*0.1</f>
        <v>326.5</v>
      </c>
      <c r="E6" s="85">
        <f>1*1.15</f>
        <v>1.1499999999999999</v>
      </c>
      <c r="F6" s="30">
        <f>E6/$E$41*$F$41</f>
        <v>2118.9979123173275</v>
      </c>
      <c r="G6" s="30">
        <f t="shared" ref="G6:G40" si="2">(B6*C6)*$B$1+D6*$B$1+F6*$B$1</f>
        <v>2046.6424517745299</v>
      </c>
      <c r="H6" s="75"/>
      <c r="I6" s="34">
        <f t="shared" ref="I6" si="3">H6-G6</f>
        <v>-2046.6424517745299</v>
      </c>
      <c r="J6" s="39"/>
      <c r="K6" s="40"/>
    </row>
    <row r="7" spans="1:12" x14ac:dyDescent="0.25">
      <c r="A7" s="90" t="s">
        <v>180</v>
      </c>
      <c r="B7" s="86"/>
      <c r="C7" s="86"/>
      <c r="D7" s="87"/>
      <c r="E7" s="86"/>
      <c r="F7" s="10"/>
      <c r="G7" s="10"/>
      <c r="H7" s="75"/>
      <c r="I7" s="42">
        <f>I8</f>
        <v>-433.47683953163289</v>
      </c>
      <c r="J7" s="38">
        <f>423+10</f>
        <v>433</v>
      </c>
      <c r="K7" s="38">
        <f>J7+I7</f>
        <v>-0.47683953163289061</v>
      </c>
    </row>
    <row r="8" spans="1:12" x14ac:dyDescent="0.25">
      <c r="A8" s="93" t="s">
        <v>159</v>
      </c>
      <c r="B8" s="85">
        <v>1</v>
      </c>
      <c r="C8" s="85">
        <v>664</v>
      </c>
      <c r="D8" s="84">
        <f t="shared" ref="D8" si="4">B8*C8*0.1</f>
        <v>66.400000000000006</v>
      </c>
      <c r="E8" s="85">
        <f>0.2*1.3</f>
        <v>0.26</v>
      </c>
      <c r="F8" s="30">
        <f>E8/$E$41*$F$41</f>
        <v>479.07778887174373</v>
      </c>
      <c r="G8" s="30">
        <f t="shared" si="2"/>
        <v>433.47683953163289</v>
      </c>
      <c r="H8" s="75"/>
      <c r="I8" s="34">
        <f>H8-G8</f>
        <v>-433.47683953163289</v>
      </c>
      <c r="J8" s="39"/>
      <c r="K8" s="40"/>
    </row>
    <row r="9" spans="1:12" x14ac:dyDescent="0.25">
      <c r="A9" s="90" t="s">
        <v>70</v>
      </c>
      <c r="B9" s="86"/>
      <c r="C9" s="86"/>
      <c r="D9" s="87"/>
      <c r="E9" s="86"/>
      <c r="F9" s="10"/>
      <c r="G9" s="10"/>
      <c r="H9" s="75"/>
      <c r="I9" s="42">
        <f>SUM(I10:I20)</f>
        <v>-6987.6039811055643</v>
      </c>
      <c r="J9" s="38">
        <f>6824+154-190</f>
        <v>6788</v>
      </c>
      <c r="K9" s="38">
        <f>J9+I9</f>
        <v>-199.60398110556434</v>
      </c>
      <c r="L9" t="s">
        <v>212</v>
      </c>
    </row>
    <row r="10" spans="1:12" ht="26.25" x14ac:dyDescent="0.25">
      <c r="A10" s="93" t="s">
        <v>181</v>
      </c>
      <c r="B10" s="85">
        <v>1</v>
      </c>
      <c r="C10" s="85">
        <v>935</v>
      </c>
      <c r="D10" s="84">
        <f>B10*C10*0.1</f>
        <v>93.5</v>
      </c>
      <c r="E10" s="85">
        <f>0.15*1.3</f>
        <v>0.19500000000000001</v>
      </c>
      <c r="F10" s="30">
        <f t="shared" ref="F10:F20" si="5">E10/$E$41*$F$41</f>
        <v>359.30834165380782</v>
      </c>
      <c r="G10" s="30">
        <f t="shared" ref="G10:G19" si="6">(B10*C10)*$B$1+D10*$B$1+F10*$B$1</f>
        <v>497.39050964872467</v>
      </c>
      <c r="H10" s="75"/>
      <c r="I10" s="34">
        <f t="shared" ref="I10:I20" si="7">H10-G10</f>
        <v>-497.39050964872467</v>
      </c>
      <c r="J10" s="39"/>
      <c r="K10" s="40"/>
    </row>
    <row r="11" spans="1:12" ht="26.25" x14ac:dyDescent="0.25">
      <c r="A11" s="93" t="s">
        <v>182</v>
      </c>
      <c r="B11" s="85">
        <v>1</v>
      </c>
      <c r="C11" s="85">
        <v>1157</v>
      </c>
      <c r="D11" s="84">
        <f>B11*C11*0.1</f>
        <v>115.7</v>
      </c>
      <c r="E11" s="85">
        <f>0.3*1.3</f>
        <v>0.39</v>
      </c>
      <c r="F11" s="30">
        <f t="shared" si="5"/>
        <v>718.61668330761563</v>
      </c>
      <c r="G11" s="30">
        <f t="shared" si="6"/>
        <v>713.68789929744935</v>
      </c>
      <c r="H11" s="75"/>
      <c r="I11" s="34">
        <f t="shared" si="7"/>
        <v>-713.68789929744935</v>
      </c>
      <c r="J11" s="39"/>
      <c r="K11" s="40"/>
    </row>
    <row r="12" spans="1:12" ht="26.25" x14ac:dyDescent="0.25">
      <c r="A12" s="93" t="s">
        <v>183</v>
      </c>
      <c r="B12" s="88">
        <v>2</v>
      </c>
      <c r="C12" s="85">
        <v>1385</v>
      </c>
      <c r="D12" s="84">
        <f>C12*0.1</f>
        <v>138.5</v>
      </c>
      <c r="E12" s="85">
        <f>0.1*1.3</f>
        <v>0.13</v>
      </c>
      <c r="F12" s="30">
        <f t="shared" si="5"/>
        <v>239.53889443587187</v>
      </c>
      <c r="G12" s="30">
        <f>(B12*C12)*$B$1+D12*$B$1*B12+F12*$B$1*B12</f>
        <v>1263.746279531633</v>
      </c>
      <c r="H12" s="75"/>
      <c r="I12" s="34">
        <f t="shared" si="7"/>
        <v>-1263.746279531633</v>
      </c>
      <c r="J12" s="39"/>
      <c r="K12" s="40"/>
    </row>
    <row r="13" spans="1:12" ht="26.25" x14ac:dyDescent="0.25">
      <c r="A13" s="93" t="s">
        <v>184</v>
      </c>
      <c r="B13" s="85">
        <v>1</v>
      </c>
      <c r="C13" s="85">
        <v>1276</v>
      </c>
      <c r="D13" s="84">
        <f>B13*C13*0.1</f>
        <v>127.60000000000001</v>
      </c>
      <c r="E13" s="85">
        <f>0.15*1.3</f>
        <v>0.19500000000000001</v>
      </c>
      <c r="F13" s="30">
        <f t="shared" si="5"/>
        <v>359.30834165380782</v>
      </c>
      <c r="G13" s="30">
        <f t="shared" ref="G13:G14" si="8">(B13*C13)*$B$1+D13*$B$1+F13*$B$1</f>
        <v>631.82634964872477</v>
      </c>
      <c r="H13" s="75"/>
      <c r="I13" s="34">
        <f t="shared" si="7"/>
        <v>-631.82634964872477</v>
      </c>
      <c r="J13" s="39"/>
      <c r="K13" s="40"/>
    </row>
    <row r="14" spans="1:12" ht="26.25" x14ac:dyDescent="0.25">
      <c r="A14" s="93" t="s">
        <v>185</v>
      </c>
      <c r="B14" s="85">
        <v>1</v>
      </c>
      <c r="C14" s="85">
        <v>975</v>
      </c>
      <c r="D14" s="84">
        <f>C14*0.1</f>
        <v>97.5</v>
      </c>
      <c r="E14" s="85">
        <f>0.3*1.3</f>
        <v>0.39</v>
      </c>
      <c r="F14" s="30">
        <f t="shared" si="5"/>
        <v>718.61668330761563</v>
      </c>
      <c r="G14" s="30">
        <f t="shared" si="8"/>
        <v>641.9362192974495</v>
      </c>
      <c r="H14" s="75"/>
      <c r="I14" s="34">
        <f t="shared" si="7"/>
        <v>-641.9362192974495</v>
      </c>
      <c r="J14" s="39"/>
      <c r="K14" s="40"/>
    </row>
    <row r="15" spans="1:12" ht="39" x14ac:dyDescent="0.25">
      <c r="A15" s="93" t="s">
        <v>186</v>
      </c>
      <c r="B15" s="85">
        <v>1</v>
      </c>
      <c r="C15" s="85">
        <v>835</v>
      </c>
      <c r="D15" s="84">
        <f>B15*C15*0.1</f>
        <v>83.5</v>
      </c>
      <c r="E15" s="85">
        <f>0.14*1.3</f>
        <v>0.18200000000000002</v>
      </c>
      <c r="F15" s="30">
        <f t="shared" si="5"/>
        <v>335.35445221022064</v>
      </c>
      <c r="G15" s="30">
        <f t="shared" ref="G15:G16" si="9">(B15*C15)*$B$1+D15*$B$1+F15*$B$1</f>
        <v>449.38143567214308</v>
      </c>
      <c r="H15" s="75"/>
      <c r="I15" s="34">
        <f t="shared" si="7"/>
        <v>-449.38143567214308</v>
      </c>
      <c r="J15" s="39"/>
      <c r="K15" s="40"/>
    </row>
    <row r="16" spans="1:12" ht="26.25" x14ac:dyDescent="0.25">
      <c r="A16" s="93" t="s">
        <v>187</v>
      </c>
      <c r="B16" s="85">
        <v>1</v>
      </c>
      <c r="C16" s="85">
        <v>672</v>
      </c>
      <c r="D16" s="84">
        <f>C16*0.1</f>
        <v>67.2</v>
      </c>
      <c r="E16" s="85">
        <f>0.2*1.3</f>
        <v>0.26</v>
      </c>
      <c r="F16" s="30">
        <f t="shared" si="5"/>
        <v>479.07778887174373</v>
      </c>
      <c r="G16" s="30">
        <f t="shared" si="9"/>
        <v>436.63075953163298</v>
      </c>
      <c r="H16" s="75"/>
      <c r="I16" s="34">
        <f t="shared" si="7"/>
        <v>-436.63075953163298</v>
      </c>
      <c r="J16" s="39"/>
      <c r="K16" s="40"/>
    </row>
    <row r="17" spans="1:11" ht="26.25" x14ac:dyDescent="0.25">
      <c r="A17" s="93" t="s">
        <v>188</v>
      </c>
      <c r="B17" s="85">
        <v>1</v>
      </c>
      <c r="C17" s="85">
        <v>670</v>
      </c>
      <c r="D17" s="84">
        <f>B17*C17*0.1</f>
        <v>67</v>
      </c>
      <c r="E17" s="85">
        <f>0.2*1.3</f>
        <v>0.26</v>
      </c>
      <c r="F17" s="30">
        <f t="shared" si="5"/>
        <v>479.07778887174373</v>
      </c>
      <c r="G17" s="30">
        <f t="shared" ref="G17:G18" si="10">(B17*C17)*$B$1+D17*$B$1+F17*$B$1</f>
        <v>435.84227953163293</v>
      </c>
      <c r="H17" s="75"/>
      <c r="I17" s="34">
        <f t="shared" si="7"/>
        <v>-435.84227953163293</v>
      </c>
      <c r="J17" s="39"/>
      <c r="K17" s="40"/>
    </row>
    <row r="18" spans="1:11" ht="39" x14ac:dyDescent="0.25">
      <c r="A18" s="93" t="s">
        <v>189</v>
      </c>
      <c r="B18" s="85">
        <v>1</v>
      </c>
      <c r="C18" s="85">
        <v>1290</v>
      </c>
      <c r="D18" s="84">
        <f>C18*0.1</f>
        <v>129</v>
      </c>
      <c r="E18" s="85">
        <f>0.15*1.3</f>
        <v>0.19500000000000001</v>
      </c>
      <c r="F18" s="30">
        <f t="shared" si="5"/>
        <v>359.30834165380782</v>
      </c>
      <c r="G18" s="30">
        <f t="shared" si="10"/>
        <v>637.34570964872478</v>
      </c>
      <c r="H18" s="75"/>
      <c r="I18" s="34">
        <f t="shared" si="7"/>
        <v>-637.34570964872478</v>
      </c>
      <c r="J18" s="39"/>
      <c r="K18" s="40"/>
    </row>
    <row r="19" spans="1:11" ht="26.25" x14ac:dyDescent="0.25">
      <c r="A19" s="93" t="s">
        <v>190</v>
      </c>
      <c r="B19" s="85">
        <v>1</v>
      </c>
      <c r="C19" s="85">
        <v>1303</v>
      </c>
      <c r="D19" s="84">
        <f>B19*C19*0.1</f>
        <v>130.30000000000001</v>
      </c>
      <c r="E19" s="85">
        <f t="shared" ref="E19:E20" si="11">0.15*1.3</f>
        <v>0.19500000000000001</v>
      </c>
      <c r="F19" s="30">
        <f t="shared" si="5"/>
        <v>359.30834165380782</v>
      </c>
      <c r="G19" s="30">
        <f t="shared" si="6"/>
        <v>642.4708296487247</v>
      </c>
      <c r="H19" s="75"/>
      <c r="I19" s="34">
        <f t="shared" si="7"/>
        <v>-642.4708296487247</v>
      </c>
      <c r="J19" s="39"/>
      <c r="K19" s="40"/>
    </row>
    <row r="20" spans="1:11" ht="26.25" x14ac:dyDescent="0.25">
      <c r="A20" s="93" t="s">
        <v>191</v>
      </c>
      <c r="B20" s="85">
        <v>1</v>
      </c>
      <c r="C20" s="85">
        <v>1290</v>
      </c>
      <c r="D20" s="84">
        <f>B20*C20*0.1</f>
        <v>129</v>
      </c>
      <c r="E20" s="85">
        <f t="shared" si="11"/>
        <v>0.19500000000000001</v>
      </c>
      <c r="F20" s="30">
        <f t="shared" si="5"/>
        <v>359.30834165380782</v>
      </c>
      <c r="G20" s="30">
        <f t="shared" si="2"/>
        <v>637.34570964872478</v>
      </c>
      <c r="H20" s="75"/>
      <c r="I20" s="34">
        <f t="shared" si="7"/>
        <v>-637.34570964872478</v>
      </c>
      <c r="J20" s="39"/>
      <c r="K20" s="40"/>
    </row>
    <row r="21" spans="1:11" x14ac:dyDescent="0.25">
      <c r="A21" s="90" t="s">
        <v>192</v>
      </c>
      <c r="B21" s="86"/>
      <c r="C21" s="86"/>
      <c r="D21" s="87"/>
      <c r="E21" s="86"/>
      <c r="F21" s="10"/>
      <c r="G21" s="10"/>
      <c r="H21" s="75"/>
      <c r="I21" s="42">
        <f>SUM(I22:I23)</f>
        <v>-3037.6052960188799</v>
      </c>
      <c r="J21" s="38">
        <f>2780+186+72</f>
        <v>3038</v>
      </c>
      <c r="K21" s="38">
        <f>J21+I21</f>
        <v>0.39470398112007388</v>
      </c>
    </row>
    <row r="22" spans="1:11" x14ac:dyDescent="0.25">
      <c r="A22" s="93" t="s">
        <v>193</v>
      </c>
      <c r="B22" s="85">
        <v>1</v>
      </c>
      <c r="C22" s="85">
        <v>2344</v>
      </c>
      <c r="D22" s="84">
        <f>B22*C22*0.1</f>
        <v>234.4</v>
      </c>
      <c r="E22" s="85">
        <f>0.98*1.3</f>
        <v>1.274</v>
      </c>
      <c r="F22" s="30">
        <f>E22/$E$41*$F$41</f>
        <v>2347.481165471544</v>
      </c>
      <c r="G22" s="30">
        <f t="shared" si="2"/>
        <v>1765.4358097050012</v>
      </c>
      <c r="H22" s="75"/>
      <c r="I22" s="34">
        <f>H22-G22</f>
        <v>-1765.4358097050012</v>
      </c>
      <c r="J22" s="39"/>
      <c r="K22" s="40"/>
    </row>
    <row r="23" spans="1:11" ht="26.25" x14ac:dyDescent="0.25">
      <c r="A23" s="93" t="s">
        <v>194</v>
      </c>
      <c r="B23" s="85">
        <v>1</v>
      </c>
      <c r="C23" s="85">
        <v>1659</v>
      </c>
      <c r="D23" s="84">
        <f>B23*C23*0.1</f>
        <v>165.9</v>
      </c>
      <c r="E23" s="85">
        <f>0.72*1.3</f>
        <v>0.93599999999999994</v>
      </c>
      <c r="F23" s="30">
        <f>E23/$E$41*$F$41</f>
        <v>1724.6800399382773</v>
      </c>
      <c r="G23" s="30">
        <f t="shared" si="2"/>
        <v>1272.1694863138787</v>
      </c>
      <c r="H23" s="75"/>
      <c r="I23" s="34">
        <f>H23-G23</f>
        <v>-1272.1694863138787</v>
      </c>
      <c r="J23" s="39"/>
      <c r="K23" s="40"/>
    </row>
    <row r="24" spans="1:11" x14ac:dyDescent="0.25">
      <c r="A24" s="90" t="s">
        <v>146</v>
      </c>
      <c r="B24" s="86"/>
      <c r="C24" s="86"/>
      <c r="D24" s="87"/>
      <c r="E24" s="86"/>
      <c r="F24" s="10"/>
      <c r="G24" s="10"/>
      <c r="H24" s="75"/>
      <c r="I24" s="42">
        <f>SUM(I25:I26)</f>
        <v>-2678.6613133303081</v>
      </c>
      <c r="J24" s="38">
        <f>2616+63</f>
        <v>2679</v>
      </c>
      <c r="K24" s="38">
        <f t="shared" si="0"/>
        <v>0.33868666969192418</v>
      </c>
    </row>
    <row r="25" spans="1:11" ht="51.75" x14ac:dyDescent="0.25">
      <c r="A25" s="93" t="s">
        <v>207</v>
      </c>
      <c r="B25" s="85">
        <v>1</v>
      </c>
      <c r="C25" s="85">
        <v>2411</v>
      </c>
      <c r="D25" s="84">
        <f t="shared" ref="D25" si="12">B25*C25*0.1</f>
        <v>241.10000000000002</v>
      </c>
      <c r="E25" s="85">
        <f>0.6*1.3</f>
        <v>0.78</v>
      </c>
      <c r="F25" s="30">
        <f>E25/$E$41*$F$41</f>
        <v>1437.2333666152313</v>
      </c>
      <c r="G25" s="30">
        <f t="shared" si="2"/>
        <v>1465.6170785948989</v>
      </c>
      <c r="H25" s="75"/>
      <c r="I25" s="34">
        <f>H25-G25</f>
        <v>-1465.6170785948989</v>
      </c>
      <c r="J25" s="39"/>
      <c r="K25" s="40"/>
    </row>
    <row r="26" spans="1:11" ht="26.25" x14ac:dyDescent="0.25">
      <c r="A26" s="93" t="s">
        <v>195</v>
      </c>
      <c r="B26" s="85">
        <v>1</v>
      </c>
      <c r="C26" s="85">
        <v>1901</v>
      </c>
      <c r="D26" s="83">
        <f t="shared" si="1"/>
        <v>190.10000000000002</v>
      </c>
      <c r="E26" s="85">
        <f>0.24*1.3+0.3*1.3</f>
        <v>0.70199999999999996</v>
      </c>
      <c r="F26" s="30">
        <f>E26/$E$41*$F$41</f>
        <v>1293.510029953708</v>
      </c>
      <c r="G26" s="30">
        <f t="shared" si="2"/>
        <v>1213.044234735409</v>
      </c>
      <c r="H26" s="75"/>
      <c r="I26" s="34">
        <f>H26-G26</f>
        <v>-1213.044234735409</v>
      </c>
      <c r="J26" s="39"/>
      <c r="K26" s="40"/>
    </row>
    <row r="27" spans="1:11" x14ac:dyDescent="0.25">
      <c r="A27" s="90" t="s">
        <v>196</v>
      </c>
      <c r="B27" s="86"/>
      <c r="C27" s="86"/>
      <c r="D27" s="87"/>
      <c r="E27" s="86"/>
      <c r="F27" s="10"/>
      <c r="G27" s="10"/>
      <c r="H27" s="75"/>
      <c r="I27" s="42">
        <f>SUM(I28:I30)</f>
        <v>-1544.0240484778069</v>
      </c>
      <c r="J27" s="38">
        <f>1508+36</f>
        <v>1544</v>
      </c>
      <c r="K27" s="38">
        <f t="shared" si="0"/>
        <v>-2.4048477806900337E-2</v>
      </c>
    </row>
    <row r="28" spans="1:11" x14ac:dyDescent="0.25">
      <c r="A28" s="93" t="s">
        <v>197</v>
      </c>
      <c r="B28" s="85">
        <v>1</v>
      </c>
      <c r="C28" s="85">
        <v>670</v>
      </c>
      <c r="D28" s="84">
        <f t="shared" ref="D28:D30" si="13">B28*C28*0.1</f>
        <v>67</v>
      </c>
      <c r="E28" s="85">
        <f>0.2*1.3</f>
        <v>0.26</v>
      </c>
      <c r="F28" s="30">
        <f>E28/$E$41*$F$41</f>
        <v>479.07778887174373</v>
      </c>
      <c r="G28" s="30">
        <f t="shared" si="2"/>
        <v>435.84227953163293</v>
      </c>
      <c r="H28" s="75"/>
      <c r="I28" s="34">
        <f>H28-G28</f>
        <v>-435.84227953163293</v>
      </c>
      <c r="J28" s="39"/>
      <c r="K28" s="40"/>
    </row>
    <row r="29" spans="1:11" x14ac:dyDescent="0.25">
      <c r="A29" s="93" t="s">
        <v>198</v>
      </c>
      <c r="B29" s="85">
        <v>1</v>
      </c>
      <c r="C29" s="85">
        <v>685</v>
      </c>
      <c r="D29" s="83">
        <f t="shared" si="13"/>
        <v>68.5</v>
      </c>
      <c r="E29" s="85">
        <f>0.2*1.3</f>
        <v>0.26</v>
      </c>
      <c r="F29" s="30">
        <f>E29/$E$41*$F$41</f>
        <v>479.07778887174373</v>
      </c>
      <c r="G29" s="30">
        <f t="shared" si="2"/>
        <v>441.7558795316329</v>
      </c>
      <c r="H29" s="75"/>
      <c r="I29" s="34">
        <f>H29-G29</f>
        <v>-441.7558795316329</v>
      </c>
      <c r="J29" s="39"/>
      <c r="K29" s="40"/>
    </row>
    <row r="30" spans="1:11" ht="26.25" x14ac:dyDescent="0.25">
      <c r="A30" s="93" t="s">
        <v>199</v>
      </c>
      <c r="B30" s="85">
        <v>1</v>
      </c>
      <c r="C30" s="85">
        <v>1146</v>
      </c>
      <c r="D30" s="83">
        <f t="shared" si="13"/>
        <v>114.60000000000001</v>
      </c>
      <c r="E30" s="85">
        <f>0.25*1.3</f>
        <v>0.32500000000000001</v>
      </c>
      <c r="F30" s="30">
        <f>E30/$E$41*$F$41</f>
        <v>598.84723608967965</v>
      </c>
      <c r="G30" s="30">
        <f t="shared" si="2"/>
        <v>666.42588941454119</v>
      </c>
      <c r="H30" s="75"/>
      <c r="I30" s="34">
        <f>H30-G30</f>
        <v>-666.42588941454119</v>
      </c>
      <c r="J30" s="39"/>
      <c r="K30" s="40"/>
    </row>
    <row r="31" spans="1:11" x14ac:dyDescent="0.25">
      <c r="A31" s="90" t="s">
        <v>114</v>
      </c>
      <c r="B31" s="86"/>
      <c r="C31" s="86"/>
      <c r="D31" s="87"/>
      <c r="E31" s="86"/>
      <c r="F31" s="10"/>
      <c r="G31" s="10"/>
      <c r="H31" s="75"/>
      <c r="I31" s="42">
        <f>I32</f>
        <v>-1146.2826785948989</v>
      </c>
      <c r="J31" s="38">
        <f>1121+57</f>
        <v>1178</v>
      </c>
      <c r="K31" s="38">
        <f>J31+I31</f>
        <v>31.717321405101075</v>
      </c>
    </row>
    <row r="32" spans="1:11" x14ac:dyDescent="0.25">
      <c r="A32" s="93" t="s">
        <v>200</v>
      </c>
      <c r="B32" s="85">
        <v>1</v>
      </c>
      <c r="C32" s="85">
        <v>1601</v>
      </c>
      <c r="D32" s="84">
        <f t="shared" ref="D32" si="14">B32*C32*0.1</f>
        <v>160.10000000000002</v>
      </c>
      <c r="E32" s="85">
        <f>0.6*1.3</f>
        <v>0.78</v>
      </c>
      <c r="F32" s="30">
        <f>E32/$E$41*$F$41</f>
        <v>1437.2333666152313</v>
      </c>
      <c r="G32" s="30">
        <f t="shared" ref="G32" si="15">(B32*C32)*$B$1+D32*$B$1+F32*$B$1</f>
        <v>1146.2826785948989</v>
      </c>
      <c r="H32" s="75"/>
      <c r="I32" s="34">
        <f>H32-G32</f>
        <v>-1146.2826785948989</v>
      </c>
      <c r="J32" s="39"/>
      <c r="K32" s="40"/>
    </row>
    <row r="33" spans="1:11" x14ac:dyDescent="0.25">
      <c r="A33" s="90" t="s">
        <v>201</v>
      </c>
      <c r="B33" s="86"/>
      <c r="C33" s="86"/>
      <c r="D33" s="87"/>
      <c r="E33" s="86"/>
      <c r="F33" s="10"/>
      <c r="G33" s="10"/>
      <c r="H33" s="75"/>
      <c r="I33" s="42">
        <f>SUM(I34:I35)</f>
        <v>-1215.856079063266</v>
      </c>
      <c r="J33" s="38">
        <f>1188+28</f>
        <v>1216</v>
      </c>
      <c r="K33" s="38">
        <f>J33+I33</f>
        <v>0.14392093673404815</v>
      </c>
    </row>
    <row r="34" spans="1:11" ht="26.25" x14ac:dyDescent="0.25">
      <c r="A34" s="93" t="s">
        <v>202</v>
      </c>
      <c r="B34" s="85">
        <v>1</v>
      </c>
      <c r="C34" s="85">
        <v>1112</v>
      </c>
      <c r="D34" s="84">
        <f t="shared" ref="D34:D35" si="16">B34*C34*0.1</f>
        <v>111.2</v>
      </c>
      <c r="E34" s="85">
        <f>0.2*1.3</f>
        <v>0.26</v>
      </c>
      <c r="F34" s="30">
        <f>E34/$E$41*$F$41</f>
        <v>479.07778887174373</v>
      </c>
      <c r="G34" s="30">
        <f>(B34*C34)*$B$1+D34*$B$1+F34*$B$1</f>
        <v>610.09635953163297</v>
      </c>
      <c r="H34" s="75"/>
      <c r="I34" s="34">
        <f>H34-G34</f>
        <v>-610.09635953163297</v>
      </c>
      <c r="J34" s="39"/>
      <c r="K34" s="40"/>
    </row>
    <row r="35" spans="1:11" x14ac:dyDescent="0.25">
      <c r="A35" s="93" t="s">
        <v>203</v>
      </c>
      <c r="B35" s="85">
        <v>1</v>
      </c>
      <c r="C35" s="85">
        <v>1101</v>
      </c>
      <c r="D35" s="83">
        <f t="shared" si="16"/>
        <v>110.10000000000001</v>
      </c>
      <c r="E35" s="85">
        <f>0.2*1.3</f>
        <v>0.26</v>
      </c>
      <c r="F35" s="30">
        <f>E35/$E$41*$F$41</f>
        <v>479.07778887174373</v>
      </c>
      <c r="G35" s="30">
        <f>(B35*C35)*$B$1+D35*$B$1+F35*$B$1</f>
        <v>605.75971953163287</v>
      </c>
      <c r="H35" s="75"/>
      <c r="I35" s="34">
        <f>H35-G35</f>
        <v>-605.75971953163287</v>
      </c>
      <c r="J35" s="39"/>
      <c r="K35" s="40"/>
    </row>
    <row r="36" spans="1:11" x14ac:dyDescent="0.25">
      <c r="A36" s="90" t="s">
        <v>143</v>
      </c>
      <c r="B36" s="86"/>
      <c r="C36" s="86"/>
      <c r="D36" s="87"/>
      <c r="E36" s="86"/>
      <c r="F36" s="10"/>
      <c r="G36" s="10"/>
      <c r="H36" s="75"/>
      <c r="I36" s="42">
        <f>SUM(I37:I38)</f>
        <v>-1129.2636494145413</v>
      </c>
      <c r="J36" s="38">
        <f>1103+26</f>
        <v>1129</v>
      </c>
      <c r="K36" s="38">
        <f>J36+I36</f>
        <v>-0.2636494145413053</v>
      </c>
    </row>
    <row r="37" spans="1:11" x14ac:dyDescent="0.25">
      <c r="A37" s="93" t="s">
        <v>204</v>
      </c>
      <c r="B37" s="85">
        <v>1</v>
      </c>
      <c r="C37" s="85">
        <v>935</v>
      </c>
      <c r="D37" s="84">
        <f t="shared" ref="D37:D38" si="17">B37*C37*0.1</f>
        <v>93.5</v>
      </c>
      <c r="E37" s="85">
        <f>0.15*1.3</f>
        <v>0.19500000000000001</v>
      </c>
      <c r="F37" s="30">
        <f>E37/$E$41*$F$41</f>
        <v>359.30834165380782</v>
      </c>
      <c r="G37" s="30">
        <f t="shared" si="2"/>
        <v>497.39050964872467</v>
      </c>
      <c r="H37" s="75"/>
      <c r="I37" s="34">
        <f>H37-G37</f>
        <v>-497.39050964872467</v>
      </c>
      <c r="J37" s="39"/>
      <c r="K37" s="40"/>
    </row>
    <row r="38" spans="1:11" x14ac:dyDescent="0.25">
      <c r="A38" s="93" t="s">
        <v>205</v>
      </c>
      <c r="B38" s="85">
        <v>1</v>
      </c>
      <c r="C38" s="85">
        <v>1385</v>
      </c>
      <c r="D38" s="84">
        <f t="shared" si="17"/>
        <v>138.5</v>
      </c>
      <c r="E38" s="85">
        <f>0.1*1.3</f>
        <v>0.13</v>
      </c>
      <c r="F38" s="30">
        <f>E38/$E$41*$F$41</f>
        <v>239.53889443587187</v>
      </c>
      <c r="G38" s="30">
        <f t="shared" si="2"/>
        <v>631.87313976581652</v>
      </c>
      <c r="H38" s="75"/>
      <c r="I38" s="34">
        <f>H38-G38</f>
        <v>-631.87313976581652</v>
      </c>
      <c r="J38" s="39"/>
      <c r="K38" s="40"/>
    </row>
    <row r="39" spans="1:11" x14ac:dyDescent="0.25">
      <c r="A39" s="91" t="s">
        <v>30</v>
      </c>
      <c r="B39" s="89"/>
      <c r="C39" s="89"/>
      <c r="D39" s="87"/>
      <c r="E39" s="87"/>
      <c r="F39" s="10"/>
      <c r="G39" s="10"/>
      <c r="H39" s="75"/>
      <c r="I39" s="42"/>
      <c r="J39" s="38"/>
      <c r="K39" s="38"/>
    </row>
    <row r="40" spans="1:11" x14ac:dyDescent="0.25">
      <c r="A40" s="93"/>
      <c r="B40" s="84"/>
      <c r="C40" s="84"/>
      <c r="D40" s="84">
        <f t="shared" ref="D40" si="18">B40*C40*0.1</f>
        <v>0</v>
      </c>
      <c r="E40" s="84">
        <v>0.39</v>
      </c>
      <c r="F40" s="30">
        <f>E40/$E$41*$F$41</f>
        <v>718.61668330761563</v>
      </c>
      <c r="G40" s="30">
        <f t="shared" si="2"/>
        <v>257.55221929744943</v>
      </c>
      <c r="H40" s="75"/>
      <c r="I40" s="28"/>
      <c r="J40" s="28"/>
      <c r="K40" s="28"/>
    </row>
    <row r="41" spans="1:11" x14ac:dyDescent="0.25">
      <c r="A41" s="27"/>
      <c r="B41" s="28"/>
      <c r="C41" s="28"/>
      <c r="D41" s="28"/>
      <c r="E41" s="29">
        <f>SUM(E5:E40)</f>
        <v>11.016999999999999</v>
      </c>
      <c r="F41" s="29">
        <v>20300</v>
      </c>
      <c r="G41" s="28">
        <f>F41/E41</f>
        <v>1842.6068802759373</v>
      </c>
      <c r="H41" s="75"/>
      <c r="I41" s="28"/>
      <c r="J41" s="28"/>
      <c r="K41" s="28"/>
    </row>
    <row r="43" spans="1:11" ht="60" customHeight="1" x14ac:dyDescent="0.25">
      <c r="A43" s="118" t="s">
        <v>210</v>
      </c>
      <c r="B43" s="119"/>
      <c r="C43" s="119"/>
      <c r="D43" s="119"/>
      <c r="E43" s="119"/>
    </row>
  </sheetData>
  <mergeCells count="1">
    <mergeCell ref="A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topLeftCell="A22" zoomScale="80" zoomScaleNormal="80" workbookViewId="0">
      <selection activeCell="C43" sqref="C43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0.34300000000000003</v>
      </c>
      <c r="C1" s="1"/>
    </row>
    <row r="2" spans="1:11" ht="21" x14ac:dyDescent="0.35">
      <c r="A2" s="8"/>
    </row>
    <row r="3" spans="1:11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213</v>
      </c>
      <c r="B4" s="9"/>
      <c r="C4" s="9"/>
      <c r="D4" s="10"/>
      <c r="E4" s="10"/>
      <c r="F4" s="10"/>
      <c r="G4" s="10"/>
      <c r="H4" s="75"/>
      <c r="I4" s="42">
        <f>SUM(I5:I6)</f>
        <v>-1853.3860231173383</v>
      </c>
      <c r="J4" s="38">
        <v>1893</v>
      </c>
      <c r="K4" s="38">
        <f t="shared" ref="K4:K25" si="0">J4+I4</f>
        <v>39.613976882661746</v>
      </c>
    </row>
    <row r="5" spans="1:11" ht="30" x14ac:dyDescent="0.25">
      <c r="A5" s="18" t="s">
        <v>214</v>
      </c>
      <c r="B5" s="3">
        <v>1</v>
      </c>
      <c r="C5" s="3">
        <v>1642</v>
      </c>
      <c r="D5" s="83">
        <f>B5*C5*0.1</f>
        <v>164.20000000000002</v>
      </c>
      <c r="E5" s="3">
        <f>0.72*1.3</f>
        <v>0.93599999999999994</v>
      </c>
      <c r="F5" s="30">
        <f>E5/$E$35*$F$35</f>
        <v>1766.2697022767077</v>
      </c>
      <c r="G5" s="30">
        <f>(B5*C5)*$B$1+D5*$B$1+F5*$B$1</f>
        <v>1225.3571078809109</v>
      </c>
      <c r="H5" s="75"/>
      <c r="I5" s="34">
        <f>H5-G5</f>
        <v>-1225.3571078809109</v>
      </c>
      <c r="J5" s="39"/>
      <c r="K5" s="40"/>
    </row>
    <row r="6" spans="1:11" x14ac:dyDescent="0.25">
      <c r="A6" s="18" t="s">
        <v>215</v>
      </c>
      <c r="B6" s="3">
        <v>1</v>
      </c>
      <c r="C6" s="3">
        <v>1107</v>
      </c>
      <c r="D6" s="83">
        <f t="shared" ref="D6:D24" si="1">B6*C6*0.1</f>
        <v>110.7</v>
      </c>
      <c r="E6" s="3">
        <f>0.25*1.3</f>
        <v>0.32500000000000001</v>
      </c>
      <c r="F6" s="30">
        <f>E6/$E$35*$F$35</f>
        <v>613.28809106830136</v>
      </c>
      <c r="G6" s="30">
        <f t="shared" ref="G6:G34" si="2">(B6*C6)*$B$1+D6*$B$1+F6*$B$1</f>
        <v>628.02891523642734</v>
      </c>
      <c r="H6" s="75"/>
      <c r="I6" s="34">
        <f t="shared" ref="I6" si="3">H6-G6</f>
        <v>-628.02891523642734</v>
      </c>
      <c r="J6" s="39"/>
      <c r="K6" s="40"/>
    </row>
    <row r="7" spans="1:11" x14ac:dyDescent="0.25">
      <c r="A7" s="9" t="s">
        <v>90</v>
      </c>
      <c r="B7" s="9"/>
      <c r="C7" s="9"/>
      <c r="D7" s="87"/>
      <c r="E7" s="9"/>
      <c r="F7" s="10"/>
      <c r="G7" s="10"/>
      <c r="H7" s="75"/>
      <c r="I7" s="42">
        <f>I8</f>
        <v>-478.99018914185643</v>
      </c>
      <c r="J7" s="38">
        <v>354</v>
      </c>
      <c r="K7" s="38">
        <f>J7+I7</f>
        <v>-124.99018914185643</v>
      </c>
    </row>
    <row r="8" spans="1:11" x14ac:dyDescent="0.25">
      <c r="A8" s="31" t="s">
        <v>37</v>
      </c>
      <c r="B8" s="26">
        <v>1</v>
      </c>
      <c r="C8" s="26">
        <v>935</v>
      </c>
      <c r="D8" s="84">
        <f t="shared" ref="D8" si="4">B8*C8*0.1</f>
        <v>93.5</v>
      </c>
      <c r="E8" s="96">
        <f>0.15*1.3*B8</f>
        <v>0.19500000000000001</v>
      </c>
      <c r="F8" s="30">
        <f>E8/$E$35*$F$35</f>
        <v>367.97285464098081</v>
      </c>
      <c r="G8" s="30">
        <f t="shared" si="2"/>
        <v>478.99018914185643</v>
      </c>
      <c r="H8" s="75"/>
      <c r="I8" s="34">
        <f>H8-G8</f>
        <v>-478.99018914185643</v>
      </c>
      <c r="J8" s="39"/>
      <c r="K8" s="40"/>
    </row>
    <row r="9" spans="1:11" x14ac:dyDescent="0.25">
      <c r="A9" s="9" t="s">
        <v>216</v>
      </c>
      <c r="B9" s="9"/>
      <c r="C9" s="9"/>
      <c r="D9" s="87"/>
      <c r="E9" s="9"/>
      <c r="F9" s="10"/>
      <c r="G9" s="10"/>
      <c r="H9" s="75"/>
      <c r="I9" s="42">
        <f>SUM(I10:I12)</f>
        <v>-2535.1223108581439</v>
      </c>
      <c r="J9" s="38">
        <v>2767</v>
      </c>
      <c r="K9" s="38">
        <f>J9+I9</f>
        <v>231.87768914185608</v>
      </c>
    </row>
    <row r="10" spans="1:11" ht="45" x14ac:dyDescent="0.25">
      <c r="A10" s="18" t="s">
        <v>217</v>
      </c>
      <c r="B10" s="80">
        <v>2</v>
      </c>
      <c r="C10" s="3">
        <f>704</f>
        <v>704</v>
      </c>
      <c r="D10" s="84">
        <f>B10*C10*0.1</f>
        <v>140.80000000000001</v>
      </c>
      <c r="E10" s="3">
        <f>0.08*1.15*2</f>
        <v>0.184</v>
      </c>
      <c r="F10" s="30">
        <f>E10/$E$35*$F$35</f>
        <v>347.21541155866902</v>
      </c>
      <c r="G10" s="30">
        <f>(B10*C10)*$B$1+D10*$B$1+F10*$B$1</f>
        <v>650.33328616462359</v>
      </c>
      <c r="H10" s="75"/>
      <c r="I10" s="34">
        <f t="shared" ref="I10:I12" si="5">H10-G10</f>
        <v>-650.33328616462359</v>
      </c>
      <c r="J10" s="39"/>
      <c r="K10" s="40"/>
    </row>
    <row r="11" spans="1:11" ht="45" x14ac:dyDescent="0.25">
      <c r="A11" s="18" t="s">
        <v>218</v>
      </c>
      <c r="B11" s="80">
        <v>2</v>
      </c>
      <c r="C11" s="3">
        <f>704</f>
        <v>704</v>
      </c>
      <c r="D11" s="84">
        <f>B11*C11*0.1</f>
        <v>140.80000000000001</v>
      </c>
      <c r="E11" s="3">
        <f>0.08*1.15*2</f>
        <v>0.184</v>
      </c>
      <c r="F11" s="30">
        <f>E11/$E$35*$F$35</f>
        <v>347.21541155866902</v>
      </c>
      <c r="G11" s="30">
        <f t="shared" ref="G11" si="6">(B11*C11)*$B$1+D11*$B$1+F11*$B$1</f>
        <v>650.33328616462359</v>
      </c>
      <c r="H11" s="75"/>
      <c r="I11" s="34">
        <f t="shared" si="5"/>
        <v>-650.33328616462359</v>
      </c>
      <c r="J11" s="39"/>
      <c r="K11" s="40"/>
    </row>
    <row r="12" spans="1:11" x14ac:dyDescent="0.25">
      <c r="A12" s="18" t="s">
        <v>219</v>
      </c>
      <c r="B12" s="3">
        <v>1</v>
      </c>
      <c r="C12" s="3">
        <v>1299</v>
      </c>
      <c r="D12" s="84">
        <f>C12*0.1</f>
        <v>129.9</v>
      </c>
      <c r="E12" s="3">
        <f>1*1.15</f>
        <v>1.1499999999999999</v>
      </c>
      <c r="F12" s="30">
        <f>E12/$E$35*$F$35</f>
        <v>2170.0963222416813</v>
      </c>
      <c r="G12" s="30">
        <f>(B12*C12)*$B$1+D12*$B$1*B12+F12*$B$1*B12</f>
        <v>1234.4557385288967</v>
      </c>
      <c r="H12" s="75"/>
      <c r="I12" s="34">
        <f t="shared" si="5"/>
        <v>-1234.4557385288967</v>
      </c>
      <c r="J12" s="39"/>
      <c r="K12" s="40"/>
    </row>
    <row r="13" spans="1:11" x14ac:dyDescent="0.25">
      <c r="A13" s="9" t="s">
        <v>220</v>
      </c>
      <c r="B13" s="9"/>
      <c r="C13" s="9"/>
      <c r="D13" s="87"/>
      <c r="E13" s="9"/>
      <c r="F13" s="10"/>
      <c r="G13" s="10"/>
      <c r="H13" s="75"/>
      <c r="I13" s="42">
        <f>SUM(I14:I16)</f>
        <v>-2710.2757113835378</v>
      </c>
      <c r="J13" s="38">
        <v>2767</v>
      </c>
      <c r="K13" s="38">
        <f>J13+I13</f>
        <v>56.724288616462218</v>
      </c>
    </row>
    <row r="14" spans="1:11" x14ac:dyDescent="0.25">
      <c r="A14" s="18" t="s">
        <v>221</v>
      </c>
      <c r="B14" s="80">
        <v>2</v>
      </c>
      <c r="C14" s="3">
        <f>1232</f>
        <v>1232</v>
      </c>
      <c r="D14" s="84">
        <f>B14*C14*0.1</f>
        <v>246.4</v>
      </c>
      <c r="E14" s="3">
        <f>0.24*1.3*2</f>
        <v>0.624</v>
      </c>
      <c r="F14" s="30">
        <f>E14/$E$35*$F$35</f>
        <v>1177.5131348511384</v>
      </c>
      <c r="G14" s="30">
        <f t="shared" ref="G14:G15" si="7">(B14*C14)*$B$1+D14*$B$1+F14*$B$1</f>
        <v>1333.5542052539406</v>
      </c>
      <c r="H14" s="75"/>
      <c r="I14" s="34">
        <f t="shared" ref="I14:I16" si="8">H14-G14</f>
        <v>-1333.5542052539406</v>
      </c>
      <c r="J14" s="39"/>
      <c r="K14" s="40"/>
    </row>
    <row r="15" spans="1:11" x14ac:dyDescent="0.25">
      <c r="A15" s="18" t="s">
        <v>222</v>
      </c>
      <c r="B15" s="3">
        <v>1</v>
      </c>
      <c r="C15" s="3">
        <v>672</v>
      </c>
      <c r="D15" s="84">
        <f>B15*C15*0.1</f>
        <v>67.2</v>
      </c>
      <c r="E15" s="3">
        <f>0.2*1.3</f>
        <v>0.26</v>
      </c>
      <c r="F15" s="30">
        <f>E15/$E$35*$F$35</f>
        <v>490.63047285464103</v>
      </c>
      <c r="G15" s="30">
        <f t="shared" si="7"/>
        <v>421.8318521891419</v>
      </c>
      <c r="H15" s="75"/>
      <c r="I15" s="34">
        <f t="shared" si="8"/>
        <v>-421.8318521891419</v>
      </c>
      <c r="J15" s="39"/>
      <c r="K15" s="40"/>
    </row>
    <row r="16" spans="1:11" x14ac:dyDescent="0.25">
      <c r="A16" s="18" t="s">
        <v>223</v>
      </c>
      <c r="B16" s="3">
        <v>1</v>
      </c>
      <c r="C16" s="3">
        <v>1728</v>
      </c>
      <c r="D16" s="84">
        <f>C16*0.1</f>
        <v>172.8</v>
      </c>
      <c r="E16" s="3">
        <f>0.36*1.3</f>
        <v>0.46799999999999997</v>
      </c>
      <c r="F16" s="30">
        <f>E16/$E$35*$F$35</f>
        <v>883.13485113835384</v>
      </c>
      <c r="G16" s="30">
        <f>(B16*C16)*$B$1+D16*$B$1*B16+F16*$B$1*B16</f>
        <v>954.88965394045545</v>
      </c>
      <c r="H16" s="75"/>
      <c r="I16" s="34">
        <f t="shared" si="8"/>
        <v>-954.88965394045545</v>
      </c>
      <c r="J16" s="39"/>
      <c r="K16" s="40"/>
    </row>
    <row r="17" spans="1:12" x14ac:dyDescent="0.25">
      <c r="A17" s="9" t="s">
        <v>114</v>
      </c>
      <c r="B17" s="9"/>
      <c r="C17" s="9"/>
      <c r="D17" s="87"/>
      <c r="E17" s="9"/>
      <c r="F17" s="10"/>
      <c r="G17" s="10"/>
      <c r="H17" s="75"/>
      <c r="I17" s="42">
        <f>SUM(I18:I18)</f>
        <v>-1415.6609565674257</v>
      </c>
      <c r="J17" s="38">
        <f>1415-20</f>
        <v>1395</v>
      </c>
      <c r="K17" s="38">
        <f>J17+I17</f>
        <v>-20.660956567425728</v>
      </c>
      <c r="L17" s="82" t="s">
        <v>235</v>
      </c>
    </row>
    <row r="18" spans="1:12" ht="35.25" x14ac:dyDescent="0.25">
      <c r="A18" s="95" t="s">
        <v>224</v>
      </c>
      <c r="B18" s="3">
        <v>1</v>
      </c>
      <c r="C18" s="3">
        <v>2414</v>
      </c>
      <c r="D18" s="84">
        <f>B18*C18*0.1</f>
        <v>241.4</v>
      </c>
      <c r="E18" s="3">
        <f>0.6*1.3</f>
        <v>0.78</v>
      </c>
      <c r="F18" s="30">
        <f>E18/$E$35*$F$35</f>
        <v>1471.8914185639233</v>
      </c>
      <c r="G18" s="30">
        <f t="shared" si="2"/>
        <v>1415.6609565674257</v>
      </c>
      <c r="H18" s="75"/>
      <c r="I18" s="34">
        <f>H18-G18</f>
        <v>-1415.6609565674257</v>
      </c>
      <c r="J18" s="39"/>
      <c r="K18" s="40"/>
    </row>
    <row r="19" spans="1:12" x14ac:dyDescent="0.25">
      <c r="A19" s="9" t="s">
        <v>143</v>
      </c>
      <c r="B19" s="9"/>
      <c r="C19" s="9"/>
      <c r="D19" s="87"/>
      <c r="E19" s="9"/>
      <c r="F19" s="10"/>
      <c r="G19" s="10"/>
      <c r="H19" s="75"/>
      <c r="I19" s="42">
        <f>SUM(I20:I24)</f>
        <v>-3743.0752022767078</v>
      </c>
      <c r="J19" s="38">
        <f>3821-77</f>
        <v>3744</v>
      </c>
      <c r="K19" s="38">
        <f t="shared" si="0"/>
        <v>0.92479772329215848</v>
      </c>
      <c r="L19" s="82" t="s">
        <v>236</v>
      </c>
    </row>
    <row r="20" spans="1:12" ht="46.5" x14ac:dyDescent="0.25">
      <c r="A20" s="95" t="s">
        <v>225</v>
      </c>
      <c r="B20" s="3">
        <v>1</v>
      </c>
      <c r="C20" s="3">
        <v>2322</v>
      </c>
      <c r="D20" s="84">
        <f t="shared" ref="D20" si="9">B20*C20*0.1</f>
        <v>232.20000000000002</v>
      </c>
      <c r="E20" s="3">
        <f>0.6*1.3</f>
        <v>0.78</v>
      </c>
      <c r="F20" s="30">
        <f>E20/$E$35*$F$35</f>
        <v>1471.8914185639233</v>
      </c>
      <c r="G20" s="30">
        <f t="shared" si="2"/>
        <v>1380.9493565674256</v>
      </c>
      <c r="H20" s="75"/>
      <c r="I20" s="34">
        <f>H20-G20</f>
        <v>-1380.9493565674256</v>
      </c>
      <c r="J20" s="39"/>
      <c r="K20" s="40"/>
    </row>
    <row r="21" spans="1:12" x14ac:dyDescent="0.25">
      <c r="A21" s="31" t="s">
        <v>37</v>
      </c>
      <c r="B21" s="3">
        <v>1</v>
      </c>
      <c r="C21" s="26">
        <v>935</v>
      </c>
      <c r="D21" s="83">
        <f t="shared" si="1"/>
        <v>93.5</v>
      </c>
      <c r="E21" s="96">
        <f>0.15*1.3*B21</f>
        <v>0.19500000000000001</v>
      </c>
      <c r="F21" s="30">
        <f>E21/$E$35*$F$35</f>
        <v>367.97285464098081</v>
      </c>
      <c r="G21" s="30">
        <f t="shared" si="2"/>
        <v>478.99018914185643</v>
      </c>
      <c r="H21" s="75"/>
      <c r="I21" s="34">
        <f>H21-G21</f>
        <v>-478.99018914185643</v>
      </c>
      <c r="J21" s="39"/>
      <c r="K21" s="40"/>
    </row>
    <row r="22" spans="1:12" x14ac:dyDescent="0.25">
      <c r="A22" s="95" t="s">
        <v>226</v>
      </c>
      <c r="B22" s="3">
        <v>1</v>
      </c>
      <c r="C22" s="3">
        <v>1385</v>
      </c>
      <c r="D22" s="84">
        <f t="shared" si="1"/>
        <v>138.5</v>
      </c>
      <c r="E22" s="96">
        <f>0.1*1.3</f>
        <v>0.13</v>
      </c>
      <c r="F22" s="30">
        <f>E22/$E$35*$F$35</f>
        <v>245.31523642732051</v>
      </c>
      <c r="G22" s="30">
        <f t="shared" ref="G22:G24" si="10">(B22*C22)*$B$1+D22*$B$1+F22*$B$1</f>
        <v>606.70362609457095</v>
      </c>
      <c r="H22" s="75"/>
      <c r="I22" s="34">
        <f>H22-G22</f>
        <v>-606.70362609457095</v>
      </c>
      <c r="J22" s="39"/>
      <c r="K22" s="40"/>
    </row>
    <row r="23" spans="1:12" ht="30" x14ac:dyDescent="0.25">
      <c r="A23" s="31" t="s">
        <v>227</v>
      </c>
      <c r="B23" s="26">
        <v>1</v>
      </c>
      <c r="C23" s="26">
        <v>1111</v>
      </c>
      <c r="D23" s="83">
        <f t="shared" si="1"/>
        <v>111.10000000000001</v>
      </c>
      <c r="E23" s="26">
        <f>0.2*1.3</f>
        <v>0.26</v>
      </c>
      <c r="F23" s="30">
        <f>E23/$E$35*$F$35</f>
        <v>490.63047285464103</v>
      </c>
      <c r="G23" s="30">
        <f t="shared" si="10"/>
        <v>587.46655218914191</v>
      </c>
      <c r="H23" s="75"/>
      <c r="I23" s="34">
        <f>H23-G23</f>
        <v>-587.46655218914191</v>
      </c>
      <c r="J23" s="39"/>
      <c r="K23" s="40"/>
    </row>
    <row r="24" spans="1:12" ht="30" x14ac:dyDescent="0.25">
      <c r="A24" s="31" t="s">
        <v>182</v>
      </c>
      <c r="B24" s="26">
        <v>1</v>
      </c>
      <c r="C24" s="26">
        <v>1157</v>
      </c>
      <c r="D24" s="83">
        <f t="shared" si="1"/>
        <v>115.7</v>
      </c>
      <c r="E24" s="26">
        <f>0.3*1.3</f>
        <v>0.39</v>
      </c>
      <c r="F24" s="30">
        <f>E24/$E$35*$F$35</f>
        <v>735.94570928196163</v>
      </c>
      <c r="G24" s="30">
        <f t="shared" si="10"/>
        <v>688.96547828371286</v>
      </c>
      <c r="H24" s="75"/>
      <c r="I24" s="34">
        <f>H24-G24</f>
        <v>-688.96547828371286</v>
      </c>
      <c r="J24" s="39"/>
      <c r="K24" s="40"/>
    </row>
    <row r="25" spans="1:12" x14ac:dyDescent="0.25">
      <c r="A25" s="9" t="s">
        <v>85</v>
      </c>
      <c r="B25" s="9"/>
      <c r="C25" s="9"/>
      <c r="D25" s="87"/>
      <c r="E25" s="9"/>
      <c r="F25" s="10"/>
      <c r="G25" s="10"/>
      <c r="H25" s="75"/>
      <c r="I25" s="42">
        <f>SUM(I26:I26)</f>
        <v>-587.46655218914191</v>
      </c>
      <c r="J25" s="38">
        <v>600</v>
      </c>
      <c r="K25" s="38">
        <f t="shared" si="0"/>
        <v>12.533447810858092</v>
      </c>
    </row>
    <row r="26" spans="1:12" ht="45" x14ac:dyDescent="0.25">
      <c r="A26" s="18" t="s">
        <v>228</v>
      </c>
      <c r="B26" s="3">
        <v>1</v>
      </c>
      <c r="C26" s="3">
        <v>1111</v>
      </c>
      <c r="D26" s="84">
        <f t="shared" ref="D26" si="11">B26*C26*0.1</f>
        <v>111.10000000000001</v>
      </c>
      <c r="E26" s="3">
        <f>0.2*1.3</f>
        <v>0.26</v>
      </c>
      <c r="F26" s="30">
        <f>E26/$E$35*$F$35</f>
        <v>490.63047285464103</v>
      </c>
      <c r="G26" s="30">
        <f t="shared" si="2"/>
        <v>587.46655218914191</v>
      </c>
      <c r="H26" s="75"/>
      <c r="I26" s="34">
        <f>H26-G26</f>
        <v>-587.46655218914191</v>
      </c>
      <c r="J26" s="39"/>
      <c r="K26" s="40"/>
    </row>
    <row r="27" spans="1:12" x14ac:dyDescent="0.25">
      <c r="A27" s="9" t="s">
        <v>13</v>
      </c>
      <c r="B27" s="9"/>
      <c r="C27" s="9"/>
      <c r="D27" s="87"/>
      <c r="E27" s="9"/>
      <c r="F27" s="10"/>
      <c r="G27" s="10"/>
      <c r="H27" s="75"/>
      <c r="I27" s="42">
        <f>SUM(I28:I29)</f>
        <v>-1203.220152189142</v>
      </c>
      <c r="J27" s="38">
        <v>1228</v>
      </c>
      <c r="K27" s="38">
        <f>J27+I27</f>
        <v>24.779847810857973</v>
      </c>
    </row>
    <row r="28" spans="1:12" x14ac:dyDescent="0.25">
      <c r="A28" s="18" t="s">
        <v>233</v>
      </c>
      <c r="B28" s="3">
        <v>1</v>
      </c>
      <c r="C28" s="3">
        <v>1385</v>
      </c>
      <c r="D28" s="84">
        <f t="shared" ref="D28:D29" si="12">B28*C28*0.1</f>
        <v>138.5</v>
      </c>
      <c r="E28" s="3">
        <f>0.1*1.3</f>
        <v>0.13</v>
      </c>
      <c r="F28" s="30">
        <f>E28/$E$35*$F$35</f>
        <v>245.31523642732051</v>
      </c>
      <c r="G28" s="30">
        <f>(B28*C28)*$B$1+D28*$B$1+F28*$B$1</f>
        <v>606.70362609457095</v>
      </c>
      <c r="H28" s="75"/>
      <c r="I28" s="34">
        <f>H28-G28</f>
        <v>-606.70362609457095</v>
      </c>
      <c r="J28" s="39"/>
      <c r="K28" s="40"/>
    </row>
    <row r="29" spans="1:12" x14ac:dyDescent="0.25">
      <c r="A29" s="31" t="s">
        <v>229</v>
      </c>
      <c r="B29" s="26">
        <v>1</v>
      </c>
      <c r="C29" s="26">
        <v>1358</v>
      </c>
      <c r="D29" s="83">
        <f t="shared" si="12"/>
        <v>135.80000000000001</v>
      </c>
      <c r="E29" s="96">
        <f>0.1*1.3</f>
        <v>0.13</v>
      </c>
      <c r="F29" s="30">
        <f>E29/$E$35*$F$35</f>
        <v>245.31523642732051</v>
      </c>
      <c r="G29" s="30">
        <f>(B29*C29)*$B$1+D29*$B$1+F29*$B$1</f>
        <v>596.51652609457096</v>
      </c>
      <c r="H29" s="75"/>
      <c r="I29" s="34">
        <f>H29-G29</f>
        <v>-596.51652609457096</v>
      </c>
      <c r="J29" s="39"/>
      <c r="K29" s="40"/>
    </row>
    <row r="30" spans="1:12" x14ac:dyDescent="0.25">
      <c r="A30" s="9" t="s">
        <v>230</v>
      </c>
      <c r="B30" s="9"/>
      <c r="C30" s="9"/>
      <c r="D30" s="87"/>
      <c r="E30" s="9"/>
      <c r="F30" s="10"/>
      <c r="G30" s="10"/>
      <c r="H30" s="75"/>
      <c r="I30" s="42">
        <f>SUM(I31:I32)</f>
        <v>-1058.4197287215413</v>
      </c>
      <c r="J30" s="38">
        <f>1081-23</f>
        <v>1058</v>
      </c>
      <c r="K30" s="38">
        <f>J30+I30</f>
        <v>-0.41972872154133256</v>
      </c>
      <c r="L30" t="s">
        <v>237</v>
      </c>
    </row>
    <row r="31" spans="1:12" ht="45" x14ac:dyDescent="0.25">
      <c r="A31" s="18" t="s">
        <v>231</v>
      </c>
      <c r="B31" s="3">
        <v>1</v>
      </c>
      <c r="C31" s="3">
        <v>1111</v>
      </c>
      <c r="D31" s="84">
        <f t="shared" ref="D31:D32" si="13">B31*C31*0.1</f>
        <v>111.10000000000001</v>
      </c>
      <c r="E31" s="26">
        <f>0.2*1.3</f>
        <v>0.26</v>
      </c>
      <c r="F31" s="30">
        <f>E31/$E$35*$F$35</f>
        <v>490.63047285464103</v>
      </c>
      <c r="G31" s="30">
        <f t="shared" si="2"/>
        <v>587.46655218914191</v>
      </c>
      <c r="H31" s="75"/>
      <c r="I31" s="34">
        <f>H31-G31</f>
        <v>-587.46655218914191</v>
      </c>
      <c r="J31" s="39"/>
      <c r="K31" s="40"/>
    </row>
    <row r="32" spans="1:12" x14ac:dyDescent="0.25">
      <c r="A32" s="3" t="s">
        <v>232</v>
      </c>
      <c r="B32" s="3">
        <v>1</v>
      </c>
      <c r="C32" s="3">
        <v>936</v>
      </c>
      <c r="D32" s="84">
        <f t="shared" si="13"/>
        <v>93.600000000000009</v>
      </c>
      <c r="E32" s="3">
        <f>0.14*1.3</f>
        <v>0.18200000000000002</v>
      </c>
      <c r="F32" s="30">
        <f>E32/$E$35*$F$35</f>
        <v>343.44133099824876</v>
      </c>
      <c r="G32" s="30">
        <f t="shared" si="2"/>
        <v>470.95317653239937</v>
      </c>
      <c r="H32" s="75"/>
      <c r="I32" s="34">
        <f>H32-G32</f>
        <v>-470.95317653239937</v>
      </c>
      <c r="J32" s="39"/>
      <c r="K32" s="40"/>
    </row>
    <row r="33" spans="1:11" x14ac:dyDescent="0.25">
      <c r="A33" s="91" t="s">
        <v>30</v>
      </c>
      <c r="B33" s="89"/>
      <c r="C33" s="89"/>
      <c r="D33" s="87"/>
      <c r="E33" s="87"/>
      <c r="F33" s="10"/>
      <c r="G33" s="10"/>
      <c r="H33" s="75"/>
      <c r="I33" s="42"/>
      <c r="J33" s="38"/>
      <c r="K33" s="38"/>
    </row>
    <row r="34" spans="1:11" x14ac:dyDescent="0.25">
      <c r="A34" s="93"/>
      <c r="B34" s="84"/>
      <c r="C34" s="84"/>
      <c r="D34" s="84">
        <f t="shared" ref="D34" si="14">B34*C34*0.1</f>
        <v>0</v>
      </c>
      <c r="E34" s="84">
        <v>1.3129999999999999</v>
      </c>
      <c r="F34" s="30">
        <f>E34/$E$35*$F$35</f>
        <v>2477.6838879159368</v>
      </c>
      <c r="G34" s="30">
        <f t="shared" si="2"/>
        <v>849.84557355516642</v>
      </c>
      <c r="H34" s="75"/>
      <c r="I34" s="28"/>
      <c r="J34" s="28"/>
      <c r="K34" s="28"/>
    </row>
    <row r="35" spans="1:11" x14ac:dyDescent="0.25">
      <c r="A35" s="27"/>
      <c r="B35" s="28"/>
      <c r="C35" s="28"/>
      <c r="D35" s="28"/>
      <c r="E35" s="29">
        <f>SUM(E5:E34)</f>
        <v>9.1359999999999992</v>
      </c>
      <c r="F35" s="29">
        <v>17240</v>
      </c>
      <c r="G35" s="28">
        <f>F35/E35</f>
        <v>1887.0402802101578</v>
      </c>
      <c r="H35" s="75"/>
      <c r="I35" s="28"/>
      <c r="J35" s="28"/>
      <c r="K35" s="28"/>
    </row>
    <row r="37" spans="1:11" ht="49.5" customHeight="1" x14ac:dyDescent="0.25">
      <c r="A37" s="118" t="s">
        <v>210</v>
      </c>
      <c r="B37" s="119"/>
      <c r="C37" s="119"/>
      <c r="D37" s="119"/>
      <c r="E37" s="119"/>
    </row>
  </sheetData>
  <mergeCells count="1">
    <mergeCell ref="A37:E37"/>
  </mergeCells>
  <hyperlinks>
    <hyperlink ref="A9" r:id="rId1" display="http://forum.sibmama.ru/viewtopic.php?t=715424&amp;postdays=0&amp;postorder=asc&amp;start=9885&amp;sid=3068296984db188e1409719d2850e85d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zoomScale="80" zoomScaleNormal="80" workbookViewId="0">
      <selection activeCell="A7" sqref="A7:XFD7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31.85546875" customWidth="1"/>
  </cols>
  <sheetData>
    <row r="1" spans="1:12" x14ac:dyDescent="0.25">
      <c r="A1" s="1" t="s">
        <v>5</v>
      </c>
      <c r="B1" s="45">
        <v>0.35399999999999998</v>
      </c>
      <c r="C1" s="1" t="s">
        <v>206</v>
      </c>
    </row>
    <row r="2" spans="1:12" ht="21" x14ac:dyDescent="0.35">
      <c r="A2" s="8" t="s">
        <v>238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239</v>
      </c>
      <c r="B4" s="9"/>
      <c r="C4" s="9"/>
      <c r="D4" s="87"/>
      <c r="E4" s="9"/>
      <c r="F4" s="10"/>
      <c r="G4" s="10"/>
      <c r="H4" s="75"/>
      <c r="I4" s="42">
        <f>SUM(I5:I7)</f>
        <v>-1706.6570999392673</v>
      </c>
      <c r="J4" s="38">
        <f>1654+53</f>
        <v>1707</v>
      </c>
      <c r="K4" s="38">
        <f>J4+I4</f>
        <v>0.34290006073274526</v>
      </c>
    </row>
    <row r="5" spans="1:12" x14ac:dyDescent="0.25">
      <c r="A5" s="80" t="s">
        <v>240</v>
      </c>
      <c r="B5" s="3">
        <v>1</v>
      </c>
      <c r="C5" s="3">
        <v>1401</v>
      </c>
      <c r="D5" s="84">
        <f>B5*C5*0.1</f>
        <v>140.1</v>
      </c>
      <c r="E5" s="3">
        <f>0.065*1.3</f>
        <v>8.4500000000000006E-2</v>
      </c>
      <c r="F5" s="30">
        <f>E5/$E$37*$F$37</f>
        <v>148.2556177879749</v>
      </c>
      <c r="G5" s="30">
        <f>(B5*C5)*$B$1+D5*$B$1+F5*$B$1</f>
        <v>598.03188869694316</v>
      </c>
      <c r="H5" s="75"/>
      <c r="I5" s="34">
        <f t="shared" ref="I5:I7" si="0">H5-G5</f>
        <v>-598.03188869694316</v>
      </c>
      <c r="J5" s="39"/>
      <c r="K5" s="40"/>
    </row>
    <row r="6" spans="1:12" x14ac:dyDescent="0.25">
      <c r="A6" s="80" t="s">
        <v>241</v>
      </c>
      <c r="B6" s="3">
        <v>1</v>
      </c>
      <c r="C6" s="3">
        <v>935</v>
      </c>
      <c r="D6" s="84">
        <f>B6*C6*0.1</f>
        <v>93.5</v>
      </c>
      <c r="E6" s="3">
        <f>0.145*1.3</f>
        <v>0.1885</v>
      </c>
      <c r="F6" s="30">
        <f>E6/$E$37*$F$37</f>
        <v>330.72407045009783</v>
      </c>
      <c r="G6" s="30">
        <f t="shared" ref="G6" si="1">(B6*C6)*$B$1+D6*$B$1+F6*$B$1</f>
        <v>481.16532093933461</v>
      </c>
      <c r="H6" s="75"/>
      <c r="I6" s="34">
        <f t="shared" si="0"/>
        <v>-481.16532093933461</v>
      </c>
      <c r="J6" s="39"/>
      <c r="K6" s="40"/>
    </row>
    <row r="7" spans="1:12" x14ac:dyDescent="0.25">
      <c r="A7" s="79" t="s">
        <v>242</v>
      </c>
      <c r="B7" s="3">
        <v>1</v>
      </c>
      <c r="C7" s="3">
        <v>1404</v>
      </c>
      <c r="D7" s="84">
        <f>C7*0.1</f>
        <v>140.4</v>
      </c>
      <c r="E7" s="3">
        <f>0.1*1.3</f>
        <v>0.13</v>
      </c>
      <c r="F7" s="30">
        <f>E7/$E$37*$F$37</f>
        <v>228.08556582765368</v>
      </c>
      <c r="G7" s="30">
        <f>(B7*C7)*$B$1+D7*$B$1*B7+F7*$B$1*B7</f>
        <v>627.45989030298938</v>
      </c>
      <c r="H7" s="75"/>
      <c r="I7" s="34">
        <f t="shared" si="0"/>
        <v>-627.45989030298938</v>
      </c>
      <c r="J7" s="39"/>
      <c r="K7" s="40"/>
    </row>
    <row r="8" spans="1:12" x14ac:dyDescent="0.25">
      <c r="A8" s="9" t="s">
        <v>243</v>
      </c>
      <c r="B8" s="9"/>
      <c r="C8" s="9"/>
      <c r="D8" s="87"/>
      <c r="E8" s="9"/>
      <c r="F8" s="10"/>
      <c r="G8" s="10"/>
      <c r="H8" s="75"/>
      <c r="I8" s="42">
        <f>SUM(I9:I11)</f>
        <v>-2391.7782966057089</v>
      </c>
      <c r="J8" s="38">
        <f>2317+76</f>
        <v>2393</v>
      </c>
      <c r="K8" s="38">
        <f>J8+I8</f>
        <v>1.2217033942911257</v>
      </c>
    </row>
    <row r="9" spans="1:12" x14ac:dyDescent="0.25">
      <c r="A9" s="80" t="s">
        <v>244</v>
      </c>
      <c r="B9" s="3">
        <v>1</v>
      </c>
      <c r="C9" s="3">
        <v>1401</v>
      </c>
      <c r="D9" s="84">
        <f>B9*C9*0.1</f>
        <v>140.1</v>
      </c>
      <c r="E9" s="3">
        <f>0.06*1.3</f>
        <v>7.8E-2</v>
      </c>
      <c r="F9" s="30">
        <f>E9/$E$37*$F$37</f>
        <v>136.8513394965922</v>
      </c>
      <c r="G9" s="30">
        <f t="shared" ref="G9:G10" si="2">(B9*C9)*$B$1+D9*$B$1+F9*$B$1</f>
        <v>593.99477418179367</v>
      </c>
      <c r="H9" s="75"/>
      <c r="I9" s="34">
        <f t="shared" ref="I9:I11" si="3">H9-G9</f>
        <v>-593.99477418179367</v>
      </c>
      <c r="J9" s="39"/>
      <c r="K9" s="40"/>
    </row>
    <row r="10" spans="1:12" x14ac:dyDescent="0.25">
      <c r="A10" s="80" t="s">
        <v>245</v>
      </c>
      <c r="B10" s="3">
        <v>1</v>
      </c>
      <c r="C10" s="3">
        <v>1557</v>
      </c>
      <c r="D10" s="84">
        <f>B10*C10*0.1</f>
        <v>155.70000000000002</v>
      </c>
      <c r="E10" s="3">
        <f>0.4*1.3</f>
        <v>0.52</v>
      </c>
      <c r="F10" s="30">
        <f>E10/$E$37*$F$37</f>
        <v>912.34226331061473</v>
      </c>
      <c r="G10" s="30">
        <f t="shared" si="2"/>
        <v>929.2649612119576</v>
      </c>
      <c r="H10" s="75"/>
      <c r="I10" s="34">
        <f t="shared" si="3"/>
        <v>-929.2649612119576</v>
      </c>
      <c r="J10" s="39"/>
      <c r="K10" s="40"/>
    </row>
    <row r="11" spans="1:12" x14ac:dyDescent="0.25">
      <c r="A11" s="80" t="s">
        <v>246</v>
      </c>
      <c r="B11" s="3">
        <v>1</v>
      </c>
      <c r="C11" s="3">
        <v>1401</v>
      </c>
      <c r="D11" s="84">
        <f>C11*0.1</f>
        <v>140.1</v>
      </c>
      <c r="E11" s="3">
        <f>0.4*1.3</f>
        <v>0.52</v>
      </c>
      <c r="F11" s="30">
        <f>E11/$E$37*$F$37</f>
        <v>912.34226331061473</v>
      </c>
      <c r="G11" s="30">
        <f>(B11*C11)*$B$1+D11*$B$1*B11+F11*$B$1*B11</f>
        <v>868.5185612119576</v>
      </c>
      <c r="H11" s="75"/>
      <c r="I11" s="34">
        <f t="shared" si="3"/>
        <v>-868.5185612119576</v>
      </c>
      <c r="J11" s="39"/>
      <c r="K11" s="40"/>
    </row>
    <row r="12" spans="1:12" x14ac:dyDescent="0.25">
      <c r="A12" s="9" t="s">
        <v>247</v>
      </c>
      <c r="B12" s="9"/>
      <c r="C12" s="9"/>
      <c r="D12" s="87"/>
      <c r="E12" s="9"/>
      <c r="F12" s="10"/>
      <c r="G12" s="10"/>
      <c r="H12" s="75"/>
      <c r="I12" s="42">
        <f>SUM(I13:I15)</f>
        <v>-3103.5649643025845</v>
      </c>
      <c r="J12" s="38">
        <f>3007+97</f>
        <v>3104</v>
      </c>
      <c r="K12" s="38">
        <f t="shared" ref="K12" si="4">J12+I12</f>
        <v>0.43503569741551473</v>
      </c>
      <c r="L12" s="82"/>
    </row>
    <row r="13" spans="1:12" x14ac:dyDescent="0.25">
      <c r="A13" s="80" t="s">
        <v>248</v>
      </c>
      <c r="B13" s="3">
        <v>1</v>
      </c>
      <c r="C13" s="3">
        <v>2180</v>
      </c>
      <c r="D13" s="84">
        <f t="shared" ref="D13" si="5">B13*C13*0.1</f>
        <v>218</v>
      </c>
      <c r="E13" s="3">
        <f>0.6*1.3</f>
        <v>0.78</v>
      </c>
      <c r="F13" s="30">
        <f>E13/$E$37*$F$37</f>
        <v>1368.5133949659221</v>
      </c>
      <c r="G13" s="30">
        <f t="shared" ref="G13:G36" si="6">(B13*C13)*$B$1+D13*$B$1+F13*$B$1</f>
        <v>1333.3457418179364</v>
      </c>
      <c r="H13" s="75"/>
      <c r="I13" s="34">
        <f>H13-G13</f>
        <v>-1333.3457418179364</v>
      </c>
      <c r="J13" s="39"/>
      <c r="K13" s="40"/>
    </row>
    <row r="14" spans="1:12" x14ac:dyDescent="0.25">
      <c r="A14" s="80" t="s">
        <v>249</v>
      </c>
      <c r="B14" s="3">
        <v>1</v>
      </c>
      <c r="C14" s="3">
        <v>2595</v>
      </c>
      <c r="D14" s="83">
        <f t="shared" ref="D14:D15" si="7">B14*C14*0.1</f>
        <v>259.5</v>
      </c>
      <c r="E14" s="3">
        <f>0.36*1.3</f>
        <v>0.46799999999999997</v>
      </c>
      <c r="F14" s="30">
        <f>E14/$E$37*$F$37</f>
        <v>821.10803697955316</v>
      </c>
      <c r="G14" s="30">
        <f t="shared" si="6"/>
        <v>1301.1652450907618</v>
      </c>
      <c r="H14" s="75"/>
      <c r="I14" s="34">
        <f>H14-G14</f>
        <v>-1301.1652450907618</v>
      </c>
      <c r="J14" s="39"/>
      <c r="K14" s="40"/>
    </row>
    <row r="15" spans="1:12" x14ac:dyDescent="0.25">
      <c r="A15" s="80" t="s">
        <v>250</v>
      </c>
      <c r="B15" s="3">
        <v>1</v>
      </c>
      <c r="C15" s="3">
        <v>935</v>
      </c>
      <c r="D15" s="83">
        <f t="shared" si="7"/>
        <v>93.5</v>
      </c>
      <c r="E15" s="3">
        <f>0.13*1.3</f>
        <v>0.16900000000000001</v>
      </c>
      <c r="F15" s="30">
        <f>E15/$E$37*$F$37</f>
        <v>296.5112355759498</v>
      </c>
      <c r="G15" s="30">
        <f t="shared" si="6"/>
        <v>469.05397739388621</v>
      </c>
      <c r="H15" s="75"/>
      <c r="I15" s="34">
        <f>H15-G15</f>
        <v>-469.05397739388621</v>
      </c>
      <c r="J15" s="39"/>
      <c r="K15" s="40"/>
    </row>
    <row r="16" spans="1:12" x14ac:dyDescent="0.25">
      <c r="A16" s="9" t="s">
        <v>85</v>
      </c>
      <c r="B16" s="9"/>
      <c r="C16" s="9"/>
      <c r="D16" s="87"/>
      <c r="E16" s="9"/>
      <c r="F16" s="10"/>
      <c r="G16" s="10"/>
      <c r="H16" s="75"/>
      <c r="I16" s="42">
        <f>SUM(I17:I18)</f>
        <v>-1282.9666160604629</v>
      </c>
      <c r="J16" s="38">
        <f>973+39</f>
        <v>1012</v>
      </c>
      <c r="K16" s="38">
        <f>J16+I16</f>
        <v>-270.96661606046291</v>
      </c>
    </row>
    <row r="17" spans="1:12" x14ac:dyDescent="0.25">
      <c r="A17" s="79" t="s">
        <v>251</v>
      </c>
      <c r="B17" s="3">
        <v>1</v>
      </c>
      <c r="C17" s="3">
        <v>1401</v>
      </c>
      <c r="D17" s="84">
        <f t="shared" ref="D17:D18" si="8">B17*C17*0.1</f>
        <v>140.1</v>
      </c>
      <c r="E17" s="3">
        <f>0.2*1.3</f>
        <v>0.26</v>
      </c>
      <c r="F17" s="30">
        <f>E17/$E$37*$F$37</f>
        <v>456.17113165530736</v>
      </c>
      <c r="G17" s="30">
        <f>(B17*C17)*$B$1+D17*$B$1+F17*$B$1</f>
        <v>707.03398060597874</v>
      </c>
      <c r="H17" s="75"/>
      <c r="I17" s="34">
        <f>H17-G17</f>
        <v>-707.03398060597874</v>
      </c>
      <c r="J17" s="39"/>
      <c r="K17" s="40"/>
    </row>
    <row r="18" spans="1:12" x14ac:dyDescent="0.25">
      <c r="A18" s="79" t="s">
        <v>252</v>
      </c>
      <c r="B18" s="3">
        <v>1</v>
      </c>
      <c r="C18" s="3">
        <v>1168</v>
      </c>
      <c r="D18" s="83">
        <f t="shared" si="8"/>
        <v>116.80000000000001</v>
      </c>
      <c r="E18" s="3">
        <f>0.15*1.3</f>
        <v>0.19500000000000001</v>
      </c>
      <c r="F18" s="30">
        <f>E18/$E$37*$F$37</f>
        <v>342.12834874148052</v>
      </c>
      <c r="G18" s="30">
        <f>(B18*C18)*$B$1+D18*$B$1+F18*$B$1</f>
        <v>575.93263545448406</v>
      </c>
      <c r="H18" s="75"/>
      <c r="I18" s="34">
        <f>H18-G18</f>
        <v>-575.93263545448406</v>
      </c>
      <c r="J18" s="39"/>
      <c r="K18" s="40"/>
    </row>
    <row r="19" spans="1:12" x14ac:dyDescent="0.25">
      <c r="A19" s="9" t="s">
        <v>13</v>
      </c>
      <c r="B19" s="9"/>
      <c r="C19" s="9"/>
      <c r="D19" s="87"/>
      <c r="E19" s="9"/>
      <c r="F19" s="10"/>
      <c r="G19" s="10"/>
      <c r="H19" s="75"/>
      <c r="I19" s="42">
        <f>SUM(I20:I21)</f>
        <v>-1192.0266628787367</v>
      </c>
      <c r="J19" s="38">
        <f>1130+62</f>
        <v>1192</v>
      </c>
      <c r="K19" s="38">
        <f>J19+I19</f>
        <v>-2.6662878736715356E-2</v>
      </c>
    </row>
    <row r="20" spans="1:12" x14ac:dyDescent="0.25">
      <c r="A20" s="97" t="s">
        <v>253</v>
      </c>
      <c r="B20" s="3">
        <v>1</v>
      </c>
      <c r="C20" s="3">
        <v>1401</v>
      </c>
      <c r="D20" s="84">
        <f t="shared" ref="D20:D21" si="9">B20*C20*0.1</f>
        <v>140.1</v>
      </c>
      <c r="E20" s="3">
        <f>0.065*1.3</f>
        <v>8.4500000000000006E-2</v>
      </c>
      <c r="F20" s="30">
        <f>E20/$E$37*$F$37</f>
        <v>148.2556177879749</v>
      </c>
      <c r="G20" s="30">
        <f t="shared" si="6"/>
        <v>598.03188869694316</v>
      </c>
      <c r="H20" s="75"/>
      <c r="I20" s="34">
        <f>H20-G20</f>
        <v>-598.03188869694316</v>
      </c>
      <c r="J20" s="39"/>
      <c r="K20" s="40"/>
    </row>
    <row r="21" spans="1:12" x14ac:dyDescent="0.25">
      <c r="A21" s="97" t="s">
        <v>254</v>
      </c>
      <c r="B21" s="3">
        <v>1</v>
      </c>
      <c r="C21" s="3">
        <v>1401</v>
      </c>
      <c r="D21" s="84">
        <f t="shared" si="9"/>
        <v>140.1</v>
      </c>
      <c r="E21" s="3">
        <f>0.06*1.3</f>
        <v>7.8E-2</v>
      </c>
      <c r="F21" s="30">
        <f>E21/$E$37*$F$37</f>
        <v>136.8513394965922</v>
      </c>
      <c r="G21" s="30">
        <f t="shared" si="6"/>
        <v>593.99477418179367</v>
      </c>
      <c r="H21" s="75"/>
      <c r="I21" s="34">
        <f>H21-G21</f>
        <v>-593.99477418179367</v>
      </c>
      <c r="J21" s="39"/>
      <c r="K21" s="40"/>
    </row>
    <row r="22" spans="1:12" x14ac:dyDescent="0.25">
      <c r="A22" s="9" t="s">
        <v>161</v>
      </c>
      <c r="B22" s="9"/>
      <c r="C22" s="9"/>
      <c r="D22" s="10"/>
      <c r="E22" s="9"/>
      <c r="F22" s="10"/>
      <c r="G22" s="10"/>
      <c r="H22" s="75"/>
      <c r="I22" s="42">
        <f>SUM(I23:I24)</f>
        <v>-772.0071773938862</v>
      </c>
      <c r="J22" s="38">
        <f>748+24</f>
        <v>772</v>
      </c>
      <c r="K22" s="38">
        <f>J22+I22</f>
        <v>-7.1773938861952047E-3</v>
      </c>
    </row>
    <row r="23" spans="1:12" x14ac:dyDescent="0.25">
      <c r="A23" s="80" t="s">
        <v>255</v>
      </c>
      <c r="B23" s="3">
        <v>1</v>
      </c>
      <c r="C23" s="3">
        <v>778</v>
      </c>
      <c r="D23" s="83">
        <f>B23*C23*0.1</f>
        <v>77.800000000000011</v>
      </c>
      <c r="E23" s="3">
        <f>0.08*1.3</f>
        <v>0.10400000000000001</v>
      </c>
      <c r="F23" s="30">
        <f>E23/$E$37*$F$37</f>
        <v>182.46845266212296</v>
      </c>
      <c r="G23" s="30">
        <f>(B23*C23)*$B$1+D23*$B$1+F23*$B$1</f>
        <v>367.54703224239154</v>
      </c>
      <c r="H23" s="75"/>
      <c r="I23" s="34">
        <f>H23-G23</f>
        <v>-367.54703224239154</v>
      </c>
      <c r="J23" s="39"/>
      <c r="K23" s="40"/>
    </row>
    <row r="24" spans="1:12" x14ac:dyDescent="0.25">
      <c r="A24" s="80" t="s">
        <v>256</v>
      </c>
      <c r="B24" s="3">
        <v>1</v>
      </c>
      <c r="C24" s="3">
        <v>935</v>
      </c>
      <c r="D24" s="83">
        <f>B24*C24*0.1</f>
        <v>93.5</v>
      </c>
      <c r="E24" s="3">
        <f>0.05*1.3</f>
        <v>6.5000000000000002E-2</v>
      </c>
      <c r="F24" s="30">
        <f>E24/$E$37*$F$37</f>
        <v>114.04278291382684</v>
      </c>
      <c r="G24" s="30">
        <f>(B24*C24)*$B$1+D24*$B$1+F24*$B$1</f>
        <v>404.46014515149471</v>
      </c>
      <c r="H24" s="75"/>
      <c r="I24" s="34">
        <f t="shared" ref="I24" si="10">H24-G24</f>
        <v>-404.46014515149471</v>
      </c>
      <c r="J24" s="39"/>
      <c r="K24" s="40"/>
    </row>
    <row r="25" spans="1:12" x14ac:dyDescent="0.25">
      <c r="A25" s="9" t="s">
        <v>257</v>
      </c>
      <c r="B25" s="9"/>
      <c r="C25" s="9"/>
      <c r="D25" s="87"/>
      <c r="E25" s="9"/>
      <c r="F25" s="10"/>
      <c r="G25" s="10"/>
      <c r="H25" s="75"/>
      <c r="I25" s="42">
        <f>SUM(I26:I27)</f>
        <v>-1345.6467676361426</v>
      </c>
      <c r="J25" s="38">
        <f>1304+42</f>
        <v>1346</v>
      </c>
      <c r="K25" s="38">
        <f>J25+I25</f>
        <v>0.3532323638573871</v>
      </c>
    </row>
    <row r="26" spans="1:12" x14ac:dyDescent="0.25">
      <c r="A26" s="80" t="s">
        <v>258</v>
      </c>
      <c r="B26" s="3">
        <v>1</v>
      </c>
      <c r="C26" s="3">
        <v>1168</v>
      </c>
      <c r="D26" s="84">
        <f t="shared" ref="D26:D27" si="11">B26*C26*0.1</f>
        <v>116.80000000000001</v>
      </c>
      <c r="E26" s="3">
        <f>0.24*1.3</f>
        <v>0.312</v>
      </c>
      <c r="F26" s="30">
        <f>E26/$E$37*$F$37</f>
        <v>547.40535798636881</v>
      </c>
      <c r="G26" s="30">
        <f t="shared" ref="G26:G27" si="12">(B26*C26)*$B$1+D26*$B$1+F26*$B$1</f>
        <v>648.60069672717452</v>
      </c>
      <c r="H26" s="75"/>
      <c r="I26" s="34">
        <f>H26-G26</f>
        <v>-648.60069672717452</v>
      </c>
      <c r="J26" s="39"/>
      <c r="K26" s="40"/>
    </row>
    <row r="27" spans="1:12" x14ac:dyDescent="0.25">
      <c r="A27" s="80" t="s">
        <v>259</v>
      </c>
      <c r="B27" s="3">
        <v>1</v>
      </c>
      <c r="C27" s="3">
        <v>1168</v>
      </c>
      <c r="D27" s="84">
        <f t="shared" si="11"/>
        <v>116.80000000000001</v>
      </c>
      <c r="E27" s="3">
        <f>0.3*1.3</f>
        <v>0.39</v>
      </c>
      <c r="F27" s="30">
        <f>E27/$E$37*$F$37</f>
        <v>684.25669748296104</v>
      </c>
      <c r="G27" s="30">
        <f t="shared" si="12"/>
        <v>697.0460709089682</v>
      </c>
      <c r="H27" s="75"/>
      <c r="I27" s="34">
        <f>H27-G27</f>
        <v>-697.0460709089682</v>
      </c>
      <c r="J27" s="39"/>
      <c r="K27" s="40"/>
    </row>
    <row r="28" spans="1:12" x14ac:dyDescent="0.25">
      <c r="A28" s="9" t="s">
        <v>260</v>
      </c>
      <c r="B28" s="9"/>
      <c r="C28" s="9"/>
      <c r="D28" s="10"/>
      <c r="E28" s="9"/>
      <c r="F28" s="10"/>
      <c r="G28" s="10"/>
      <c r="H28" s="75"/>
      <c r="I28" s="42">
        <f>SUM(I29:I30)</f>
        <v>-1960.8056321209258</v>
      </c>
      <c r="J28" s="38">
        <f>1900+61</f>
        <v>1961</v>
      </c>
      <c r="K28" s="38">
        <f>J28+I28</f>
        <v>0.19436787907420694</v>
      </c>
    </row>
    <row r="29" spans="1:12" x14ac:dyDescent="0.25">
      <c r="A29" s="79" t="s">
        <v>242</v>
      </c>
      <c r="B29" s="3">
        <v>1</v>
      </c>
      <c r="C29" s="3">
        <v>1404</v>
      </c>
      <c r="D29" s="83">
        <f>B29*C29*0.1</f>
        <v>140.4</v>
      </c>
      <c r="E29" s="3">
        <f>0.1*1.3</f>
        <v>0.13</v>
      </c>
      <c r="F29" s="30">
        <f>E29/$E$37*$F$37</f>
        <v>228.08556582765368</v>
      </c>
      <c r="G29" s="30">
        <f>(B29*C29)*$B$1+D29*$B$1+F29*$B$1</f>
        <v>627.45989030298938</v>
      </c>
      <c r="H29" s="75"/>
      <c r="I29" s="34">
        <f>H29-G29</f>
        <v>-627.45989030298938</v>
      </c>
      <c r="J29" s="39"/>
      <c r="K29" s="40"/>
    </row>
    <row r="30" spans="1:12" x14ac:dyDescent="0.25">
      <c r="A30" s="80" t="s">
        <v>261</v>
      </c>
      <c r="B30" s="3">
        <v>1</v>
      </c>
      <c r="C30" s="3">
        <v>2180</v>
      </c>
      <c r="D30" s="83">
        <f>B30*C30*0.1</f>
        <v>218</v>
      </c>
      <c r="E30" s="3">
        <f>0.6*1.3</f>
        <v>0.78</v>
      </c>
      <c r="F30" s="30">
        <f>E30/$E$37*$F$37</f>
        <v>1368.5133949659221</v>
      </c>
      <c r="G30" s="30">
        <f>(B30*C30)*$B$1+D30*$B$1+F30*$B$1</f>
        <v>1333.3457418179364</v>
      </c>
      <c r="H30" s="75"/>
      <c r="I30" s="34">
        <f t="shared" ref="I30" si="13">H30-G30</f>
        <v>-1333.3457418179364</v>
      </c>
      <c r="J30" s="39"/>
      <c r="K30" s="40"/>
    </row>
    <row r="31" spans="1:12" ht="30" x14ac:dyDescent="0.25">
      <c r="A31" s="9" t="s">
        <v>262</v>
      </c>
      <c r="B31" s="9"/>
      <c r="C31" s="9"/>
      <c r="D31" s="87"/>
      <c r="E31" s="9"/>
      <c r="F31" s="10"/>
      <c r="G31" s="10"/>
      <c r="H31" s="75"/>
      <c r="I31" s="42">
        <f>SUM(I32:I32)</f>
        <v>-648.60069672717452</v>
      </c>
      <c r="J31" s="38">
        <f>600+49</f>
        <v>649</v>
      </c>
      <c r="K31" s="38">
        <f>J31+I31</f>
        <v>0.39930327282547751</v>
      </c>
      <c r="L31" s="99" t="s">
        <v>288</v>
      </c>
    </row>
    <row r="32" spans="1:12" x14ac:dyDescent="0.25">
      <c r="A32" s="80" t="s">
        <v>263</v>
      </c>
      <c r="B32" s="3">
        <v>1</v>
      </c>
      <c r="C32" s="3">
        <v>1168</v>
      </c>
      <c r="D32" s="84">
        <f>B32*C32*0.1</f>
        <v>116.80000000000001</v>
      </c>
      <c r="E32" s="3">
        <f>0.24*1.3</f>
        <v>0.312</v>
      </c>
      <c r="F32" s="30">
        <f>E32/$E$37*$F$37</f>
        <v>547.40535798636881</v>
      </c>
      <c r="G32" s="30">
        <f>(B32*C32)*$B$1+D32*$B$1+F32*$B$1</f>
        <v>648.60069672717452</v>
      </c>
      <c r="H32" s="75"/>
      <c r="I32" s="34">
        <f>H32-G32</f>
        <v>-648.60069672717452</v>
      </c>
      <c r="J32" s="39"/>
      <c r="K32" s="40"/>
    </row>
    <row r="33" spans="1:11" x14ac:dyDescent="0.25">
      <c r="A33" s="9" t="s">
        <v>264</v>
      </c>
      <c r="B33" s="9"/>
      <c r="C33" s="9"/>
      <c r="D33" s="87"/>
      <c r="E33" s="9"/>
      <c r="F33" s="10"/>
      <c r="G33" s="10"/>
      <c r="H33" s="75"/>
      <c r="I33" s="42">
        <f>I34</f>
        <v>-1266.7677609555299</v>
      </c>
      <c r="J33" s="38">
        <f>1227+40</f>
        <v>1267</v>
      </c>
      <c r="K33" s="38">
        <f>J33+I33</f>
        <v>0.2322390444701341</v>
      </c>
    </row>
    <row r="34" spans="1:11" x14ac:dyDescent="0.25">
      <c r="A34" s="79" t="s">
        <v>265</v>
      </c>
      <c r="B34" s="3">
        <v>1</v>
      </c>
      <c r="C34" s="3">
        <v>2336</v>
      </c>
      <c r="D34" s="84">
        <f t="shared" ref="D34" si="14">B34*C34*0.1</f>
        <v>233.60000000000002</v>
      </c>
      <c r="E34" s="3">
        <f>0.5*1.15</f>
        <v>0.57499999999999996</v>
      </c>
      <c r="F34" s="30">
        <f>E34/$E$37*$F$37</f>
        <v>1008.8400026992373</v>
      </c>
      <c r="G34" s="30">
        <f>(B34*C34)*$B$1+D34*$B$1+F34*$B$1</f>
        <v>1266.7677609555299</v>
      </c>
      <c r="H34" s="75"/>
      <c r="I34" s="34">
        <f>H34-G34</f>
        <v>-1266.7677609555299</v>
      </c>
      <c r="J34" s="39"/>
      <c r="K34" s="40"/>
    </row>
    <row r="35" spans="1:11" x14ac:dyDescent="0.25">
      <c r="A35" s="91" t="s">
        <v>30</v>
      </c>
      <c r="B35" s="89"/>
      <c r="C35" s="89"/>
      <c r="D35" s="87"/>
      <c r="E35" s="87"/>
      <c r="F35" s="10"/>
      <c r="G35" s="10"/>
      <c r="H35" s="75"/>
      <c r="I35" s="42"/>
      <c r="J35" s="38"/>
      <c r="K35" s="38"/>
    </row>
    <row r="36" spans="1:11" x14ac:dyDescent="0.25">
      <c r="A36" s="93"/>
      <c r="B36" s="84"/>
      <c r="C36" s="84"/>
      <c r="D36" s="84">
        <f t="shared" ref="D36" si="15">B36*C36*0.1</f>
        <v>0</v>
      </c>
      <c r="E36" s="84">
        <v>1.1859999999999999</v>
      </c>
      <c r="F36" s="30">
        <f>E36/$E$37*$F$37</f>
        <v>2080.8421620892095</v>
      </c>
      <c r="G36" s="30">
        <f t="shared" si="6"/>
        <v>736.61812537958008</v>
      </c>
      <c r="H36" s="75"/>
      <c r="I36" s="28"/>
      <c r="J36" s="28"/>
      <c r="K36" s="28"/>
    </row>
    <row r="37" spans="1:11" x14ac:dyDescent="0.25">
      <c r="A37" s="27"/>
      <c r="B37" s="28"/>
      <c r="C37" s="28"/>
      <c r="D37" s="28"/>
      <c r="E37" s="29">
        <f>SUM(E5:E36)</f>
        <v>7.4095000000000004</v>
      </c>
      <c r="F37" s="98">
        <v>13000</v>
      </c>
      <c r="G37" s="28">
        <f>F37/E37</f>
        <v>1754.5043525204128</v>
      </c>
      <c r="H37" s="75"/>
      <c r="I37" s="28"/>
      <c r="J37" s="28"/>
      <c r="K37" s="28"/>
    </row>
    <row r="39" spans="1:11" ht="63.75" customHeight="1" x14ac:dyDescent="0.25">
      <c r="A39" s="118" t="s">
        <v>210</v>
      </c>
      <c r="B39" s="119"/>
      <c r="C39" s="119"/>
      <c r="D39" s="119"/>
      <c r="E39" s="119"/>
    </row>
  </sheetData>
  <mergeCells count="1">
    <mergeCell ref="A39:E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10" workbookViewId="0">
      <selection activeCell="L5" sqref="L5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0.35099999999999998</v>
      </c>
      <c r="C1" s="1" t="s">
        <v>206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54</v>
      </c>
      <c r="B4" s="9"/>
      <c r="C4" s="9"/>
      <c r="D4" s="87"/>
      <c r="E4" s="9"/>
      <c r="F4" s="10"/>
      <c r="G4" s="10"/>
      <c r="H4" s="75"/>
      <c r="I4" s="42">
        <f>SUM(I5:I8)</f>
        <v>-1960.937259888268</v>
      </c>
      <c r="J4" s="38">
        <f>1916+63-18</f>
        <v>1961</v>
      </c>
      <c r="K4" s="38">
        <f>J4+I4</f>
        <v>6.2740111731955039E-2</v>
      </c>
      <c r="L4" t="s">
        <v>365</v>
      </c>
    </row>
    <row r="5" spans="1:12" x14ac:dyDescent="0.25">
      <c r="A5" s="18" t="s">
        <v>268</v>
      </c>
      <c r="B5" s="3">
        <v>1</v>
      </c>
      <c r="C5" s="3">
        <v>729</v>
      </c>
      <c r="D5" s="84">
        <f>B5*C5*0.1</f>
        <v>72.900000000000006</v>
      </c>
      <c r="E5" s="26">
        <f>0.14*1.3</f>
        <v>0.18200000000000002</v>
      </c>
      <c r="F5" s="30">
        <f>E5/$E$30*$F$30</f>
        <v>347.06703910614533</v>
      </c>
      <c r="G5" s="30">
        <f>(B5*C5)*$B$1+D5*$B$1+F5*$B$1</f>
        <v>403.28743072625701</v>
      </c>
      <c r="H5" s="75"/>
      <c r="I5" s="34">
        <f t="shared" ref="I5:I8" si="0">H5-G5</f>
        <v>-403.28743072625701</v>
      </c>
      <c r="J5" s="39"/>
      <c r="K5" s="40"/>
    </row>
    <row r="6" spans="1:12" ht="30" x14ac:dyDescent="0.25">
      <c r="A6" s="18" t="s">
        <v>269</v>
      </c>
      <c r="B6" s="3">
        <v>1</v>
      </c>
      <c r="C6" s="3">
        <v>969</v>
      </c>
      <c r="D6" s="84">
        <f>B6*C6*0.1</f>
        <v>96.9</v>
      </c>
      <c r="E6" s="26">
        <f>0.15*1.3</f>
        <v>0.19500000000000001</v>
      </c>
      <c r="F6" s="30">
        <f>E6/$E$30*$F$30</f>
        <v>371.8575418994414</v>
      </c>
      <c r="G6" s="30">
        <f t="shared" ref="G6" si="1">(B6*C6)*$B$1+D6*$B$1+F6*$B$1</f>
        <v>504.65289720670393</v>
      </c>
      <c r="H6" s="75"/>
      <c r="I6" s="34">
        <f t="shared" si="0"/>
        <v>-504.65289720670393</v>
      </c>
      <c r="J6" s="39"/>
      <c r="K6" s="40"/>
    </row>
    <row r="7" spans="1:12" x14ac:dyDescent="0.25">
      <c r="A7" s="18" t="s">
        <v>270</v>
      </c>
      <c r="B7" s="3">
        <v>1</v>
      </c>
      <c r="C7" s="3">
        <v>1205</v>
      </c>
      <c r="D7" s="84">
        <f>B7*C7*0.1</f>
        <v>120.5</v>
      </c>
      <c r="E7" s="26">
        <f>0.2*1.3</f>
        <v>0.26</v>
      </c>
      <c r="F7" s="30">
        <f>E7/$E$30*$F$30</f>
        <v>495.81005586592181</v>
      </c>
      <c r="G7" s="30">
        <f t="shared" ref="G7" si="2">(B7*C7)*$B$1+D7*$B$1+F7*$B$1</f>
        <v>639.2798296089386</v>
      </c>
      <c r="H7" s="75"/>
      <c r="I7" s="34">
        <f t="shared" ref="I7" si="3">H7-G7</f>
        <v>-639.2798296089386</v>
      </c>
      <c r="J7" s="39"/>
      <c r="K7" s="40"/>
    </row>
    <row r="8" spans="1:12" ht="30" x14ac:dyDescent="0.25">
      <c r="A8" s="79" t="s">
        <v>271</v>
      </c>
      <c r="B8" s="3">
        <v>1</v>
      </c>
      <c r="C8" s="3">
        <f>3364/10*2</f>
        <v>672.8</v>
      </c>
      <c r="D8" s="84">
        <f>C8*0.1</f>
        <v>67.28</v>
      </c>
      <c r="E8" s="3">
        <f>0.2*1.15</f>
        <v>0.22999999999999998</v>
      </c>
      <c r="F8" s="30">
        <f>E8/$E$30*$F$30</f>
        <v>438.60120326600776</v>
      </c>
      <c r="G8" s="30">
        <f>(B8*C8)*$B$1+D8*$B$1*B8+F8*$B$1*B8</f>
        <v>413.71710234636862</v>
      </c>
      <c r="H8" s="75"/>
      <c r="I8" s="34">
        <f t="shared" si="0"/>
        <v>-413.71710234636862</v>
      </c>
      <c r="J8" s="39"/>
      <c r="K8" s="40"/>
    </row>
    <row r="9" spans="1:12" x14ac:dyDescent="0.25">
      <c r="A9" s="9" t="s">
        <v>196</v>
      </c>
      <c r="B9" s="9"/>
      <c r="C9" s="9"/>
      <c r="D9" s="87"/>
      <c r="E9" s="9"/>
      <c r="F9" s="10"/>
      <c r="G9" s="10"/>
      <c r="H9" s="75"/>
      <c r="I9" s="42">
        <f>SUM(I10:I13)</f>
        <v>-3347.8253929608936</v>
      </c>
      <c r="J9" s="38">
        <f>3272+76</f>
        <v>3348</v>
      </c>
      <c r="K9" s="38">
        <f>J9+I9</f>
        <v>0.17460703910637676</v>
      </c>
    </row>
    <row r="10" spans="1:12" ht="24" x14ac:dyDescent="0.25">
      <c r="A10" s="95" t="s">
        <v>272</v>
      </c>
      <c r="B10" s="3">
        <v>1</v>
      </c>
      <c r="C10" s="3">
        <v>1728</v>
      </c>
      <c r="D10" s="84">
        <f>B10*C10*0.1</f>
        <v>172.8</v>
      </c>
      <c r="E10" s="3">
        <f>0.36*1.3</f>
        <v>0.46799999999999997</v>
      </c>
      <c r="F10" s="30">
        <f>E10/$E$30*$F$30</f>
        <v>892.45810055865911</v>
      </c>
      <c r="G10" s="30">
        <f>(B10*C10)*$B$1+D10*$B$1+F10*$B$1</f>
        <v>980.43359329608938</v>
      </c>
      <c r="H10" s="75"/>
      <c r="I10" s="34">
        <f t="shared" ref="I10:I13" si="4">H10-G10</f>
        <v>-980.43359329608938</v>
      </c>
      <c r="J10" s="39"/>
      <c r="K10" s="40"/>
    </row>
    <row r="11" spans="1:12" x14ac:dyDescent="0.25">
      <c r="A11" s="95" t="s">
        <v>273</v>
      </c>
      <c r="B11" s="3">
        <v>1</v>
      </c>
      <c r="C11" s="26">
        <v>1404</v>
      </c>
      <c r="D11" s="84">
        <f>B11*C11*0.1</f>
        <v>140.4</v>
      </c>
      <c r="E11" s="26">
        <f>0.1*1.3</f>
        <v>0.13</v>
      </c>
      <c r="F11" s="30">
        <f>E11/$E$30*$F$30</f>
        <v>247.90502793296091</v>
      </c>
      <c r="G11" s="30">
        <f t="shared" ref="G11:G12" si="5">(B11*C11)*$B$1+D11*$B$1+F11*$B$1</f>
        <v>629.09906480446921</v>
      </c>
      <c r="H11" s="75"/>
      <c r="I11" s="34">
        <f t="shared" si="4"/>
        <v>-629.09906480446921</v>
      </c>
      <c r="J11" s="39"/>
      <c r="K11" s="40"/>
    </row>
    <row r="12" spans="1:12" ht="45" x14ac:dyDescent="0.25">
      <c r="A12" s="18" t="s">
        <v>274</v>
      </c>
      <c r="B12" s="3">
        <v>1</v>
      </c>
      <c r="C12" s="3">
        <v>1976</v>
      </c>
      <c r="D12" s="84">
        <f>B12*C12*0.1</f>
        <v>197.60000000000002</v>
      </c>
      <c r="E12" s="26">
        <f>0.17*1.3</f>
        <v>0.22100000000000003</v>
      </c>
      <c r="F12" s="30">
        <f>E12/$E$30*$F$30</f>
        <v>421.43854748603354</v>
      </c>
      <c r="G12" s="30">
        <f t="shared" si="5"/>
        <v>910.85853016759768</v>
      </c>
      <c r="H12" s="75"/>
      <c r="I12" s="34">
        <f t="shared" si="4"/>
        <v>-910.85853016759768</v>
      </c>
      <c r="J12" s="39"/>
      <c r="K12" s="40"/>
    </row>
    <row r="13" spans="1:12" ht="30" x14ac:dyDescent="0.25">
      <c r="A13" s="79" t="s">
        <v>275</v>
      </c>
      <c r="B13" s="3">
        <v>1</v>
      </c>
      <c r="C13" s="3">
        <f>3364/10*4</f>
        <v>1345.6</v>
      </c>
      <c r="D13" s="84">
        <f>C13*0.1</f>
        <v>134.56</v>
      </c>
      <c r="E13" s="3">
        <f>0.4*1.15</f>
        <v>0.45999999999999996</v>
      </c>
      <c r="F13" s="30">
        <f>E13/$E$30*$F$30</f>
        <v>877.20240653201552</v>
      </c>
      <c r="G13" s="30">
        <f>(B13*C13)*$B$1+D13*$B$1*B13+F13*$B$1*B13</f>
        <v>827.43420469273724</v>
      </c>
      <c r="H13" s="75"/>
      <c r="I13" s="34">
        <f t="shared" si="4"/>
        <v>-827.43420469273724</v>
      </c>
      <c r="J13" s="39"/>
      <c r="K13" s="40"/>
    </row>
    <row r="14" spans="1:12" x14ac:dyDescent="0.25">
      <c r="A14" s="9" t="s">
        <v>94</v>
      </c>
      <c r="B14" s="9"/>
      <c r="C14" s="9"/>
      <c r="D14" s="87"/>
      <c r="E14" s="9"/>
      <c r="F14" s="10"/>
      <c r="G14" s="10"/>
      <c r="H14" s="75"/>
      <c r="I14" s="42">
        <f>SUM(I15:I17)</f>
        <v>-3224.7183770949719</v>
      </c>
      <c r="J14" s="38">
        <f>3042+70</f>
        <v>3112</v>
      </c>
      <c r="K14" s="38">
        <f>J14+I14</f>
        <v>-112.71837709497186</v>
      </c>
    </row>
    <row r="15" spans="1:12" ht="30" x14ac:dyDescent="0.25">
      <c r="A15" s="18" t="s">
        <v>276</v>
      </c>
      <c r="B15" s="80">
        <v>2</v>
      </c>
      <c r="C15" s="3">
        <f>975</f>
        <v>975</v>
      </c>
      <c r="D15" s="84">
        <f>B15*C15*0.1</f>
        <v>195</v>
      </c>
      <c r="E15" s="26">
        <f>0.3*1.3</f>
        <v>0.39</v>
      </c>
      <c r="F15" s="30">
        <f>E15/$E$30*$F$30</f>
        <v>743.7150837988828</v>
      </c>
      <c r="G15" s="30">
        <f>(B15*C15)*$B$1+D15*$B$1+F15*B15*$B$1</f>
        <v>1274.9829888268157</v>
      </c>
      <c r="H15" s="75"/>
      <c r="I15" s="34">
        <f t="shared" ref="I15:I17" si="6">H15-G15</f>
        <v>-1274.9829888268157</v>
      </c>
      <c r="J15" s="39"/>
      <c r="K15" s="40"/>
    </row>
    <row r="16" spans="1:12" ht="45" x14ac:dyDescent="0.25">
      <c r="A16" s="18" t="s">
        <v>277</v>
      </c>
      <c r="B16" s="80">
        <v>2</v>
      </c>
      <c r="C16" s="3">
        <f>1348</f>
        <v>1348</v>
      </c>
      <c r="D16" s="84">
        <f>B16*C16*0.1</f>
        <v>269.60000000000002</v>
      </c>
      <c r="E16" s="26">
        <f>0.24*1.3</f>
        <v>0.312</v>
      </c>
      <c r="F16" s="30">
        <f>E16/$E$30*$F$30</f>
        <v>594.97206703910615</v>
      </c>
      <c r="G16" s="30">
        <f>(B16*C16)*$B$1+D16*$B$1+F16*B16*$B$1</f>
        <v>1458.5959910614524</v>
      </c>
      <c r="H16" s="75"/>
      <c r="I16" s="34">
        <f t="shared" si="6"/>
        <v>-1458.5959910614524</v>
      </c>
      <c r="J16" s="39"/>
      <c r="K16" s="40"/>
    </row>
    <row r="17" spans="1:12" ht="45" x14ac:dyDescent="0.25">
      <c r="A17" s="18" t="s">
        <v>278</v>
      </c>
      <c r="B17" s="3">
        <v>1</v>
      </c>
      <c r="C17" s="3">
        <v>934</v>
      </c>
      <c r="D17" s="84">
        <f>C17*0.1</f>
        <v>93.4</v>
      </c>
      <c r="E17" s="26">
        <f>0.15*1.3</f>
        <v>0.19500000000000001</v>
      </c>
      <c r="F17" s="30">
        <f>E17/$E$30*$F$30</f>
        <v>371.8575418994414</v>
      </c>
      <c r="G17" s="30">
        <f>(B17*C17)*$B$1+D17*$B$1*B17+F17*$B$1*B17</f>
        <v>491.1393972067039</v>
      </c>
      <c r="H17" s="75"/>
      <c r="I17" s="34">
        <f t="shared" si="6"/>
        <v>-491.1393972067039</v>
      </c>
      <c r="J17" s="39"/>
      <c r="K17" s="40"/>
    </row>
    <row r="18" spans="1:12" x14ac:dyDescent="0.25">
      <c r="A18" s="9" t="s">
        <v>264</v>
      </c>
      <c r="B18" s="9"/>
      <c r="C18" s="9"/>
      <c r="D18" s="87"/>
      <c r="E18" s="9"/>
      <c r="F18" s="10"/>
      <c r="G18" s="10"/>
      <c r="H18" s="75"/>
      <c r="I18" s="42">
        <f>SUM(I19:I20)</f>
        <v>-1355.7998564245809</v>
      </c>
      <c r="J18" s="38">
        <f>1325+30</f>
        <v>1355</v>
      </c>
      <c r="K18" s="38">
        <f t="shared" ref="K18" si="7">J18+I18</f>
        <v>-0.79985642458086659</v>
      </c>
      <c r="L18" s="82"/>
    </row>
    <row r="19" spans="1:12" x14ac:dyDescent="0.25">
      <c r="A19" s="95" t="s">
        <v>124</v>
      </c>
      <c r="B19" s="3">
        <v>1</v>
      </c>
      <c r="C19" s="3">
        <v>1136</v>
      </c>
      <c r="D19" s="84">
        <f t="shared" ref="D19:D20" si="8">B19*C19*0.1</f>
        <v>113.60000000000001</v>
      </c>
      <c r="E19" s="26">
        <f>0.3*1.3</f>
        <v>0.39</v>
      </c>
      <c r="F19" s="30">
        <f>E19/$E$30*$F$30</f>
        <v>743.7150837988828</v>
      </c>
      <c r="G19" s="30">
        <f t="shared" ref="G19:G29" si="9">(B19*C19)*$B$1+D19*$B$1+F19*$B$1</f>
        <v>699.65359441340786</v>
      </c>
      <c r="H19" s="75"/>
      <c r="I19" s="34">
        <f>H19-G19</f>
        <v>-699.65359441340786</v>
      </c>
      <c r="J19" s="39"/>
      <c r="K19" s="40"/>
    </row>
    <row r="20" spans="1:12" x14ac:dyDescent="0.25">
      <c r="A20" s="95" t="s">
        <v>279</v>
      </c>
      <c r="B20" s="3">
        <v>1</v>
      </c>
      <c r="C20" s="3">
        <v>1136</v>
      </c>
      <c r="D20" s="83">
        <f t="shared" si="8"/>
        <v>113.60000000000001</v>
      </c>
      <c r="E20" s="26">
        <f>0.25*1.3</f>
        <v>0.32500000000000001</v>
      </c>
      <c r="F20" s="30">
        <f>E20/$E$30*$F$30</f>
        <v>619.76256983240228</v>
      </c>
      <c r="G20" s="30">
        <f t="shared" si="9"/>
        <v>656.14626201117312</v>
      </c>
      <c r="H20" s="75"/>
      <c r="I20" s="34">
        <f>H20-G20</f>
        <v>-656.14626201117312</v>
      </c>
      <c r="J20" s="39"/>
      <c r="K20" s="40"/>
    </row>
    <row r="21" spans="1:12" x14ac:dyDescent="0.25">
      <c r="A21" s="9" t="s">
        <v>280</v>
      </c>
      <c r="B21" s="9"/>
      <c r="C21" s="9"/>
      <c r="D21" s="87"/>
      <c r="E21" s="9"/>
      <c r="F21" s="10"/>
      <c r="G21" s="10"/>
      <c r="H21" s="75"/>
      <c r="I21" s="42">
        <f>SUM(I22:I23)</f>
        <v>-3742.5768234636871</v>
      </c>
      <c r="J21" s="38">
        <f>3658+85</f>
        <v>3743</v>
      </c>
      <c r="K21" s="38">
        <f>J21+I21</f>
        <v>0.42317653631289431</v>
      </c>
    </row>
    <row r="22" spans="1:12" x14ac:dyDescent="0.25">
      <c r="A22" s="18" t="s">
        <v>281</v>
      </c>
      <c r="B22" s="3">
        <v>1</v>
      </c>
      <c r="C22" s="3">
        <v>2640</v>
      </c>
      <c r="D22" s="84">
        <f t="shared" ref="D22:D23" si="10">B22*C22*0.1</f>
        <v>264</v>
      </c>
      <c r="E22" s="3">
        <v>1.1499999999999999</v>
      </c>
      <c r="F22" s="30">
        <f>E22/$E$30*$F$30</f>
        <v>2193.0060163300386</v>
      </c>
      <c r="G22" s="30">
        <f>(B22*C22)*$B$1+D22*$B$1+F22*$B$1</f>
        <v>1789.0491117318434</v>
      </c>
      <c r="H22" s="75"/>
      <c r="I22" s="34">
        <f>H22-G22</f>
        <v>-1789.0491117318434</v>
      </c>
      <c r="J22" s="39"/>
      <c r="K22" s="40"/>
    </row>
    <row r="23" spans="1:12" x14ac:dyDescent="0.25">
      <c r="A23" s="18" t="s">
        <v>282</v>
      </c>
      <c r="B23" s="3">
        <v>1</v>
      </c>
      <c r="C23" s="3">
        <v>3066</v>
      </c>
      <c r="D23" s="83">
        <f t="shared" si="10"/>
        <v>306.60000000000002</v>
      </c>
      <c r="E23" s="3">
        <v>1.1499999999999999</v>
      </c>
      <c r="F23" s="30">
        <f>E23/$E$30*$F$30</f>
        <v>2193.0060163300386</v>
      </c>
      <c r="G23" s="30">
        <f>(B23*C23)*$B$1+D23*$B$1+F23*$B$1</f>
        <v>1953.5277117318435</v>
      </c>
      <c r="H23" s="75"/>
      <c r="I23" s="34">
        <f>H23-G23</f>
        <v>-1953.5277117318435</v>
      </c>
      <c r="J23" s="39"/>
      <c r="K23" s="40"/>
    </row>
    <row r="24" spans="1:12" x14ac:dyDescent="0.25">
      <c r="A24" s="9" t="s">
        <v>283</v>
      </c>
      <c r="B24" s="9"/>
      <c r="C24" s="9"/>
      <c r="D24" s="87"/>
      <c r="E24" s="9"/>
      <c r="F24" s="10"/>
      <c r="G24" s="10"/>
      <c r="H24" s="75"/>
      <c r="I24" s="42">
        <f>SUM(I25:I25)</f>
        <v>-827.43420469273724</v>
      </c>
      <c r="J24" s="38">
        <v>809</v>
      </c>
      <c r="K24" s="38">
        <f>J24+I24</f>
        <v>-18.434204692737239</v>
      </c>
    </row>
    <row r="25" spans="1:12" ht="30" x14ac:dyDescent="0.25">
      <c r="A25" s="79" t="s">
        <v>275</v>
      </c>
      <c r="B25" s="3">
        <v>1</v>
      </c>
      <c r="C25" s="3">
        <f>3364/10*4</f>
        <v>1345.6</v>
      </c>
      <c r="D25" s="84">
        <f t="shared" ref="D25" si="11">B25*C25*0.1</f>
        <v>134.56</v>
      </c>
      <c r="E25" s="3">
        <f>0.4*1.15</f>
        <v>0.45999999999999996</v>
      </c>
      <c r="F25" s="30">
        <f>E25/$E$30*$F$30</f>
        <v>877.20240653201552</v>
      </c>
      <c r="G25" s="30">
        <f t="shared" si="9"/>
        <v>827.43420469273724</v>
      </c>
      <c r="H25" s="75"/>
      <c r="I25" s="34">
        <f>H25-G25</f>
        <v>-827.43420469273724</v>
      </c>
      <c r="J25" s="39"/>
      <c r="K25" s="40"/>
    </row>
    <row r="26" spans="1:12" x14ac:dyDescent="0.25">
      <c r="A26" s="9" t="s">
        <v>239</v>
      </c>
      <c r="B26" s="9"/>
      <c r="C26" s="9"/>
      <c r="D26" s="87"/>
      <c r="E26" s="9"/>
      <c r="F26" s="10"/>
      <c r="G26" s="10"/>
      <c r="H26" s="75"/>
      <c r="I26" s="42">
        <f>I27</f>
        <v>-1427.1063888268156</v>
      </c>
      <c r="J26" s="38">
        <f>1394+33</f>
        <v>1427</v>
      </c>
      <c r="K26" s="38">
        <f>J26+I26</f>
        <v>-0.1063888268156461</v>
      </c>
      <c r="L26" s="100" t="s">
        <v>289</v>
      </c>
    </row>
    <row r="27" spans="1:12" x14ac:dyDescent="0.25">
      <c r="A27" s="95" t="s">
        <v>279</v>
      </c>
      <c r="B27" s="3">
        <v>1</v>
      </c>
      <c r="C27" s="3">
        <v>2344</v>
      </c>
      <c r="D27" s="84">
        <f t="shared" ref="D27" si="12">B27*C27*0.1</f>
        <v>234.4</v>
      </c>
      <c r="E27" s="64">
        <f>0.6*1.3</f>
        <v>0.78</v>
      </c>
      <c r="F27" s="30">
        <f>E27/$E$30*$F$30</f>
        <v>1487.4301675977656</v>
      </c>
      <c r="G27" s="30">
        <f>(B27*C27)*$B$1+D27*$B$1+F27*$B$1</f>
        <v>1427.1063888268156</v>
      </c>
      <c r="H27" s="75"/>
      <c r="I27" s="34">
        <f>H27-G27</f>
        <v>-1427.1063888268156</v>
      </c>
      <c r="J27" s="39"/>
      <c r="K27" s="40"/>
    </row>
    <row r="28" spans="1:12" x14ac:dyDescent="0.25">
      <c r="A28" s="91" t="s">
        <v>30</v>
      </c>
      <c r="B28" s="89"/>
      <c r="C28" s="89"/>
      <c r="D28" s="87"/>
      <c r="E28" s="87"/>
      <c r="F28" s="10"/>
      <c r="G28" s="10"/>
      <c r="H28" s="75"/>
      <c r="I28" s="42"/>
      <c r="J28" s="38"/>
      <c r="K28" s="38"/>
    </row>
    <row r="29" spans="1:12" x14ac:dyDescent="0.25">
      <c r="A29" s="93"/>
      <c r="B29" s="84"/>
      <c r="C29" s="84"/>
      <c r="D29" s="84">
        <f t="shared" ref="D29" si="13">B29*C29*0.1</f>
        <v>0</v>
      </c>
      <c r="E29" s="84">
        <f>1.23+0.78</f>
        <v>2.0099999999999998</v>
      </c>
      <c r="F29" s="30">
        <f>E29/$E$30*$F$30</f>
        <v>3832.9931241942413</v>
      </c>
      <c r="G29" s="30">
        <f t="shared" si="9"/>
        <v>1345.3805865921786</v>
      </c>
      <c r="H29" s="75"/>
      <c r="I29" s="28"/>
      <c r="J29" s="28"/>
      <c r="K29" s="28"/>
    </row>
    <row r="30" spans="1:12" x14ac:dyDescent="0.25">
      <c r="A30" s="27"/>
      <c r="B30" s="28"/>
      <c r="C30" s="28"/>
      <c r="D30" s="28"/>
      <c r="E30" s="29">
        <f>SUM(E5:E29)</f>
        <v>9.3079999999999998</v>
      </c>
      <c r="F30" s="98">
        <v>17750</v>
      </c>
      <c r="G30" s="28">
        <f>F30/E30</f>
        <v>1906.9617533304684</v>
      </c>
      <c r="H30" s="75"/>
      <c r="I30" s="28"/>
      <c r="J30" s="28"/>
      <c r="K30" s="28"/>
    </row>
    <row r="32" spans="1:12" ht="63.75" customHeight="1" x14ac:dyDescent="0.25">
      <c r="A32" s="118" t="s">
        <v>210</v>
      </c>
      <c r="B32" s="119"/>
      <c r="C32" s="119"/>
      <c r="D32" s="119"/>
      <c r="E32" s="119"/>
    </row>
  </sheetData>
  <mergeCells count="1">
    <mergeCell ref="A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БАЛАНС</vt:lpstr>
      <vt:lpstr>1</vt:lpstr>
      <vt:lpstr>2</vt:lpstr>
      <vt:lpstr>3</vt:lpstr>
      <vt:lpstr>4</vt:lpstr>
      <vt:lpstr>5</vt:lpstr>
      <vt:lpstr>6</vt:lpstr>
      <vt:lpstr>7n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2017-06-29T03:41:32Z</dcterms:modified>
</cp:coreProperties>
</file>