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35" yWindow="120" windowWidth="15165" windowHeight="7050" tabRatio="936" firstSheet="34" activeTab="52"/>
  </bookViews>
  <sheets>
    <sheet name="баланс" sheetId="6" r:id="rId1"/>
    <sheet name="2.0" sheetId="1" r:id="rId2"/>
    <sheet name="2итог" sheetId="3" r:id="rId3"/>
    <sheet name="3" sheetId="4" r:id="rId4"/>
    <sheet name="4" sheetId="5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3" r:id="rId22"/>
    <sheet name="22" sheetId="24" r:id="rId23"/>
    <sheet name="23" sheetId="25" r:id="rId24"/>
    <sheet name="24" sheetId="26" r:id="rId25"/>
    <sheet name="25" sheetId="27" r:id="rId26"/>
    <sheet name="26" sheetId="28" r:id="rId27"/>
    <sheet name="27" sheetId="29" r:id="rId28"/>
    <sheet name="28" sheetId="30" r:id="rId29"/>
    <sheet name="29" sheetId="31" r:id="rId30"/>
    <sheet name="30" sheetId="32" r:id="rId31"/>
    <sheet name="31" sheetId="33" r:id="rId32"/>
    <sheet name="32" sheetId="34" r:id="rId33"/>
    <sheet name="33" sheetId="35" r:id="rId34"/>
    <sheet name="34" sheetId="36" r:id="rId35"/>
    <sheet name="35" sheetId="37" r:id="rId36"/>
    <sheet name="36" sheetId="38" r:id="rId37"/>
    <sheet name="37" sheetId="39" r:id="rId38"/>
    <sheet name="38" sheetId="40" r:id="rId39"/>
    <sheet name="39" sheetId="41" r:id="rId40"/>
    <sheet name="40" sheetId="42" r:id="rId41"/>
    <sheet name="41" sheetId="43" r:id="rId42"/>
    <sheet name="42" sheetId="44" r:id="rId43"/>
    <sheet name="43" sheetId="45" r:id="rId44"/>
    <sheet name="44" sheetId="46" r:id="rId45"/>
    <sheet name="45" sheetId="47" r:id="rId46"/>
    <sheet name="46" sheetId="48" r:id="rId47"/>
    <sheet name="47" sheetId="49" r:id="rId48"/>
    <sheet name="48" sheetId="50" r:id="rId49"/>
    <sheet name="49" sheetId="51" r:id="rId50"/>
    <sheet name="50" sheetId="52" r:id="rId51"/>
    <sheet name="51" sheetId="53" r:id="rId52"/>
    <sheet name="52" sheetId="54" r:id="rId53"/>
  </sheets>
  <calcPr calcId="162913"/>
</workbook>
</file>

<file path=xl/calcChain.xml><?xml version="1.0" encoding="utf-8"?>
<calcChain xmlns="http://schemas.openxmlformats.org/spreadsheetml/2006/main">
  <c r="I19" i="54" l="1"/>
  <c r="I18" i="54"/>
  <c r="I12" i="54"/>
  <c r="D12" i="54"/>
  <c r="I20" i="54"/>
  <c r="D20" i="54"/>
  <c r="E20" i="54" s="1"/>
  <c r="D19" i="54"/>
  <c r="E19" i="54" s="1"/>
  <c r="D18" i="54"/>
  <c r="I16" i="54"/>
  <c r="D16" i="54"/>
  <c r="E16" i="54" s="1"/>
  <c r="I14" i="54"/>
  <c r="D14" i="54"/>
  <c r="E14" i="54" s="1"/>
  <c r="H10" i="54"/>
  <c r="I10" i="54" s="1"/>
  <c r="D10" i="54"/>
  <c r="H9" i="54"/>
  <c r="I9" i="54" s="1"/>
  <c r="D9" i="54"/>
  <c r="H8" i="54"/>
  <c r="I8" i="54" s="1"/>
  <c r="D8" i="54"/>
  <c r="E8" i="54" s="1"/>
  <c r="I7" i="54"/>
  <c r="D7" i="54"/>
  <c r="E12" i="54" l="1"/>
  <c r="J12" i="54" s="1"/>
  <c r="J11" i="54" s="1"/>
  <c r="L11" i="54" s="1"/>
  <c r="B222" i="6" s="1"/>
  <c r="J20" i="54"/>
  <c r="E18" i="54"/>
  <c r="J18" i="54" s="1"/>
  <c r="E9" i="54"/>
  <c r="J9" i="54" s="1"/>
  <c r="E7" i="54"/>
  <c r="J7" i="54" s="1"/>
  <c r="E10" i="54"/>
  <c r="J10" i="54" s="1"/>
  <c r="J16" i="54"/>
  <c r="J15" i="54" s="1"/>
  <c r="L15" i="54" s="1"/>
  <c r="B186" i="6" s="1"/>
  <c r="J14" i="54"/>
  <c r="J13" i="54" s="1"/>
  <c r="L13" i="54" s="1"/>
  <c r="B176" i="6" s="1"/>
  <c r="J19" i="54"/>
  <c r="J8" i="54"/>
  <c r="K12" i="53"/>
  <c r="J17" i="54" l="1"/>
  <c r="L17" i="54" s="1"/>
  <c r="B93" i="6" s="1"/>
  <c r="J6" i="54"/>
  <c r="L6" i="54" s="1"/>
  <c r="K23" i="53"/>
  <c r="K31" i="53" l="1"/>
  <c r="K29" i="53"/>
  <c r="K27" i="53"/>
  <c r="K25" i="53"/>
  <c r="K19" i="53"/>
  <c r="K17" i="53"/>
  <c r="K33" i="53"/>
  <c r="K41" i="53" l="1"/>
  <c r="K38" i="53"/>
  <c r="I18" i="53" l="1"/>
  <c r="I42" i="53"/>
  <c r="J42" i="53"/>
  <c r="B184" i="6" l="1"/>
  <c r="F21" i="53"/>
  <c r="F20" i="53"/>
  <c r="F36" i="53"/>
  <c r="F34" i="53"/>
  <c r="D42" i="53"/>
  <c r="E42" i="53" s="1"/>
  <c r="I40" i="53"/>
  <c r="E40" i="53"/>
  <c r="D40" i="53"/>
  <c r="I39" i="53"/>
  <c r="D39" i="53"/>
  <c r="E39" i="53" s="1"/>
  <c r="I37" i="53"/>
  <c r="D37" i="53"/>
  <c r="E37" i="53" s="1"/>
  <c r="I36" i="53"/>
  <c r="D36" i="53"/>
  <c r="E36" i="53" s="1"/>
  <c r="I34" i="53"/>
  <c r="C37" i="53"/>
  <c r="C34" i="53"/>
  <c r="D34" i="53" s="1"/>
  <c r="F16" i="53"/>
  <c r="D18" i="53"/>
  <c r="E18" i="53" s="1"/>
  <c r="D20" i="53"/>
  <c r="E20" i="53" s="1"/>
  <c r="I20" i="53"/>
  <c r="D21" i="53"/>
  <c r="E21" i="53" s="1"/>
  <c r="I21" i="53"/>
  <c r="D22" i="53"/>
  <c r="E22" i="53" s="1"/>
  <c r="I22" i="53"/>
  <c r="D24" i="53"/>
  <c r="E24" i="53" s="1"/>
  <c r="I24" i="53"/>
  <c r="I26" i="53"/>
  <c r="I28" i="53"/>
  <c r="I30" i="53"/>
  <c r="D32" i="53"/>
  <c r="E32" i="53" s="1"/>
  <c r="I32" i="53"/>
  <c r="I16" i="53"/>
  <c r="D16" i="53"/>
  <c r="D14" i="53"/>
  <c r="I13" i="53"/>
  <c r="D13" i="53"/>
  <c r="E13" i="53" s="1"/>
  <c r="H11" i="53"/>
  <c r="I11" i="53" s="1"/>
  <c r="D11" i="53"/>
  <c r="E11" i="53" s="1"/>
  <c r="H10" i="53"/>
  <c r="I10" i="53" s="1"/>
  <c r="D10" i="53"/>
  <c r="H9" i="53"/>
  <c r="I9" i="53" s="1"/>
  <c r="E9" i="53"/>
  <c r="D9" i="53"/>
  <c r="H8" i="53"/>
  <c r="I8" i="53" s="1"/>
  <c r="D8" i="53"/>
  <c r="E8" i="53" s="1"/>
  <c r="H7" i="53"/>
  <c r="I7" i="53" s="1"/>
  <c r="D7" i="53"/>
  <c r="E7" i="53" s="1"/>
  <c r="C30" i="53"/>
  <c r="D30" i="53" s="1"/>
  <c r="C28" i="53"/>
  <c r="D28" i="53" s="1"/>
  <c r="C26" i="53"/>
  <c r="D26" i="53" s="1"/>
  <c r="J20" i="53" l="1"/>
  <c r="J40" i="53"/>
  <c r="E34" i="53"/>
  <c r="J34" i="53" s="1"/>
  <c r="J33" i="53" s="1"/>
  <c r="L33" i="53" s="1"/>
  <c r="B88" i="6" s="1"/>
  <c r="J36" i="53"/>
  <c r="J35" i="53" s="1"/>
  <c r="L35" i="53" s="1"/>
  <c r="B119" i="6" s="1"/>
  <c r="J37" i="53"/>
  <c r="J24" i="53"/>
  <c r="J23" i="53" s="1"/>
  <c r="L23" i="53" s="1"/>
  <c r="B185" i="6" s="1"/>
  <c r="J9" i="53"/>
  <c r="E10" i="53"/>
  <c r="J10" i="53" s="1"/>
  <c r="E16" i="53"/>
  <c r="J16" i="53" s="1"/>
  <c r="J15" i="53" s="1"/>
  <c r="L15" i="53" s="1"/>
  <c r="J32" i="53"/>
  <c r="J31" i="53" s="1"/>
  <c r="L31" i="53" s="1"/>
  <c r="J21" i="53"/>
  <c r="J39" i="53"/>
  <c r="J38" i="53" s="1"/>
  <c r="L38" i="53" s="1"/>
  <c r="B205" i="6" s="1"/>
  <c r="E14" i="53"/>
  <c r="J18" i="53"/>
  <c r="J17" i="53" s="1"/>
  <c r="L17" i="53" s="1"/>
  <c r="B211" i="6" s="1"/>
  <c r="E26" i="53"/>
  <c r="J26" i="53" s="1"/>
  <c r="J25" i="53" s="1"/>
  <c r="L25" i="53" s="1"/>
  <c r="B157" i="6" s="1"/>
  <c r="E28" i="53"/>
  <c r="J28" i="53" s="1"/>
  <c r="J27" i="53" s="1"/>
  <c r="L27" i="53" s="1"/>
  <c r="B94" i="6" s="1"/>
  <c r="J22" i="53"/>
  <c r="E30" i="53"/>
  <c r="J30" i="53" s="1"/>
  <c r="J29" i="53" s="1"/>
  <c r="L29" i="53" s="1"/>
  <c r="B210" i="6" s="1"/>
  <c r="J11" i="53"/>
  <c r="J7" i="53"/>
  <c r="J8" i="53"/>
  <c r="J13" i="53"/>
  <c r="J41" i="53" l="1"/>
  <c r="L41" i="53" s="1"/>
  <c r="B123" i="6" s="1"/>
  <c r="J19" i="53"/>
  <c r="L19" i="53" s="1"/>
  <c r="B66" i="6" s="1"/>
  <c r="J6" i="53"/>
  <c r="L6" i="53" s="1"/>
  <c r="K20" i="52" l="1"/>
  <c r="K16" i="52" l="1"/>
  <c r="K18" i="52"/>
  <c r="K12" i="52"/>
  <c r="K8" i="52" l="1"/>
  <c r="K8" i="50" l="1"/>
  <c r="B64" i="6" l="1"/>
  <c r="C23" i="52"/>
  <c r="I7" i="52"/>
  <c r="J7" i="52" s="1"/>
  <c r="F9" i="52"/>
  <c r="F7" i="52"/>
  <c r="F15" i="52"/>
  <c r="F13" i="52"/>
  <c r="I23" i="52"/>
  <c r="D23" i="52"/>
  <c r="I21" i="52"/>
  <c r="D21" i="52"/>
  <c r="I19" i="52"/>
  <c r="D19" i="52"/>
  <c r="I17" i="52"/>
  <c r="D17" i="52"/>
  <c r="I15" i="52"/>
  <c r="D15" i="52"/>
  <c r="E15" i="52" s="1"/>
  <c r="I13" i="52"/>
  <c r="J13" i="52" s="1"/>
  <c r="D13" i="52"/>
  <c r="I11" i="52"/>
  <c r="D11" i="52"/>
  <c r="I9" i="52"/>
  <c r="D9" i="52"/>
  <c r="E9" i="52" s="1"/>
  <c r="D7" i="52"/>
  <c r="E23" i="52" l="1"/>
  <c r="J23" i="52" s="1"/>
  <c r="J22" i="52" s="1"/>
  <c r="L22" i="52" s="1"/>
  <c r="E13" i="52"/>
  <c r="J12" i="52" s="1"/>
  <c r="L12" i="52" s="1"/>
  <c r="B148" i="6" s="1"/>
  <c r="E21" i="52"/>
  <c r="J21" i="52" s="1"/>
  <c r="J20" i="52" s="1"/>
  <c r="L20" i="52" s="1"/>
  <c r="B65" i="6" s="1"/>
  <c r="J9" i="52"/>
  <c r="J8" i="52" s="1"/>
  <c r="L8" i="52" s="1"/>
  <c r="B159" i="6" s="1"/>
  <c r="E11" i="52"/>
  <c r="J11" i="52" s="1"/>
  <c r="J10" i="52" s="1"/>
  <c r="L10" i="52" s="1"/>
  <c r="B160" i="6" s="1"/>
  <c r="E19" i="52"/>
  <c r="J19" i="52" s="1"/>
  <c r="J18" i="52" s="1"/>
  <c r="L18" i="52" s="1"/>
  <c r="B60" i="6" s="1"/>
  <c r="E7" i="52"/>
  <c r="J6" i="52" s="1"/>
  <c r="L6" i="52" s="1"/>
  <c r="B110" i="6" s="1"/>
  <c r="J15" i="52"/>
  <c r="J14" i="52" s="1"/>
  <c r="L14" i="52" s="1"/>
  <c r="B141" i="6" s="1"/>
  <c r="E17" i="52"/>
  <c r="J17" i="52" s="1"/>
  <c r="J16" i="52" s="1"/>
  <c r="L16" i="52" s="1"/>
  <c r="B116" i="6" s="1"/>
  <c r="K32" i="51"/>
  <c r="K18" i="51"/>
  <c r="K24" i="51"/>
  <c r="K35" i="51"/>
  <c r="K42" i="51"/>
  <c r="K10" i="51"/>
  <c r="K20" i="51" l="1"/>
  <c r="H45" i="51" l="1"/>
  <c r="H44" i="51"/>
  <c r="H43" i="51"/>
  <c r="I11" i="51"/>
  <c r="K10" i="50" l="1"/>
  <c r="F29" i="51" l="1"/>
  <c r="F45" i="51"/>
  <c r="F44" i="51"/>
  <c r="F43" i="51"/>
  <c r="I49" i="51"/>
  <c r="D49" i="51"/>
  <c r="I48" i="51"/>
  <c r="D48" i="51"/>
  <c r="E48" i="51" s="1"/>
  <c r="I47" i="51"/>
  <c r="D47" i="51"/>
  <c r="I45" i="51"/>
  <c r="D45" i="51"/>
  <c r="E45" i="51" s="1"/>
  <c r="I44" i="51"/>
  <c r="D44" i="51"/>
  <c r="E44" i="51" s="1"/>
  <c r="I43" i="51"/>
  <c r="D43" i="51"/>
  <c r="I15" i="51"/>
  <c r="D15" i="51"/>
  <c r="I14" i="51"/>
  <c r="D14" i="51"/>
  <c r="E14" i="51" s="1"/>
  <c r="I13" i="51"/>
  <c r="D13" i="51"/>
  <c r="E13" i="51" s="1"/>
  <c r="I12" i="51"/>
  <c r="D12" i="51"/>
  <c r="D11" i="51"/>
  <c r="I9" i="51"/>
  <c r="D9" i="51"/>
  <c r="E9" i="51" s="1"/>
  <c r="I8" i="51"/>
  <c r="D8" i="51"/>
  <c r="I7" i="51"/>
  <c r="D7" i="51"/>
  <c r="E7" i="51" s="1"/>
  <c r="I27" i="51"/>
  <c r="D27" i="51"/>
  <c r="E27" i="51" s="1"/>
  <c r="I37" i="51"/>
  <c r="D37" i="51"/>
  <c r="E37" i="51" s="1"/>
  <c r="I36" i="51"/>
  <c r="D36" i="51"/>
  <c r="E36" i="51" s="1"/>
  <c r="I31" i="51"/>
  <c r="D31" i="51"/>
  <c r="I29" i="51"/>
  <c r="D29" i="51"/>
  <c r="E29" i="51" s="1"/>
  <c r="I25" i="51"/>
  <c r="D25" i="51"/>
  <c r="E25" i="51" s="1"/>
  <c r="I41" i="51"/>
  <c r="I40" i="51"/>
  <c r="I39" i="51"/>
  <c r="I34" i="51"/>
  <c r="I33" i="51"/>
  <c r="D41" i="51"/>
  <c r="E41" i="51" s="1"/>
  <c r="D40" i="51"/>
  <c r="D39" i="51"/>
  <c r="D34" i="51"/>
  <c r="E34" i="51" s="1"/>
  <c r="D33" i="51"/>
  <c r="E33" i="51" s="1"/>
  <c r="I23" i="51"/>
  <c r="D23" i="51"/>
  <c r="E23" i="51" s="1"/>
  <c r="I21" i="51"/>
  <c r="D21" i="51"/>
  <c r="I19" i="51"/>
  <c r="D19" i="51"/>
  <c r="E19" i="51" s="1"/>
  <c r="I17" i="51"/>
  <c r="D17" i="51"/>
  <c r="E17" i="51" s="1"/>
  <c r="E43" i="51" l="1"/>
  <c r="J43" i="51" s="1"/>
  <c r="E49" i="51"/>
  <c r="J49" i="51" s="1"/>
  <c r="J48" i="51"/>
  <c r="E47" i="51"/>
  <c r="J47" i="51" s="1"/>
  <c r="J44" i="51"/>
  <c r="J45" i="51"/>
  <c r="E31" i="51"/>
  <c r="J31" i="51" s="1"/>
  <c r="J30" i="51" s="1"/>
  <c r="L30" i="51" s="1"/>
  <c r="J27" i="51"/>
  <c r="J26" i="51" s="1"/>
  <c r="L26" i="51" s="1"/>
  <c r="E8" i="51"/>
  <c r="J8" i="51" s="1"/>
  <c r="J14" i="51"/>
  <c r="E11" i="51"/>
  <c r="J11" i="51" s="1"/>
  <c r="E15" i="51"/>
  <c r="J15" i="51" s="1"/>
  <c r="E12" i="51"/>
  <c r="J12" i="51" s="1"/>
  <c r="J13" i="51"/>
  <c r="J9" i="51"/>
  <c r="J7" i="51"/>
  <c r="J37" i="51"/>
  <c r="J36" i="51"/>
  <c r="J29" i="51"/>
  <c r="J28" i="51" s="1"/>
  <c r="L28" i="51" s="1"/>
  <c r="B139" i="6" s="1"/>
  <c r="J25" i="51"/>
  <c r="J24" i="51" s="1"/>
  <c r="L24" i="51" s="1"/>
  <c r="B203" i="6" s="1"/>
  <c r="J33" i="51"/>
  <c r="J34" i="51"/>
  <c r="E21" i="51"/>
  <c r="J21" i="51" s="1"/>
  <c r="J20" i="51" s="1"/>
  <c r="L20" i="51" s="1"/>
  <c r="E40" i="51"/>
  <c r="J40" i="51" s="1"/>
  <c r="E39" i="51"/>
  <c r="J39" i="51" s="1"/>
  <c r="J41" i="51"/>
  <c r="J17" i="51"/>
  <c r="J16" i="51" s="1"/>
  <c r="L16" i="51" s="1"/>
  <c r="B91" i="6" s="1"/>
  <c r="J23" i="51"/>
  <c r="J22" i="51" s="1"/>
  <c r="L22" i="51" s="1"/>
  <c r="J19" i="51"/>
  <c r="J18" i="51" s="1"/>
  <c r="L18" i="51" s="1"/>
  <c r="H22" i="50"/>
  <c r="I22" i="50" s="1"/>
  <c r="D22" i="50"/>
  <c r="E22" i="50" s="1"/>
  <c r="I21" i="50"/>
  <c r="D21" i="50"/>
  <c r="I20" i="50"/>
  <c r="D20" i="50"/>
  <c r="E20" i="50" s="1"/>
  <c r="I19" i="50"/>
  <c r="D19" i="50"/>
  <c r="E19" i="50" s="1"/>
  <c r="I18" i="50"/>
  <c r="D18" i="50"/>
  <c r="E18" i="50" s="1"/>
  <c r="I16" i="50"/>
  <c r="D16" i="50"/>
  <c r="E16" i="50" s="1"/>
  <c r="I15" i="50"/>
  <c r="D15" i="50"/>
  <c r="E15" i="50" s="1"/>
  <c r="H13" i="50"/>
  <c r="I13" i="50" s="1"/>
  <c r="D13" i="50"/>
  <c r="E13" i="50" s="1"/>
  <c r="H11" i="50"/>
  <c r="I11" i="50" s="1"/>
  <c r="D11" i="50"/>
  <c r="H9" i="50"/>
  <c r="I9" i="50" s="1"/>
  <c r="D9" i="50"/>
  <c r="E9" i="50" s="1"/>
  <c r="H7" i="50"/>
  <c r="I7" i="50" s="1"/>
  <c r="D7" i="50"/>
  <c r="J32" i="51" l="1"/>
  <c r="L32" i="51" s="1"/>
  <c r="J6" i="51"/>
  <c r="J15" i="50"/>
  <c r="J18" i="50"/>
  <c r="J22" i="50"/>
  <c r="J16" i="50"/>
  <c r="J20" i="50"/>
  <c r="E21" i="50"/>
  <c r="J21" i="50" s="1"/>
  <c r="E11" i="50"/>
  <c r="J11" i="50" s="1"/>
  <c r="J10" i="50" s="1"/>
  <c r="L10" i="50" s="1"/>
  <c r="J19" i="50"/>
  <c r="J42" i="51"/>
  <c r="L42" i="51" s="1"/>
  <c r="J46" i="51"/>
  <c r="L46" i="51" s="1"/>
  <c r="J10" i="51"/>
  <c r="L10" i="51" s="1"/>
  <c r="J35" i="51"/>
  <c r="L35" i="51" s="1"/>
  <c r="B15" i="6" s="1"/>
  <c r="J38" i="51"/>
  <c r="L38" i="51" s="1"/>
  <c r="J13" i="50"/>
  <c r="J12" i="50" s="1"/>
  <c r="L12" i="50" s="1"/>
  <c r="J9" i="50"/>
  <c r="J8" i="50" s="1"/>
  <c r="L8" i="50" s="1"/>
  <c r="E7" i="50"/>
  <c r="J7" i="50" s="1"/>
  <c r="J6" i="50" s="1"/>
  <c r="L6" i="50" s="1"/>
  <c r="H22" i="49"/>
  <c r="J14" i="50" l="1"/>
  <c r="L14" i="50" s="1"/>
  <c r="J17" i="50"/>
  <c r="L17" i="50" s="1"/>
  <c r="L6" i="51"/>
  <c r="I18" i="49"/>
  <c r="H11" i="49"/>
  <c r="I11" i="49" s="1"/>
  <c r="H7" i="49"/>
  <c r="I7" i="49" s="1"/>
  <c r="I20" i="49"/>
  <c r="D20" i="49"/>
  <c r="E20" i="49" s="1"/>
  <c r="H13" i="49"/>
  <c r="I13" i="49" s="1"/>
  <c r="D13" i="49"/>
  <c r="E13" i="49" s="1"/>
  <c r="D11" i="49"/>
  <c r="E11" i="49" s="1"/>
  <c r="I16" i="49"/>
  <c r="D16" i="49"/>
  <c r="E16" i="49" s="1"/>
  <c r="I15" i="49"/>
  <c r="D15" i="49"/>
  <c r="I22" i="49"/>
  <c r="D22" i="49"/>
  <c r="E22" i="49" s="1"/>
  <c r="I21" i="49"/>
  <c r="D21" i="49"/>
  <c r="E21" i="49" s="1"/>
  <c r="I19" i="49"/>
  <c r="D19" i="49"/>
  <c r="E19" i="49" s="1"/>
  <c r="D18" i="49"/>
  <c r="H9" i="49"/>
  <c r="I9" i="49" s="1"/>
  <c r="D9" i="49"/>
  <c r="E9" i="49" s="1"/>
  <c r="D7" i="49"/>
  <c r="E7" i="49" s="1"/>
  <c r="K6" i="48"/>
  <c r="K10" i="48"/>
  <c r="K24" i="48"/>
  <c r="K18" i="48"/>
  <c r="J7" i="49" l="1"/>
  <c r="J20" i="49"/>
  <c r="J11" i="49"/>
  <c r="J10" i="49" s="1"/>
  <c r="L10" i="49" s="1"/>
  <c r="B167" i="6" s="1"/>
  <c r="J13" i="49"/>
  <c r="J12" i="49" s="1"/>
  <c r="L12" i="49" s="1"/>
  <c r="J6" i="49"/>
  <c r="L6" i="49" s="1"/>
  <c r="J19" i="49"/>
  <c r="J21" i="49"/>
  <c r="E15" i="49"/>
  <c r="J15" i="49" s="1"/>
  <c r="J16" i="49"/>
  <c r="J9" i="49"/>
  <c r="J8" i="49" s="1"/>
  <c r="L8" i="49" s="1"/>
  <c r="E18" i="49"/>
  <c r="J18" i="49" s="1"/>
  <c r="J22" i="49"/>
  <c r="J17" i="49" l="1"/>
  <c r="L17" i="49" s="1"/>
  <c r="J14" i="49"/>
  <c r="L14" i="49" s="1"/>
  <c r="G28" i="48" l="1"/>
  <c r="H14" i="48"/>
  <c r="H12" i="48" l="1"/>
  <c r="I12" i="48" s="1"/>
  <c r="D12" i="48"/>
  <c r="E12" i="48" s="1"/>
  <c r="D13" i="48"/>
  <c r="E13" i="48" s="1"/>
  <c r="D14" i="48"/>
  <c r="E14" i="48" s="1"/>
  <c r="H13" i="48"/>
  <c r="I13" i="48" s="1"/>
  <c r="F22" i="48"/>
  <c r="H20" i="48"/>
  <c r="I20" i="48" s="1"/>
  <c r="D20" i="48"/>
  <c r="H19" i="48"/>
  <c r="I19" i="48" s="1"/>
  <c r="D19" i="48"/>
  <c r="E19" i="48" s="1"/>
  <c r="H26" i="48"/>
  <c r="I26" i="48" s="1"/>
  <c r="D26" i="48"/>
  <c r="H25" i="48"/>
  <c r="I25" i="48" s="1"/>
  <c r="D25" i="48"/>
  <c r="E25" i="48" s="1"/>
  <c r="H23" i="48"/>
  <c r="I23" i="48" s="1"/>
  <c r="D23" i="48"/>
  <c r="E23" i="48" s="1"/>
  <c r="H22" i="48"/>
  <c r="I22" i="48" s="1"/>
  <c r="D22" i="48"/>
  <c r="E22" i="48" s="1"/>
  <c r="H17" i="48"/>
  <c r="I17" i="48" s="1"/>
  <c r="D17" i="48"/>
  <c r="E17" i="48" s="1"/>
  <c r="H16" i="48"/>
  <c r="I16" i="48" s="1"/>
  <c r="D16" i="48"/>
  <c r="E16" i="48" s="1"/>
  <c r="I14" i="48"/>
  <c r="I11" i="48"/>
  <c r="D11" i="48"/>
  <c r="E11" i="48" s="1"/>
  <c r="H30" i="48"/>
  <c r="I30" i="48" s="1"/>
  <c r="D30" i="48"/>
  <c r="E30" i="48" s="1"/>
  <c r="H29" i="48"/>
  <c r="I29" i="48" s="1"/>
  <c r="D29" i="48"/>
  <c r="E29" i="48" s="1"/>
  <c r="H28" i="48"/>
  <c r="I28" i="48" s="1"/>
  <c r="D28" i="48"/>
  <c r="E28" i="48" s="1"/>
  <c r="H9" i="48"/>
  <c r="I9" i="48" s="1"/>
  <c r="D9" i="48"/>
  <c r="E9" i="48" s="1"/>
  <c r="I7" i="48"/>
  <c r="D7" i="48"/>
  <c r="E7" i="48" s="1"/>
  <c r="K14" i="47"/>
  <c r="K12" i="47"/>
  <c r="K23" i="47"/>
  <c r="J12" i="48" l="1"/>
  <c r="J13" i="48"/>
  <c r="E20" i="48"/>
  <c r="J20" i="48" s="1"/>
  <c r="E26" i="48"/>
  <c r="J26" i="48" s="1"/>
  <c r="J22" i="48"/>
  <c r="J19" i="48"/>
  <c r="J25" i="48"/>
  <c r="J23" i="48"/>
  <c r="J17" i="48"/>
  <c r="J9" i="48"/>
  <c r="J8" i="48" s="1"/>
  <c r="L8" i="48" s="1"/>
  <c r="B70" i="6" s="1"/>
  <c r="J29" i="48"/>
  <c r="J7" i="48"/>
  <c r="J6" i="48" s="1"/>
  <c r="L6" i="48" s="1"/>
  <c r="B200" i="6" s="1"/>
  <c r="J11" i="48"/>
  <c r="J28" i="48"/>
  <c r="J30" i="48"/>
  <c r="J14" i="48"/>
  <c r="J16" i="48"/>
  <c r="J15" i="48" s="1"/>
  <c r="L15" i="48" s="1"/>
  <c r="H9" i="47"/>
  <c r="J24" i="48" l="1"/>
  <c r="J10" i="48"/>
  <c r="L10" i="48" s="1"/>
  <c r="J27" i="48"/>
  <c r="L27" i="48" s="1"/>
  <c r="J21" i="48"/>
  <c r="L21" i="48" s="1"/>
  <c r="L24" i="48"/>
  <c r="J18" i="48"/>
  <c r="L18" i="48" s="1"/>
  <c r="H25" i="47"/>
  <c r="I25" i="47" s="1"/>
  <c r="D25" i="47"/>
  <c r="H24" i="47"/>
  <c r="I24" i="47" s="1"/>
  <c r="D24" i="47"/>
  <c r="E24" i="47" s="1"/>
  <c r="H22" i="47"/>
  <c r="I22" i="47" s="1"/>
  <c r="D22" i="47"/>
  <c r="E22" i="47" s="1"/>
  <c r="H21" i="47"/>
  <c r="I21" i="47" s="1"/>
  <c r="D21" i="47"/>
  <c r="E21" i="47" s="1"/>
  <c r="H17" i="47"/>
  <c r="I17" i="47" s="1"/>
  <c r="D17" i="47"/>
  <c r="H13" i="47"/>
  <c r="I13" i="47" s="1"/>
  <c r="D13" i="47"/>
  <c r="E13" i="47" s="1"/>
  <c r="H19" i="47"/>
  <c r="I19" i="47" s="1"/>
  <c r="D19" i="47"/>
  <c r="E19" i="47" s="1"/>
  <c r="H18" i="47"/>
  <c r="I18" i="47" s="1"/>
  <c r="D18" i="47"/>
  <c r="E18" i="47" s="1"/>
  <c r="H16" i="47"/>
  <c r="I16" i="47" s="1"/>
  <c r="D16" i="47"/>
  <c r="E16" i="47" s="1"/>
  <c r="H15" i="47"/>
  <c r="I15" i="47" s="1"/>
  <c r="D15" i="47"/>
  <c r="H11" i="47"/>
  <c r="I11" i="47" s="1"/>
  <c r="D11" i="47"/>
  <c r="E11" i="47" s="1"/>
  <c r="I9" i="47"/>
  <c r="D9" i="47"/>
  <c r="E9" i="47" s="1"/>
  <c r="H7" i="47"/>
  <c r="I7" i="47" s="1"/>
  <c r="D7" i="47"/>
  <c r="E7" i="47" s="1"/>
  <c r="J7" i="47" l="1"/>
  <c r="J6" i="47" s="1"/>
  <c r="L6" i="47" s="1"/>
  <c r="J22" i="47"/>
  <c r="E25" i="47"/>
  <c r="J25" i="47" s="1"/>
  <c r="E17" i="47"/>
  <c r="J17" i="47" s="1"/>
  <c r="J24" i="47"/>
  <c r="J21" i="47"/>
  <c r="J13" i="47"/>
  <c r="J12" i="47" s="1"/>
  <c r="L12" i="47" s="1"/>
  <c r="J19" i="47"/>
  <c r="J9" i="47"/>
  <c r="J8" i="47" s="1"/>
  <c r="L8" i="47" s="1"/>
  <c r="J18" i="47"/>
  <c r="J11" i="47"/>
  <c r="J10" i="47" s="1"/>
  <c r="L10" i="47" s="1"/>
  <c r="E15" i="47"/>
  <c r="J15" i="47" s="1"/>
  <c r="J16" i="47"/>
  <c r="J20" i="47" l="1"/>
  <c r="L20" i="47" s="1"/>
  <c r="J23" i="47"/>
  <c r="L23" i="47" s="1"/>
  <c r="B147" i="6" s="1"/>
  <c r="J14" i="47"/>
  <c r="L14" i="47" l="1"/>
  <c r="K8" i="45" l="1"/>
  <c r="K6" i="45"/>
  <c r="H19" i="46" l="1"/>
  <c r="I19" i="46" s="1"/>
  <c r="D19" i="46"/>
  <c r="E19" i="46" s="1"/>
  <c r="I18" i="46"/>
  <c r="H17" i="46"/>
  <c r="I17" i="46" s="1"/>
  <c r="D17" i="46"/>
  <c r="E17" i="46" s="1"/>
  <c r="H16" i="46"/>
  <c r="I16" i="46" s="1"/>
  <c r="D16" i="46"/>
  <c r="E16" i="46" s="1"/>
  <c r="H15" i="46"/>
  <c r="I15" i="46" s="1"/>
  <c r="D15" i="46"/>
  <c r="E15" i="46" s="1"/>
  <c r="H14" i="46"/>
  <c r="I14" i="46" s="1"/>
  <c r="D14" i="46"/>
  <c r="E14" i="46" s="1"/>
  <c r="H13" i="46"/>
  <c r="I13" i="46" s="1"/>
  <c r="D13" i="46"/>
  <c r="E13" i="46" s="1"/>
  <c r="H11" i="46"/>
  <c r="I11" i="46" s="1"/>
  <c r="D11" i="46"/>
  <c r="H9" i="46"/>
  <c r="I9" i="46" s="1"/>
  <c r="D9" i="46"/>
  <c r="H7" i="46"/>
  <c r="I7" i="46" s="1"/>
  <c r="D7" i="46"/>
  <c r="E7" i="46" s="1"/>
  <c r="E11" i="46" l="1"/>
  <c r="J11" i="46" s="1"/>
  <c r="J10" i="46" s="1"/>
  <c r="L10" i="46" s="1"/>
  <c r="E9" i="46"/>
  <c r="J9" i="46" s="1"/>
  <c r="J8" i="46" s="1"/>
  <c r="L8" i="46" s="1"/>
  <c r="B217" i="6" s="1"/>
  <c r="J17" i="46"/>
  <c r="J14" i="46"/>
  <c r="J18" i="46"/>
  <c r="J7" i="46"/>
  <c r="J6" i="46" s="1"/>
  <c r="L6" i="46" s="1"/>
  <c r="B82" i="6" s="1"/>
  <c r="J15" i="46"/>
  <c r="J19" i="46"/>
  <c r="J13" i="46"/>
  <c r="J16" i="46"/>
  <c r="F10" i="45"/>
  <c r="F9" i="45"/>
  <c r="C9" i="45"/>
  <c r="H19" i="45"/>
  <c r="I19" i="45" s="1"/>
  <c r="D19" i="45"/>
  <c r="E19" i="45" s="1"/>
  <c r="H18" i="45"/>
  <c r="I18" i="45" s="1"/>
  <c r="D18" i="45"/>
  <c r="E18" i="45" s="1"/>
  <c r="H22" i="45"/>
  <c r="I22" i="45" s="1"/>
  <c r="D22" i="45"/>
  <c r="E22" i="45" s="1"/>
  <c r="H21" i="45"/>
  <c r="I21" i="45" s="1"/>
  <c r="D21" i="45"/>
  <c r="E21" i="45" s="1"/>
  <c r="H20" i="45"/>
  <c r="I20" i="45" s="1"/>
  <c r="D20" i="45"/>
  <c r="E20" i="45" s="1"/>
  <c r="H15" i="45"/>
  <c r="I15" i="45" s="1"/>
  <c r="D15" i="45"/>
  <c r="H17" i="45"/>
  <c r="I17" i="45" s="1"/>
  <c r="D17" i="45"/>
  <c r="H16" i="45"/>
  <c r="I16" i="45" s="1"/>
  <c r="D16" i="45"/>
  <c r="E16" i="45" s="1"/>
  <c r="H14" i="45"/>
  <c r="I14" i="45" s="1"/>
  <c r="D14" i="45"/>
  <c r="E14" i="45" s="1"/>
  <c r="H12" i="45"/>
  <c r="I12" i="45" s="1"/>
  <c r="D12" i="45"/>
  <c r="E12" i="45" s="1"/>
  <c r="H10" i="45"/>
  <c r="I10" i="45" s="1"/>
  <c r="D10" i="45"/>
  <c r="E10" i="45" s="1"/>
  <c r="H9" i="45"/>
  <c r="I9" i="45" s="1"/>
  <c r="D9" i="45"/>
  <c r="H7" i="45"/>
  <c r="I7" i="45" s="1"/>
  <c r="D7" i="45"/>
  <c r="E7" i="45" s="1"/>
  <c r="J12" i="46" l="1"/>
  <c r="L12" i="46" s="1"/>
  <c r="J20" i="45"/>
  <c r="J22" i="45"/>
  <c r="J19" i="45"/>
  <c r="J18" i="45"/>
  <c r="J21" i="45"/>
  <c r="J7" i="45"/>
  <c r="J6" i="45" s="1"/>
  <c r="L6" i="45" s="1"/>
  <c r="E9" i="45"/>
  <c r="J9" i="45" s="1"/>
  <c r="J12" i="45"/>
  <c r="J11" i="45" s="1"/>
  <c r="L11" i="45" s="1"/>
  <c r="B108" i="6" s="1"/>
  <c r="E15" i="45"/>
  <c r="J15" i="45" s="1"/>
  <c r="E17" i="45"/>
  <c r="J17" i="45" s="1"/>
  <c r="J14" i="45"/>
  <c r="J16" i="45"/>
  <c r="J10" i="45"/>
  <c r="J8" i="45" l="1"/>
  <c r="L8" i="45" s="1"/>
  <c r="J13" i="45"/>
  <c r="L13" i="45" s="1"/>
  <c r="K8" i="44" l="1"/>
  <c r="K26" i="44"/>
  <c r="K19" i="44"/>
  <c r="K13" i="44"/>
  <c r="H9" i="44" l="1"/>
  <c r="F17" i="44" l="1"/>
  <c r="F27" i="44" l="1"/>
  <c r="F20" i="44"/>
  <c r="F14" i="44"/>
  <c r="H25" i="44"/>
  <c r="I25" i="44" s="1"/>
  <c r="D25" i="44"/>
  <c r="H24" i="44"/>
  <c r="I24" i="44" s="1"/>
  <c r="D24" i="44"/>
  <c r="E24" i="44" s="1"/>
  <c r="H18" i="44"/>
  <c r="I18" i="44" s="1"/>
  <c r="D18" i="44"/>
  <c r="H17" i="44"/>
  <c r="I17" i="44" s="1"/>
  <c r="D17" i="44"/>
  <c r="E17" i="44" s="1"/>
  <c r="H7" i="44"/>
  <c r="I7" i="44" s="1"/>
  <c r="D7" i="44"/>
  <c r="H29" i="44"/>
  <c r="I29" i="44" s="1"/>
  <c r="D29" i="44"/>
  <c r="H27" i="44"/>
  <c r="I27" i="44" s="1"/>
  <c r="D27" i="44"/>
  <c r="E27" i="44" s="1"/>
  <c r="H22" i="44"/>
  <c r="I22" i="44" s="1"/>
  <c r="D22" i="44"/>
  <c r="H20" i="44"/>
  <c r="I20" i="44" s="1"/>
  <c r="D20" i="44"/>
  <c r="E20" i="44" s="1"/>
  <c r="H15" i="44"/>
  <c r="I15" i="44" s="1"/>
  <c r="D15" i="44"/>
  <c r="E15" i="44" s="1"/>
  <c r="H14" i="44"/>
  <c r="I14" i="44" s="1"/>
  <c r="D14" i="44"/>
  <c r="E14" i="44" s="1"/>
  <c r="H12" i="44"/>
  <c r="I12" i="44" s="1"/>
  <c r="D12" i="44"/>
  <c r="E12" i="44" s="1"/>
  <c r="H10" i="44"/>
  <c r="I10" i="44" s="1"/>
  <c r="D10" i="44"/>
  <c r="E10" i="44" s="1"/>
  <c r="I9" i="44"/>
  <c r="D9" i="44"/>
  <c r="E9" i="44" s="1"/>
  <c r="K15" i="43"/>
  <c r="K33" i="43"/>
  <c r="K12" i="43"/>
  <c r="E18" i="44" l="1"/>
  <c r="J18" i="44" s="1"/>
  <c r="E25" i="44"/>
  <c r="J25" i="44" s="1"/>
  <c r="J24" i="44"/>
  <c r="J17" i="44"/>
  <c r="E7" i="44"/>
  <c r="J12" i="44"/>
  <c r="J9" i="44"/>
  <c r="J14" i="44"/>
  <c r="E22" i="44"/>
  <c r="J22" i="44" s="1"/>
  <c r="J21" i="44" s="1"/>
  <c r="L21" i="44" s="1"/>
  <c r="J20" i="44"/>
  <c r="J19" i="44" s="1"/>
  <c r="L19" i="44" s="1"/>
  <c r="J27" i="44"/>
  <c r="J26" i="44" s="1"/>
  <c r="L26" i="44" s="1"/>
  <c r="E29" i="44"/>
  <c r="J29" i="44" s="1"/>
  <c r="J28" i="44" s="1"/>
  <c r="L28" i="44" s="1"/>
  <c r="J10" i="44"/>
  <c r="J15" i="44"/>
  <c r="K39" i="43"/>
  <c r="K23" i="43"/>
  <c r="K29" i="43"/>
  <c r="K18" i="43"/>
  <c r="K6" i="43"/>
  <c r="K35" i="43"/>
  <c r="K27" i="43"/>
  <c r="B94" i="44" l="1"/>
  <c r="B105" i="6"/>
  <c r="B181" i="44"/>
  <c r="B207" i="6"/>
  <c r="B84" i="44"/>
  <c r="J7" i="44"/>
  <c r="J6" i="44" s="1"/>
  <c r="L6" i="44" s="1"/>
  <c r="J11" i="44"/>
  <c r="L11" i="44" s="1"/>
  <c r="J16" i="44"/>
  <c r="L16" i="44" s="1"/>
  <c r="J23" i="44"/>
  <c r="L23" i="44" s="1"/>
  <c r="J13" i="44"/>
  <c r="L13" i="44" s="1"/>
  <c r="J8" i="44"/>
  <c r="L8" i="44" s="1"/>
  <c r="H17" i="43"/>
  <c r="C17" i="43"/>
  <c r="B71" i="6" l="1"/>
  <c r="B65" i="44"/>
  <c r="B110" i="44"/>
  <c r="B124" i="6"/>
  <c r="H40" i="43"/>
  <c r="I40" i="43" s="1"/>
  <c r="E40" i="43"/>
  <c r="H38" i="43"/>
  <c r="I38" i="43" s="1"/>
  <c r="E38" i="43"/>
  <c r="H36" i="43"/>
  <c r="I36" i="43" s="1"/>
  <c r="E36" i="43"/>
  <c r="H34" i="43"/>
  <c r="I34" i="43" s="1"/>
  <c r="E34" i="43"/>
  <c r="J40" i="43" l="1"/>
  <c r="J39" i="43" s="1"/>
  <c r="L39" i="43" s="1"/>
  <c r="J38" i="43"/>
  <c r="J37" i="43" s="1"/>
  <c r="L37" i="43" s="1"/>
  <c r="J36" i="43"/>
  <c r="J35" i="43" s="1"/>
  <c r="L35" i="43" s="1"/>
  <c r="B163" i="6" s="1"/>
  <c r="J34" i="43"/>
  <c r="J33" i="43" s="1"/>
  <c r="L33" i="43" s="1"/>
  <c r="B52" i="6" s="1"/>
  <c r="B62" i="6"/>
  <c r="D14" i="43"/>
  <c r="E14" i="43"/>
  <c r="D20" i="43"/>
  <c r="E20" i="43" s="1"/>
  <c r="H20" i="43"/>
  <c r="I20" i="43" s="1"/>
  <c r="I17" i="43"/>
  <c r="D17" i="43"/>
  <c r="E17" i="43" s="1"/>
  <c r="H14" i="43"/>
  <c r="I14" i="43" s="1"/>
  <c r="H8" i="43"/>
  <c r="I8" i="43" s="1"/>
  <c r="H9" i="43"/>
  <c r="I9" i="43" s="1"/>
  <c r="D8" i="43"/>
  <c r="E8" i="43" s="1"/>
  <c r="D9" i="43"/>
  <c r="E9" i="43" s="1"/>
  <c r="H32" i="43"/>
  <c r="I32" i="43" s="1"/>
  <c r="D32" i="43"/>
  <c r="E32" i="43" s="1"/>
  <c r="H19" i="43"/>
  <c r="I19" i="43" s="1"/>
  <c r="D19" i="43"/>
  <c r="E19" i="43" s="1"/>
  <c r="F28" i="43"/>
  <c r="F9" i="43"/>
  <c r="H30" i="43"/>
  <c r="I30" i="43" s="1"/>
  <c r="D30" i="43"/>
  <c r="H28" i="43"/>
  <c r="I28" i="43" s="1"/>
  <c r="D28" i="43"/>
  <c r="E28" i="43" s="1"/>
  <c r="H26" i="43"/>
  <c r="I26" i="43" s="1"/>
  <c r="D26" i="43"/>
  <c r="E26" i="43" s="1"/>
  <c r="H24" i="43"/>
  <c r="I24" i="43" s="1"/>
  <c r="D24" i="43"/>
  <c r="E24" i="43" s="1"/>
  <c r="H22" i="43"/>
  <c r="I22" i="43" s="1"/>
  <c r="D22" i="43"/>
  <c r="E22" i="43" s="1"/>
  <c r="H16" i="43"/>
  <c r="I16" i="43" s="1"/>
  <c r="D16" i="43"/>
  <c r="H13" i="43"/>
  <c r="I13" i="43" s="1"/>
  <c r="D13" i="43"/>
  <c r="E13" i="43" s="1"/>
  <c r="H11" i="43"/>
  <c r="I11" i="43" s="1"/>
  <c r="D11" i="43"/>
  <c r="H10" i="43"/>
  <c r="I10" i="43" s="1"/>
  <c r="D10" i="43"/>
  <c r="E10" i="43" s="1"/>
  <c r="H7" i="43"/>
  <c r="I7" i="43" s="1"/>
  <c r="D7" i="43"/>
  <c r="E7" i="43" s="1"/>
  <c r="K24" i="42"/>
  <c r="K12" i="42"/>
  <c r="K18" i="42"/>
  <c r="J9" i="43" l="1"/>
  <c r="J8" i="43"/>
  <c r="J20" i="43"/>
  <c r="J17" i="43"/>
  <c r="J14" i="43"/>
  <c r="J32" i="43"/>
  <c r="J31" i="43" s="1"/>
  <c r="L31" i="43" s="1"/>
  <c r="B182" i="6" s="1"/>
  <c r="J19" i="43"/>
  <c r="J13" i="43"/>
  <c r="E30" i="43"/>
  <c r="J30" i="43" s="1"/>
  <c r="J29" i="43" s="1"/>
  <c r="L29" i="43" s="1"/>
  <c r="J26" i="43"/>
  <c r="J25" i="43" s="1"/>
  <c r="L25" i="43" s="1"/>
  <c r="B55" i="6" s="1"/>
  <c r="J22" i="43"/>
  <c r="J21" i="43" s="1"/>
  <c r="L21" i="43" s="1"/>
  <c r="J24" i="43"/>
  <c r="J23" i="43" s="1"/>
  <c r="L23" i="43" s="1"/>
  <c r="B206" i="6" s="1"/>
  <c r="J28" i="43"/>
  <c r="J27" i="43" s="1"/>
  <c r="L27" i="43" s="1"/>
  <c r="E16" i="43"/>
  <c r="J16" i="43" s="1"/>
  <c r="J10" i="43"/>
  <c r="E11" i="43"/>
  <c r="J11" i="43" s="1"/>
  <c r="J7" i="43"/>
  <c r="K21" i="32"/>
  <c r="J12" i="43" l="1"/>
  <c r="J15" i="43"/>
  <c r="L15" i="43" s="1"/>
  <c r="J6" i="43"/>
  <c r="L6" i="43" s="1"/>
  <c r="B173" i="6" s="1"/>
  <c r="J18" i="43"/>
  <c r="L18" i="43" s="1"/>
  <c r="B109" i="6" s="1"/>
  <c r="F33" i="42"/>
  <c r="F22" i="42"/>
  <c r="C17" i="42"/>
  <c r="D17" i="42" s="1"/>
  <c r="F9" i="42"/>
  <c r="F7" i="42"/>
  <c r="D33" i="42"/>
  <c r="E33" i="42" s="1"/>
  <c r="H33" i="42"/>
  <c r="I33" i="42" s="1"/>
  <c r="H35" i="42"/>
  <c r="I35" i="42" s="1"/>
  <c r="D35" i="42"/>
  <c r="E35" i="42" s="1"/>
  <c r="H34" i="42"/>
  <c r="I34" i="42" s="1"/>
  <c r="D34" i="42"/>
  <c r="E34" i="42" s="1"/>
  <c r="H32" i="42"/>
  <c r="I32" i="42" s="1"/>
  <c r="D32" i="42"/>
  <c r="E32" i="42" s="1"/>
  <c r="H30" i="42"/>
  <c r="I30" i="42" s="1"/>
  <c r="D30" i="42"/>
  <c r="H29" i="42"/>
  <c r="I29" i="42" s="1"/>
  <c r="D29" i="42"/>
  <c r="E29" i="42" s="1"/>
  <c r="H28" i="42"/>
  <c r="I28" i="42" s="1"/>
  <c r="D28" i="42"/>
  <c r="E28" i="42" s="1"/>
  <c r="H26" i="42"/>
  <c r="I26" i="42" s="1"/>
  <c r="D26" i="42"/>
  <c r="E26" i="42" s="1"/>
  <c r="H25" i="42"/>
  <c r="I25" i="42" s="1"/>
  <c r="D25" i="42"/>
  <c r="H23" i="42"/>
  <c r="I23" i="42" s="1"/>
  <c r="D23" i="42"/>
  <c r="E23" i="42" s="1"/>
  <c r="H22" i="42"/>
  <c r="I22" i="42" s="1"/>
  <c r="D22" i="42"/>
  <c r="E22" i="42" s="1"/>
  <c r="H20" i="42"/>
  <c r="I20" i="42" s="1"/>
  <c r="D20" i="42"/>
  <c r="H19" i="42"/>
  <c r="I19" i="42" s="1"/>
  <c r="D19" i="42"/>
  <c r="H17" i="42"/>
  <c r="I17" i="42" s="1"/>
  <c r="H15" i="42"/>
  <c r="I15" i="42" s="1"/>
  <c r="D15" i="42"/>
  <c r="H13" i="42"/>
  <c r="I13" i="42" s="1"/>
  <c r="D13" i="42"/>
  <c r="H11" i="42"/>
  <c r="I11" i="42" s="1"/>
  <c r="D11" i="42"/>
  <c r="E11" i="42" s="1"/>
  <c r="H9" i="42"/>
  <c r="I9" i="42" s="1"/>
  <c r="D9" i="42"/>
  <c r="E9" i="42" s="1"/>
  <c r="H7" i="42"/>
  <c r="I7" i="42" s="1"/>
  <c r="D7" i="42"/>
  <c r="E7" i="42" s="1"/>
  <c r="L12" i="43" l="1"/>
  <c r="B37" i="6" s="1"/>
  <c r="E25" i="42"/>
  <c r="J25" i="42" s="1"/>
  <c r="J35" i="42"/>
  <c r="J33" i="42"/>
  <c r="J34" i="42"/>
  <c r="J32" i="42"/>
  <c r="E30" i="42"/>
  <c r="J30" i="42" s="1"/>
  <c r="J28" i="42"/>
  <c r="J29" i="42"/>
  <c r="J26" i="42"/>
  <c r="J23" i="42"/>
  <c r="J22" i="42"/>
  <c r="E19" i="42"/>
  <c r="J19" i="42" s="1"/>
  <c r="E20" i="42"/>
  <c r="J20" i="42" s="1"/>
  <c r="E13" i="42"/>
  <c r="J13" i="42" s="1"/>
  <c r="J12" i="42" s="1"/>
  <c r="L12" i="42" s="1"/>
  <c r="E15" i="42"/>
  <c r="J15" i="42" s="1"/>
  <c r="J14" i="42" s="1"/>
  <c r="L14" i="42" s="1"/>
  <c r="B174" i="6" s="1"/>
  <c r="E17" i="42"/>
  <c r="J17" i="42" s="1"/>
  <c r="J16" i="42" s="1"/>
  <c r="L16" i="42" s="1"/>
  <c r="B190" i="6" s="1"/>
  <c r="J7" i="42"/>
  <c r="J6" i="42" s="1"/>
  <c r="L6" i="42" s="1"/>
  <c r="J9" i="42"/>
  <c r="J8" i="42" s="1"/>
  <c r="L8" i="42" s="1"/>
  <c r="J11" i="42"/>
  <c r="J10" i="42" s="1"/>
  <c r="L10" i="42" s="1"/>
  <c r="J21" i="42" l="1"/>
  <c r="L21" i="42" s="1"/>
  <c r="J27" i="42"/>
  <c r="L27" i="42" s="1"/>
  <c r="J24" i="42"/>
  <c r="L24" i="42" s="1"/>
  <c r="B134" i="6" s="1"/>
  <c r="J31" i="42"/>
  <c r="L31" i="42" s="1"/>
  <c r="J18" i="42"/>
  <c r="L18" i="42" s="1"/>
  <c r="K13" i="41" l="1"/>
  <c r="K26" i="41"/>
  <c r="K16" i="41"/>
  <c r="K22" i="41"/>
  <c r="K20" i="41" l="1"/>
  <c r="H17" i="41" l="1"/>
  <c r="I17" i="41" s="1"/>
  <c r="F17" i="41"/>
  <c r="F23" i="41"/>
  <c r="F12" i="41"/>
  <c r="F11" i="41"/>
  <c r="H27" i="41"/>
  <c r="I27" i="41" s="1"/>
  <c r="D27" i="41"/>
  <c r="H25" i="41"/>
  <c r="I25" i="41" s="1"/>
  <c r="D25" i="41"/>
  <c r="E25" i="41" s="1"/>
  <c r="H23" i="41"/>
  <c r="I23" i="41" s="1"/>
  <c r="D23" i="41"/>
  <c r="H21" i="41"/>
  <c r="I21" i="41" s="1"/>
  <c r="D21" i="41"/>
  <c r="E21" i="41" s="1"/>
  <c r="H19" i="41"/>
  <c r="I19" i="41" s="1"/>
  <c r="D19" i="41"/>
  <c r="E19" i="41" s="1"/>
  <c r="D17" i="41"/>
  <c r="E17" i="41" s="1"/>
  <c r="H11" i="41"/>
  <c r="I11" i="41" s="1"/>
  <c r="H15" i="41"/>
  <c r="I15" i="41" s="1"/>
  <c r="D15" i="41"/>
  <c r="H14" i="41"/>
  <c r="I14" i="41" s="1"/>
  <c r="D14" i="41"/>
  <c r="E14" i="41" s="1"/>
  <c r="H12" i="41"/>
  <c r="I12" i="41" s="1"/>
  <c r="D12" i="41"/>
  <c r="E12" i="41" s="1"/>
  <c r="D11" i="41"/>
  <c r="H9" i="41"/>
  <c r="I9" i="41" s="1"/>
  <c r="D9" i="41"/>
  <c r="E9" i="41" s="1"/>
  <c r="H8" i="41"/>
  <c r="I8" i="41" s="1"/>
  <c r="D8" i="41"/>
  <c r="E8" i="41" s="1"/>
  <c r="H7" i="41"/>
  <c r="I7" i="41" s="1"/>
  <c r="D7" i="41"/>
  <c r="K6" i="40"/>
  <c r="E27" i="41" l="1"/>
  <c r="J27" i="41" s="1"/>
  <c r="J26" i="41" s="1"/>
  <c r="L26" i="41" s="1"/>
  <c r="J9" i="41"/>
  <c r="J25" i="41"/>
  <c r="J24" i="41" s="1"/>
  <c r="L24" i="41" s="1"/>
  <c r="B187" i="6" s="1"/>
  <c r="E23" i="41"/>
  <c r="J23" i="41" s="1"/>
  <c r="J22" i="41" s="1"/>
  <c r="L22" i="41" s="1"/>
  <c r="J19" i="41"/>
  <c r="J18" i="41" s="1"/>
  <c r="L18" i="41" s="1"/>
  <c r="B122" i="6" s="1"/>
  <c r="J21" i="41"/>
  <c r="J20" i="41" s="1"/>
  <c r="L20" i="41" s="1"/>
  <c r="B26" i="6" s="1"/>
  <c r="J17" i="41"/>
  <c r="J16" i="41" s="1"/>
  <c r="L16" i="41" s="1"/>
  <c r="E7" i="41"/>
  <c r="J7" i="41" s="1"/>
  <c r="E11" i="41"/>
  <c r="J11" i="41" s="1"/>
  <c r="E15" i="41"/>
  <c r="J15" i="41" s="1"/>
  <c r="J8" i="41"/>
  <c r="J12" i="41"/>
  <c r="J14" i="41"/>
  <c r="J13" i="41" l="1"/>
  <c r="L13" i="41" s="1"/>
  <c r="J10" i="41"/>
  <c r="L10" i="41" s="1"/>
  <c r="J6" i="41"/>
  <c r="L6" i="41" s="1"/>
  <c r="K10" i="40" l="1"/>
  <c r="K8" i="40"/>
  <c r="K10" i="39" l="1"/>
  <c r="K16" i="39"/>
  <c r="K8" i="39"/>
  <c r="K36" i="39"/>
  <c r="K28" i="39"/>
  <c r="K40" i="39"/>
  <c r="K32" i="39"/>
  <c r="K18" i="39"/>
  <c r="K14" i="39" l="1"/>
  <c r="H11" i="40" l="1"/>
  <c r="I11" i="40" s="1"/>
  <c r="D11" i="40"/>
  <c r="H9" i="40"/>
  <c r="I9" i="40" s="1"/>
  <c r="D9" i="40"/>
  <c r="H7" i="40"/>
  <c r="I7" i="40" s="1"/>
  <c r="D7" i="40"/>
  <c r="E7" i="40" l="1"/>
  <c r="J7" i="40" s="1"/>
  <c r="J6" i="40" s="1"/>
  <c r="L6" i="40" s="1"/>
  <c r="B149" i="6" s="1"/>
  <c r="E9" i="40"/>
  <c r="J9" i="40" s="1"/>
  <c r="J8" i="40" s="1"/>
  <c r="L8" i="40" s="1"/>
  <c r="B24" i="6" s="1"/>
  <c r="E11" i="40"/>
  <c r="J11" i="40" s="1"/>
  <c r="J10" i="40" s="1"/>
  <c r="L10" i="40" s="1"/>
  <c r="H42" i="39"/>
  <c r="H20" i="39"/>
  <c r="F31" i="39" l="1"/>
  <c r="F43" i="39"/>
  <c r="F42" i="39"/>
  <c r="F41" i="39"/>
  <c r="F11" i="39"/>
  <c r="F13" i="39"/>
  <c r="F34" i="39"/>
  <c r="F19" i="39"/>
  <c r="F17" i="39"/>
  <c r="F9" i="39"/>
  <c r="F7" i="39"/>
  <c r="D23" i="39"/>
  <c r="E23" i="39" s="1"/>
  <c r="D20" i="39"/>
  <c r="E20" i="39" s="1"/>
  <c r="I42" i="39"/>
  <c r="D42" i="39"/>
  <c r="E42" i="39" s="1"/>
  <c r="H44" i="39"/>
  <c r="I44" i="39" s="1"/>
  <c r="D44" i="39"/>
  <c r="H43" i="39"/>
  <c r="I43" i="39" s="1"/>
  <c r="D43" i="39"/>
  <c r="E43" i="39" s="1"/>
  <c r="H41" i="39"/>
  <c r="I41" i="39" s="1"/>
  <c r="D41" i="39"/>
  <c r="E41" i="39" s="1"/>
  <c r="H39" i="39"/>
  <c r="I39" i="39" s="1"/>
  <c r="D39" i="39"/>
  <c r="H38" i="39"/>
  <c r="I38" i="39" s="1"/>
  <c r="D38" i="39"/>
  <c r="E38" i="39" s="1"/>
  <c r="H37" i="39"/>
  <c r="I37" i="39" s="1"/>
  <c r="D37" i="39"/>
  <c r="E37" i="39" s="1"/>
  <c r="H35" i="39"/>
  <c r="I35" i="39" s="1"/>
  <c r="D35" i="39"/>
  <c r="E35" i="39" s="1"/>
  <c r="H34" i="39"/>
  <c r="I34" i="39" s="1"/>
  <c r="D34" i="39"/>
  <c r="E34" i="39" s="1"/>
  <c r="I33" i="39"/>
  <c r="D33" i="39"/>
  <c r="E33" i="39" s="1"/>
  <c r="H31" i="39"/>
  <c r="I31" i="39" s="1"/>
  <c r="D31" i="39"/>
  <c r="E31" i="39" s="1"/>
  <c r="H30" i="39"/>
  <c r="I30" i="39" s="1"/>
  <c r="D30" i="39"/>
  <c r="E30" i="39" s="1"/>
  <c r="H29" i="39"/>
  <c r="I29" i="39" s="1"/>
  <c r="D29" i="39"/>
  <c r="E29" i="39" s="1"/>
  <c r="H27" i="39"/>
  <c r="I27" i="39" s="1"/>
  <c r="D27" i="39"/>
  <c r="H26" i="39"/>
  <c r="I26" i="39" s="1"/>
  <c r="D26" i="39"/>
  <c r="E26" i="39" s="1"/>
  <c r="H25" i="39"/>
  <c r="I25" i="39" s="1"/>
  <c r="D25" i="39"/>
  <c r="E25" i="39" s="1"/>
  <c r="H23" i="39"/>
  <c r="I23" i="39" s="1"/>
  <c r="H22" i="39"/>
  <c r="I22" i="39" s="1"/>
  <c r="D22" i="39"/>
  <c r="E22" i="39" s="1"/>
  <c r="I20" i="39"/>
  <c r="H19" i="39"/>
  <c r="I19" i="39" s="1"/>
  <c r="D19" i="39"/>
  <c r="E19" i="39" s="1"/>
  <c r="H17" i="39"/>
  <c r="I17" i="39" s="1"/>
  <c r="D17" i="39"/>
  <c r="E17" i="39" s="1"/>
  <c r="H15" i="39"/>
  <c r="I15" i="39" s="1"/>
  <c r="D15" i="39"/>
  <c r="E15" i="39" s="1"/>
  <c r="H13" i="39"/>
  <c r="I13" i="39" s="1"/>
  <c r="D13" i="39"/>
  <c r="E13" i="39" s="1"/>
  <c r="H11" i="39"/>
  <c r="I11" i="39" s="1"/>
  <c r="D11" i="39"/>
  <c r="E11" i="39" s="1"/>
  <c r="H9" i="39"/>
  <c r="I9" i="39" s="1"/>
  <c r="D9" i="39"/>
  <c r="E9" i="39" s="1"/>
  <c r="H7" i="39"/>
  <c r="I7" i="39" s="1"/>
  <c r="D7" i="39"/>
  <c r="E7" i="39" s="1"/>
  <c r="K10" i="38"/>
  <c r="K15" i="38"/>
  <c r="J33" i="39" l="1"/>
  <c r="J7" i="39"/>
  <c r="J6" i="39" s="1"/>
  <c r="L6" i="39" s="1"/>
  <c r="B133" i="6" s="1"/>
  <c r="J42" i="39"/>
  <c r="E27" i="39"/>
  <c r="J27" i="39" s="1"/>
  <c r="E39" i="39"/>
  <c r="J39" i="39" s="1"/>
  <c r="J23" i="39"/>
  <c r="E44" i="39"/>
  <c r="J44" i="39" s="1"/>
  <c r="J41" i="39"/>
  <c r="J43" i="39"/>
  <c r="J38" i="39"/>
  <c r="J37" i="39"/>
  <c r="J34" i="39"/>
  <c r="J35" i="39"/>
  <c r="J31" i="39"/>
  <c r="J29" i="39"/>
  <c r="J30" i="39"/>
  <c r="J26" i="39"/>
  <c r="J22" i="39"/>
  <c r="J19" i="39"/>
  <c r="J20" i="39"/>
  <c r="J9" i="39"/>
  <c r="J8" i="39" s="1"/>
  <c r="L8" i="39" s="1"/>
  <c r="B194" i="6" s="1"/>
  <c r="J11" i="39"/>
  <c r="J10" i="39" s="1"/>
  <c r="L10" i="39" s="1"/>
  <c r="B34" i="6" s="1"/>
  <c r="J12" i="39"/>
  <c r="L12" i="39" s="1"/>
  <c r="J14" i="39"/>
  <c r="L14" i="39" s="1"/>
  <c r="J17" i="39"/>
  <c r="J16" i="39" s="1"/>
  <c r="L16" i="39" s="1"/>
  <c r="B181" i="6" s="1"/>
  <c r="K18" i="37"/>
  <c r="K12" i="37"/>
  <c r="K14" i="37"/>
  <c r="F11" i="38"/>
  <c r="F17" i="38"/>
  <c r="H17" i="38"/>
  <c r="I17" i="38" s="1"/>
  <c r="D17" i="38"/>
  <c r="E17" i="38" s="1"/>
  <c r="H16" i="38"/>
  <c r="I16" i="38" s="1"/>
  <c r="D16" i="38"/>
  <c r="E16" i="38" s="1"/>
  <c r="H14" i="38"/>
  <c r="I14" i="38" s="1"/>
  <c r="D14" i="38"/>
  <c r="E14" i="38" s="1"/>
  <c r="H13" i="38"/>
  <c r="I13" i="38" s="1"/>
  <c r="D13" i="38"/>
  <c r="E13" i="38" s="1"/>
  <c r="H11" i="38"/>
  <c r="I11" i="38" s="1"/>
  <c r="D11" i="38"/>
  <c r="H9" i="38"/>
  <c r="I9" i="38" s="1"/>
  <c r="D9" i="38"/>
  <c r="H7" i="38"/>
  <c r="I7" i="38" s="1"/>
  <c r="D7" i="38"/>
  <c r="E7" i="38" s="1"/>
  <c r="H22" i="37"/>
  <c r="I22" i="37" s="1"/>
  <c r="D22" i="37"/>
  <c r="D9" i="37"/>
  <c r="E9" i="37" s="1"/>
  <c r="H9" i="37"/>
  <c r="I9" i="37" s="1"/>
  <c r="D11" i="37"/>
  <c r="E11" i="37" s="1"/>
  <c r="H11" i="37"/>
  <c r="I11" i="37" s="1"/>
  <c r="D13" i="37"/>
  <c r="E13" i="37" s="1"/>
  <c r="H13" i="37"/>
  <c r="I13" i="37" s="1"/>
  <c r="D15" i="37"/>
  <c r="E15" i="37" s="1"/>
  <c r="H15" i="37"/>
  <c r="I15" i="37" s="1"/>
  <c r="D17" i="37"/>
  <c r="E17" i="37" s="1"/>
  <c r="H17" i="37"/>
  <c r="I17" i="37" s="1"/>
  <c r="H19" i="37"/>
  <c r="I19" i="37" s="1"/>
  <c r="H20" i="37"/>
  <c r="I20" i="37" s="1"/>
  <c r="D20" i="37"/>
  <c r="E20" i="37" s="1"/>
  <c r="D19" i="37"/>
  <c r="E19" i="37" s="1"/>
  <c r="H7" i="37"/>
  <c r="I7" i="37" s="1"/>
  <c r="D7" i="37"/>
  <c r="E7" i="37" s="1"/>
  <c r="K10" i="36"/>
  <c r="K20" i="35"/>
  <c r="K22" i="36"/>
  <c r="K6" i="36"/>
  <c r="K28" i="36"/>
  <c r="K42" i="36"/>
  <c r="K36" i="36"/>
  <c r="K12" i="36"/>
  <c r="K18" i="36"/>
  <c r="K32" i="36"/>
  <c r="K14" i="36"/>
  <c r="K8" i="36"/>
  <c r="J21" i="39" l="1"/>
  <c r="L21" i="39" s="1"/>
  <c r="J32" i="39"/>
  <c r="L32" i="39" s="1"/>
  <c r="J36" i="39"/>
  <c r="L36" i="39" s="1"/>
  <c r="J24" i="39"/>
  <c r="L24" i="39" s="1"/>
  <c r="J40" i="39"/>
  <c r="L40" i="39" s="1"/>
  <c r="J28" i="39"/>
  <c r="L28" i="39" s="1"/>
  <c r="J18" i="39"/>
  <c r="L18" i="39" s="1"/>
  <c r="J17" i="37"/>
  <c r="J16" i="37" s="1"/>
  <c r="L16" i="37" s="1"/>
  <c r="J16" i="38"/>
  <c r="J13" i="38"/>
  <c r="J17" i="38"/>
  <c r="J14" i="38"/>
  <c r="J7" i="38"/>
  <c r="J6" i="38" s="1"/>
  <c r="L6" i="38" s="1"/>
  <c r="E9" i="38"/>
  <c r="J9" i="38" s="1"/>
  <c r="J8" i="38" s="1"/>
  <c r="L8" i="38" s="1"/>
  <c r="E11" i="38"/>
  <c r="J11" i="38" s="1"/>
  <c r="J10" i="38" s="1"/>
  <c r="L10" i="38" s="1"/>
  <c r="B153" i="6" s="1"/>
  <c r="E22" i="37"/>
  <c r="J22" i="37" s="1"/>
  <c r="J19" i="37"/>
  <c r="J20" i="37"/>
  <c r="J7" i="37"/>
  <c r="J6" i="37" s="1"/>
  <c r="L6" i="37" s="1"/>
  <c r="J9" i="37"/>
  <c r="J8" i="37" s="1"/>
  <c r="L8" i="37" s="1"/>
  <c r="J11" i="37"/>
  <c r="J10" i="37" s="1"/>
  <c r="L10" i="37" s="1"/>
  <c r="B204" i="6" s="1"/>
  <c r="J13" i="37"/>
  <c r="J12" i="37" s="1"/>
  <c r="L12" i="37" s="1"/>
  <c r="B115" i="6" s="1"/>
  <c r="J15" i="37"/>
  <c r="J14" i="37" s="1"/>
  <c r="L14" i="37" s="1"/>
  <c r="B30" i="6" s="1"/>
  <c r="K20" i="36"/>
  <c r="K16" i="36"/>
  <c r="K34" i="36"/>
  <c r="K40" i="36"/>
  <c r="K38" i="36"/>
  <c r="H45" i="36"/>
  <c r="I45" i="36" s="1"/>
  <c r="D45" i="36"/>
  <c r="E45" i="36" s="1"/>
  <c r="K14" i="35"/>
  <c r="H33" i="36"/>
  <c r="I33" i="36" s="1"/>
  <c r="D33" i="36"/>
  <c r="E33" i="36" s="1"/>
  <c r="H43" i="36"/>
  <c r="I43" i="36" s="1"/>
  <c r="D43" i="36"/>
  <c r="E43" i="36" s="1"/>
  <c r="H41" i="36"/>
  <c r="I41" i="36" s="1"/>
  <c r="D41" i="36"/>
  <c r="C39" i="36"/>
  <c r="D39" i="36" s="1"/>
  <c r="E39" i="36" s="1"/>
  <c r="C37" i="36"/>
  <c r="D37" i="36" s="1"/>
  <c r="E37" i="36" s="1"/>
  <c r="H39" i="36"/>
  <c r="I39" i="36" s="1"/>
  <c r="H37" i="36"/>
  <c r="I37" i="36" s="1"/>
  <c r="H27" i="36"/>
  <c r="I27" i="36" s="1"/>
  <c r="D27" i="36"/>
  <c r="E27" i="36" s="1"/>
  <c r="H25" i="36"/>
  <c r="I25" i="36" s="1"/>
  <c r="D25" i="36"/>
  <c r="E25" i="36" s="1"/>
  <c r="H23" i="36"/>
  <c r="I23" i="36" s="1"/>
  <c r="D23" i="36"/>
  <c r="H21" i="36"/>
  <c r="I21" i="36" s="1"/>
  <c r="D21" i="36"/>
  <c r="E21" i="36" s="1"/>
  <c r="H19" i="36"/>
  <c r="I19" i="36" s="1"/>
  <c r="D19" i="36"/>
  <c r="E19" i="36" s="1"/>
  <c r="H35" i="36"/>
  <c r="I35" i="36" s="1"/>
  <c r="D35" i="36"/>
  <c r="H31" i="36"/>
  <c r="I31" i="36" s="1"/>
  <c r="D31" i="36"/>
  <c r="H30" i="36"/>
  <c r="I30" i="36" s="1"/>
  <c r="D30" i="36"/>
  <c r="E30" i="36" s="1"/>
  <c r="H29" i="36"/>
  <c r="I29" i="36" s="1"/>
  <c r="D29" i="36"/>
  <c r="H17" i="36"/>
  <c r="I17" i="36" s="1"/>
  <c r="D17" i="36"/>
  <c r="E17" i="36" s="1"/>
  <c r="H15" i="36"/>
  <c r="I15" i="36" s="1"/>
  <c r="D15" i="36"/>
  <c r="E15" i="36" s="1"/>
  <c r="H13" i="36"/>
  <c r="I13" i="36" s="1"/>
  <c r="D13" i="36"/>
  <c r="H11" i="36"/>
  <c r="I11" i="36" s="1"/>
  <c r="D11" i="36"/>
  <c r="H9" i="36"/>
  <c r="I9" i="36" s="1"/>
  <c r="D9" i="36"/>
  <c r="H7" i="36"/>
  <c r="I7" i="36" s="1"/>
  <c r="D7" i="36"/>
  <c r="K8" i="35"/>
  <c r="K16" i="35"/>
  <c r="K24" i="35"/>
  <c r="K6" i="35"/>
  <c r="K27" i="35"/>
  <c r="K10" i="35"/>
  <c r="F11" i="35"/>
  <c r="D26" i="35"/>
  <c r="E26" i="35" s="1"/>
  <c r="H23" i="35"/>
  <c r="I23" i="35" s="1"/>
  <c r="D23" i="35"/>
  <c r="H22" i="35"/>
  <c r="I22" i="35" s="1"/>
  <c r="D22" i="35"/>
  <c r="E22" i="35" s="1"/>
  <c r="H21" i="35"/>
  <c r="I21" i="35" s="1"/>
  <c r="D21" i="35"/>
  <c r="E21" i="35" s="1"/>
  <c r="I19" i="35"/>
  <c r="H17" i="35"/>
  <c r="I17" i="35" s="1"/>
  <c r="D17" i="35"/>
  <c r="E17" i="35" s="1"/>
  <c r="H15" i="35"/>
  <c r="I15" i="35" s="1"/>
  <c r="D15" i="35"/>
  <c r="H13" i="35"/>
  <c r="I13" i="35" s="1"/>
  <c r="D13" i="35"/>
  <c r="E13" i="35" s="1"/>
  <c r="H30" i="35"/>
  <c r="I30" i="35" s="1"/>
  <c r="D30" i="35"/>
  <c r="E30" i="35" s="1"/>
  <c r="H29" i="35"/>
  <c r="I29" i="35" s="1"/>
  <c r="D29" i="35"/>
  <c r="E29" i="35" s="1"/>
  <c r="H28" i="35"/>
  <c r="I28" i="35" s="1"/>
  <c r="D28" i="35"/>
  <c r="E28" i="35" s="1"/>
  <c r="H26" i="35"/>
  <c r="I26" i="35" s="1"/>
  <c r="H25" i="35"/>
  <c r="I25" i="35" s="1"/>
  <c r="D25" i="35"/>
  <c r="E25" i="35" s="1"/>
  <c r="H11" i="35"/>
  <c r="I11" i="35" s="1"/>
  <c r="D11" i="35"/>
  <c r="E11" i="35" s="1"/>
  <c r="H9" i="35"/>
  <c r="I9" i="35" s="1"/>
  <c r="D9" i="35"/>
  <c r="E9" i="35" s="1"/>
  <c r="H7" i="35"/>
  <c r="I7" i="35" s="1"/>
  <c r="D7" i="35"/>
  <c r="E7" i="35" s="1"/>
  <c r="K6" i="34"/>
  <c r="K8" i="33"/>
  <c r="K37" i="33"/>
  <c r="K12" i="34"/>
  <c r="K21" i="34"/>
  <c r="K25" i="33"/>
  <c r="K18" i="34"/>
  <c r="F31" i="34"/>
  <c r="F17" i="34"/>
  <c r="G16" i="34"/>
  <c r="F9" i="34"/>
  <c r="C16" i="34"/>
  <c r="H28" i="34"/>
  <c r="I28" i="34" s="1"/>
  <c r="D28" i="34"/>
  <c r="E28" i="34" s="1"/>
  <c r="H30" i="34"/>
  <c r="I30" i="34" s="1"/>
  <c r="D30" i="34"/>
  <c r="E30" i="34" s="1"/>
  <c r="H24" i="34"/>
  <c r="I24" i="34" s="1"/>
  <c r="D24" i="34"/>
  <c r="E24" i="34" s="1"/>
  <c r="J45" i="36" l="1"/>
  <c r="J44" i="36" s="1"/>
  <c r="L44" i="36" s="1"/>
  <c r="J15" i="38"/>
  <c r="L15" i="38" s="1"/>
  <c r="J12" i="38"/>
  <c r="L12" i="38" s="1"/>
  <c r="B100" i="6" s="1"/>
  <c r="J21" i="37"/>
  <c r="L21" i="37" s="1"/>
  <c r="B106" i="6" s="1"/>
  <c r="J18" i="37"/>
  <c r="L18" i="37" s="1"/>
  <c r="J33" i="36"/>
  <c r="J32" i="36" s="1"/>
  <c r="L32" i="36" s="1"/>
  <c r="J43" i="36"/>
  <c r="J42" i="36" s="1"/>
  <c r="L42" i="36" s="1"/>
  <c r="E41" i="36"/>
  <c r="J41" i="36" s="1"/>
  <c r="J40" i="36" s="1"/>
  <c r="L40" i="36" s="1"/>
  <c r="J39" i="36"/>
  <c r="J38" i="36" s="1"/>
  <c r="L38" i="36" s="1"/>
  <c r="B22" i="6" s="1"/>
  <c r="J27" i="36"/>
  <c r="J26" i="36" s="1"/>
  <c r="L26" i="36" s="1"/>
  <c r="B169" i="6" s="1"/>
  <c r="J25" i="36"/>
  <c r="J24" i="36" s="1"/>
  <c r="L24" i="36" s="1"/>
  <c r="B177" i="6" s="1"/>
  <c r="J19" i="36"/>
  <c r="J18" i="36" s="1"/>
  <c r="L18" i="36" s="1"/>
  <c r="B193" i="6" s="1"/>
  <c r="J21" i="36"/>
  <c r="J20" i="36" s="1"/>
  <c r="L20" i="36" s="1"/>
  <c r="B87" i="6" s="1"/>
  <c r="E23" i="36"/>
  <c r="J23" i="36" s="1"/>
  <c r="J22" i="36" s="1"/>
  <c r="L22" i="36" s="1"/>
  <c r="J37" i="36"/>
  <c r="J36" i="36" s="1"/>
  <c r="L36" i="36" s="1"/>
  <c r="B31" i="6" s="1"/>
  <c r="E29" i="36"/>
  <c r="J29" i="36" s="1"/>
  <c r="J15" i="36"/>
  <c r="J14" i="36" s="1"/>
  <c r="L14" i="36" s="1"/>
  <c r="B128" i="6" s="1"/>
  <c r="J17" i="36"/>
  <c r="J16" i="36" s="1"/>
  <c r="L16" i="36" s="1"/>
  <c r="E7" i="36"/>
  <c r="J7" i="36" s="1"/>
  <c r="J6" i="36" s="1"/>
  <c r="L6" i="36" s="1"/>
  <c r="E9" i="36"/>
  <c r="J9" i="36" s="1"/>
  <c r="J8" i="36" s="1"/>
  <c r="L8" i="36" s="1"/>
  <c r="E11" i="36"/>
  <c r="J11" i="36" s="1"/>
  <c r="J10" i="36" s="1"/>
  <c r="L10" i="36" s="1"/>
  <c r="B99" i="6" s="1"/>
  <c r="E13" i="36"/>
  <c r="J13" i="36" s="1"/>
  <c r="J12" i="36" s="1"/>
  <c r="L12" i="36" s="1"/>
  <c r="B2" i="6" s="1"/>
  <c r="E31" i="36"/>
  <c r="J31" i="36" s="1"/>
  <c r="E35" i="36"/>
  <c r="J35" i="36" s="1"/>
  <c r="J34" i="36" s="1"/>
  <c r="J30" i="36"/>
  <c r="J21" i="35"/>
  <c r="E23" i="35"/>
  <c r="J23" i="35" s="1"/>
  <c r="J22" i="35"/>
  <c r="J19" i="35"/>
  <c r="J18" i="35" s="1"/>
  <c r="L18" i="35" s="1"/>
  <c r="J13" i="35"/>
  <c r="J12" i="35" s="1"/>
  <c r="L12" i="35" s="1"/>
  <c r="J17" i="35"/>
  <c r="J16" i="35" s="1"/>
  <c r="L16" i="35" s="1"/>
  <c r="E15" i="35"/>
  <c r="J15" i="35" s="1"/>
  <c r="J14" i="35" s="1"/>
  <c r="L14" i="35" s="1"/>
  <c r="B79" i="6" s="1"/>
  <c r="J25" i="35"/>
  <c r="J30" i="35"/>
  <c r="J9" i="35"/>
  <c r="J8" i="35" s="1"/>
  <c r="L8" i="35" s="1"/>
  <c r="B195" i="6" s="1"/>
  <c r="J11" i="35"/>
  <c r="J10" i="35" s="1"/>
  <c r="L10" i="35" s="1"/>
  <c r="B111" i="6" s="1"/>
  <c r="J29" i="35"/>
  <c r="J7" i="35"/>
  <c r="J6" i="35" s="1"/>
  <c r="L6" i="35" s="1"/>
  <c r="B4" i="6" s="1"/>
  <c r="J26" i="35"/>
  <c r="J28" i="35"/>
  <c r="J28" i="34"/>
  <c r="J30" i="34"/>
  <c r="J24" i="34"/>
  <c r="B64" i="44" l="1"/>
  <c r="B69" i="6"/>
  <c r="J28" i="36"/>
  <c r="L28" i="36" s="1"/>
  <c r="B213" i="6" s="1"/>
  <c r="L34" i="36"/>
  <c r="J27" i="35"/>
  <c r="L27" i="35" s="1"/>
  <c r="J20" i="35"/>
  <c r="L20" i="35" s="1"/>
  <c r="J24" i="35"/>
  <c r="L24" i="35" s="1"/>
  <c r="H31" i="34"/>
  <c r="I31" i="34" s="1"/>
  <c r="D31" i="34"/>
  <c r="E31" i="34" s="1"/>
  <c r="H29" i="34"/>
  <c r="I29" i="34" s="1"/>
  <c r="D29" i="34"/>
  <c r="E29" i="34" s="1"/>
  <c r="H27" i="34"/>
  <c r="I27" i="34" s="1"/>
  <c r="D27" i="34"/>
  <c r="E27" i="34" s="1"/>
  <c r="H25" i="34"/>
  <c r="I25" i="34" s="1"/>
  <c r="D25" i="34"/>
  <c r="E25" i="34" s="1"/>
  <c r="H23" i="34"/>
  <c r="I23" i="34" s="1"/>
  <c r="D23" i="34"/>
  <c r="H22" i="34"/>
  <c r="I22" i="34" s="1"/>
  <c r="D22" i="34"/>
  <c r="E22" i="34" s="1"/>
  <c r="H20" i="34"/>
  <c r="I20" i="34" s="1"/>
  <c r="D20" i="34"/>
  <c r="E20" i="34" s="1"/>
  <c r="H19" i="34"/>
  <c r="I19" i="34" s="1"/>
  <c r="D19" i="34"/>
  <c r="E19" i="34" s="1"/>
  <c r="H17" i="34"/>
  <c r="I17" i="34" s="1"/>
  <c r="D17" i="34"/>
  <c r="H16" i="34"/>
  <c r="I16" i="34" s="1"/>
  <c r="D16" i="34"/>
  <c r="E16" i="34" s="1"/>
  <c r="H14" i="34"/>
  <c r="I14" i="34" s="1"/>
  <c r="D14" i="34"/>
  <c r="H13" i="34"/>
  <c r="I13" i="34" s="1"/>
  <c r="D13" i="34"/>
  <c r="E13" i="34" s="1"/>
  <c r="H11" i="34"/>
  <c r="I11" i="34" s="1"/>
  <c r="D11" i="34"/>
  <c r="E11" i="34" s="1"/>
  <c r="H9" i="34"/>
  <c r="I9" i="34" s="1"/>
  <c r="D9" i="34"/>
  <c r="H7" i="34"/>
  <c r="I7" i="34" s="1"/>
  <c r="D7" i="34"/>
  <c r="E7" i="34" s="1"/>
  <c r="F40" i="33"/>
  <c r="F33" i="33"/>
  <c r="G27" i="33"/>
  <c r="F27" i="33"/>
  <c r="G15" i="33"/>
  <c r="H15" i="33" s="1"/>
  <c r="I15" i="33" s="1"/>
  <c r="F15" i="33"/>
  <c r="G13" i="33"/>
  <c r="H13" i="33" s="1"/>
  <c r="I13" i="33" s="1"/>
  <c r="F13" i="33"/>
  <c r="G11" i="33"/>
  <c r="H11" i="33" s="1"/>
  <c r="I11" i="33" s="1"/>
  <c r="F11" i="33"/>
  <c r="C27" i="33"/>
  <c r="D27" i="33" s="1"/>
  <c r="E27" i="33" s="1"/>
  <c r="C15" i="33"/>
  <c r="D15" i="33" s="1"/>
  <c r="C13" i="33"/>
  <c r="D13" i="33" s="1"/>
  <c r="E13" i="33" s="1"/>
  <c r="C11" i="33"/>
  <c r="D11" i="33" s="1"/>
  <c r="H33" i="33"/>
  <c r="I33" i="33" s="1"/>
  <c r="D33" i="33"/>
  <c r="E33" i="33" s="1"/>
  <c r="H32" i="33"/>
  <c r="I32" i="33" s="1"/>
  <c r="D32" i="33"/>
  <c r="H30" i="33"/>
  <c r="I30" i="33" s="1"/>
  <c r="D30" i="33"/>
  <c r="E30" i="33" s="1"/>
  <c r="H29" i="33"/>
  <c r="I29" i="33" s="1"/>
  <c r="D29" i="33"/>
  <c r="E29" i="33" s="1"/>
  <c r="H27" i="33"/>
  <c r="I27" i="33" s="1"/>
  <c r="H26" i="33"/>
  <c r="I26" i="33" s="1"/>
  <c r="D26" i="33"/>
  <c r="E26" i="33" s="1"/>
  <c r="H24" i="33"/>
  <c r="I24" i="33" s="1"/>
  <c r="D24" i="33"/>
  <c r="E24" i="33" s="1"/>
  <c r="H23" i="33"/>
  <c r="I23" i="33" s="1"/>
  <c r="D23" i="33"/>
  <c r="E23" i="33" s="1"/>
  <c r="H21" i="33"/>
  <c r="I21" i="33" s="1"/>
  <c r="D21" i="33"/>
  <c r="E21" i="33" s="1"/>
  <c r="H19" i="33"/>
  <c r="I19" i="33" s="1"/>
  <c r="D19" i="33"/>
  <c r="H17" i="33"/>
  <c r="I17" i="33" s="1"/>
  <c r="D17" i="33"/>
  <c r="E17" i="33" s="1"/>
  <c r="H9" i="33"/>
  <c r="I9" i="33" s="1"/>
  <c r="D9" i="33"/>
  <c r="E9" i="33" s="1"/>
  <c r="H7" i="33"/>
  <c r="I7" i="33" s="1"/>
  <c r="D7" i="33"/>
  <c r="E7" i="33" s="1"/>
  <c r="H44" i="33"/>
  <c r="I44" i="33" s="1"/>
  <c r="D44" i="33"/>
  <c r="E44" i="33" s="1"/>
  <c r="H43" i="33"/>
  <c r="I43" i="33" s="1"/>
  <c r="D43" i="33"/>
  <c r="E43" i="33" s="1"/>
  <c r="H42" i="33"/>
  <c r="I42" i="33" s="1"/>
  <c r="D42" i="33"/>
  <c r="H40" i="33"/>
  <c r="I40" i="33" s="1"/>
  <c r="D40" i="33"/>
  <c r="E40" i="33" s="1"/>
  <c r="H39" i="33"/>
  <c r="I39" i="33" s="1"/>
  <c r="D39" i="33"/>
  <c r="E39" i="33" s="1"/>
  <c r="H38" i="33"/>
  <c r="I38" i="33" s="1"/>
  <c r="D38" i="33"/>
  <c r="E38" i="33" s="1"/>
  <c r="H36" i="33"/>
  <c r="I36" i="33" s="1"/>
  <c r="D36" i="33"/>
  <c r="E36" i="33" s="1"/>
  <c r="H35" i="33"/>
  <c r="I35" i="33" s="1"/>
  <c r="D35" i="33"/>
  <c r="E35" i="33" s="1"/>
  <c r="K6" i="31"/>
  <c r="K25" i="32"/>
  <c r="K44" i="31"/>
  <c r="K36" i="31"/>
  <c r="K23" i="31"/>
  <c r="K28" i="32"/>
  <c r="K40" i="31"/>
  <c r="K30" i="31"/>
  <c r="K38" i="31"/>
  <c r="G31" i="31"/>
  <c r="H31" i="31" s="1"/>
  <c r="I31" i="31" s="1"/>
  <c r="G24" i="31"/>
  <c r="H24" i="31" s="1"/>
  <c r="I24" i="31" s="1"/>
  <c r="H45" i="31"/>
  <c r="I45" i="31" s="1"/>
  <c r="H43" i="31"/>
  <c r="I43" i="31" s="1"/>
  <c r="H41" i="31"/>
  <c r="I41" i="31" s="1"/>
  <c r="H39" i="31"/>
  <c r="I39" i="31" s="1"/>
  <c r="H37" i="31"/>
  <c r="I37" i="31" s="1"/>
  <c r="H35" i="31"/>
  <c r="I35" i="31" s="1"/>
  <c r="H33" i="31"/>
  <c r="I33" i="31" s="1"/>
  <c r="H29" i="31"/>
  <c r="I29" i="31" s="1"/>
  <c r="H28" i="31"/>
  <c r="I28" i="31" s="1"/>
  <c r="H25" i="31"/>
  <c r="I25" i="31" s="1"/>
  <c r="H22" i="31"/>
  <c r="I22" i="31" s="1"/>
  <c r="H21" i="31"/>
  <c r="I21" i="31" s="1"/>
  <c r="H20" i="31"/>
  <c r="I20" i="31" s="1"/>
  <c r="F37" i="31"/>
  <c r="F33" i="32"/>
  <c r="C33" i="32"/>
  <c r="D33" i="32" s="1"/>
  <c r="E33" i="32" s="1"/>
  <c r="F29" i="32"/>
  <c r="F20" i="32"/>
  <c r="H20" i="32"/>
  <c r="I20" i="32" s="1"/>
  <c r="D20" i="32"/>
  <c r="E20" i="32" s="1"/>
  <c r="H19" i="32"/>
  <c r="I19" i="32" s="1"/>
  <c r="D19" i="32"/>
  <c r="E19" i="32" s="1"/>
  <c r="H18" i="32"/>
  <c r="I18" i="32" s="1"/>
  <c r="D18" i="32"/>
  <c r="H15" i="32"/>
  <c r="I15" i="32" s="1"/>
  <c r="D15" i="32"/>
  <c r="E15" i="32" s="1"/>
  <c r="H33" i="32"/>
  <c r="I33" i="32" s="1"/>
  <c r="H32" i="32"/>
  <c r="I32" i="32" s="1"/>
  <c r="H24" i="32"/>
  <c r="I24" i="32" s="1"/>
  <c r="H23" i="32"/>
  <c r="I23" i="32" s="1"/>
  <c r="H22" i="32"/>
  <c r="I22" i="32" s="1"/>
  <c r="H16" i="32"/>
  <c r="I16" i="32" s="1"/>
  <c r="H14" i="32"/>
  <c r="I14" i="32" s="1"/>
  <c r="H13" i="32"/>
  <c r="I13" i="32" s="1"/>
  <c r="H30" i="32"/>
  <c r="I30" i="32" s="1"/>
  <c r="H29" i="32"/>
  <c r="I29" i="32" s="1"/>
  <c r="H27" i="32"/>
  <c r="I27" i="32" s="1"/>
  <c r="H26" i="32"/>
  <c r="I26" i="32" s="1"/>
  <c r="D32" i="32"/>
  <c r="E32" i="32" s="1"/>
  <c r="D24" i="32"/>
  <c r="E24" i="32" s="1"/>
  <c r="D23" i="32"/>
  <c r="E23" i="32" s="1"/>
  <c r="D22" i="32"/>
  <c r="E22" i="32" s="1"/>
  <c r="D16" i="32"/>
  <c r="E16" i="32" s="1"/>
  <c r="D14" i="32"/>
  <c r="E14" i="32" s="1"/>
  <c r="D13" i="32"/>
  <c r="E13" i="32" s="1"/>
  <c r="D30" i="32"/>
  <c r="D29" i="32"/>
  <c r="E29" i="32" s="1"/>
  <c r="D27" i="32"/>
  <c r="E27" i="32" s="1"/>
  <c r="D26" i="32"/>
  <c r="E26" i="32" s="1"/>
  <c r="H11" i="32"/>
  <c r="I11" i="32" s="1"/>
  <c r="D11" i="32"/>
  <c r="E11" i="32" s="1"/>
  <c r="H10" i="32"/>
  <c r="I10" i="32" s="1"/>
  <c r="D10" i="32"/>
  <c r="E10" i="32" s="1"/>
  <c r="H9" i="32"/>
  <c r="I9" i="32" s="1"/>
  <c r="D9" i="32"/>
  <c r="H8" i="32"/>
  <c r="I8" i="32" s="1"/>
  <c r="D8" i="32"/>
  <c r="H7" i="32"/>
  <c r="I7" i="32" s="1"/>
  <c r="D7" i="32"/>
  <c r="E7" i="32" s="1"/>
  <c r="C31" i="31"/>
  <c r="D31" i="31" s="1"/>
  <c r="E31" i="31" s="1"/>
  <c r="D28" i="31"/>
  <c r="E28" i="31" s="1"/>
  <c r="D29" i="31"/>
  <c r="E29" i="31" s="1"/>
  <c r="D33" i="31"/>
  <c r="E33" i="31" s="1"/>
  <c r="D35" i="31"/>
  <c r="E35" i="31" s="1"/>
  <c r="D37" i="31"/>
  <c r="E37" i="31" s="1"/>
  <c r="D39" i="31"/>
  <c r="E39" i="31" s="1"/>
  <c r="C24" i="31"/>
  <c r="D24" i="31" s="1"/>
  <c r="E24" i="31" s="1"/>
  <c r="F7" i="31"/>
  <c r="D45" i="31"/>
  <c r="E45" i="31" s="1"/>
  <c r="D43" i="31"/>
  <c r="D41" i="31"/>
  <c r="D25" i="31"/>
  <c r="E25" i="31" s="1"/>
  <c r="H18" i="31"/>
  <c r="I18" i="31" s="1"/>
  <c r="D18" i="31"/>
  <c r="E18" i="31" s="1"/>
  <c r="H17" i="31"/>
  <c r="I17" i="31" s="1"/>
  <c r="D17" i="31"/>
  <c r="E17" i="31" s="1"/>
  <c r="H9" i="31"/>
  <c r="I9" i="31" s="1"/>
  <c r="D9" i="31"/>
  <c r="E9" i="31" s="1"/>
  <c r="H8" i="31"/>
  <c r="I8" i="31" s="1"/>
  <c r="D8" i="31"/>
  <c r="E8" i="31" s="1"/>
  <c r="H12" i="31"/>
  <c r="I12" i="31" s="1"/>
  <c r="D12" i="31"/>
  <c r="E12" i="31" s="1"/>
  <c r="H10" i="31"/>
  <c r="I10" i="31" s="1"/>
  <c r="D10" i="31"/>
  <c r="E10" i="31" s="1"/>
  <c r="H7" i="31"/>
  <c r="I7" i="31" s="1"/>
  <c r="D7" i="31"/>
  <c r="E7" i="31" s="1"/>
  <c r="D22" i="31"/>
  <c r="E22" i="31" s="1"/>
  <c r="D21" i="31"/>
  <c r="D20" i="31"/>
  <c r="E20" i="31" s="1"/>
  <c r="H15" i="31"/>
  <c r="I15" i="31" s="1"/>
  <c r="D15" i="31"/>
  <c r="E15" i="31" s="1"/>
  <c r="H14" i="31"/>
  <c r="I14" i="31" s="1"/>
  <c r="D14" i="31"/>
  <c r="K8" i="29"/>
  <c r="D7" i="30"/>
  <c r="H15" i="30"/>
  <c r="I15" i="30" s="1"/>
  <c r="D15" i="30"/>
  <c r="E15" i="30" s="1"/>
  <c r="J25" i="34" l="1"/>
  <c r="J11" i="34"/>
  <c r="J10" i="34" s="1"/>
  <c r="L10" i="34" s="1"/>
  <c r="E9" i="34"/>
  <c r="J9" i="34" s="1"/>
  <c r="J8" i="34" s="1"/>
  <c r="L8" i="34" s="1"/>
  <c r="B118" i="6" s="1"/>
  <c r="J27" i="34"/>
  <c r="E17" i="34"/>
  <c r="J17" i="34" s="1"/>
  <c r="J29" i="34"/>
  <c r="J7" i="34"/>
  <c r="J6" i="34" s="1"/>
  <c r="L6" i="34" s="1"/>
  <c r="J19" i="34"/>
  <c r="J13" i="34"/>
  <c r="J20" i="34"/>
  <c r="J22" i="34"/>
  <c r="J31" i="34"/>
  <c r="E14" i="34"/>
  <c r="J14" i="34" s="1"/>
  <c r="E23" i="34"/>
  <c r="J23" i="34" s="1"/>
  <c r="J16" i="34"/>
  <c r="J27" i="33"/>
  <c r="J30" i="33"/>
  <c r="E19" i="33"/>
  <c r="J19" i="33" s="1"/>
  <c r="J18" i="33" s="1"/>
  <c r="L18" i="33" s="1"/>
  <c r="B183" i="6" s="1"/>
  <c r="J26" i="33"/>
  <c r="J33" i="33"/>
  <c r="J29" i="33"/>
  <c r="E32" i="33"/>
  <c r="J32" i="33" s="1"/>
  <c r="J23" i="33"/>
  <c r="J24" i="33"/>
  <c r="J21" i="33"/>
  <c r="J20" i="33" s="1"/>
  <c r="L20" i="33" s="1"/>
  <c r="J17" i="33"/>
  <c r="J16" i="33" s="1"/>
  <c r="L16" i="33" s="1"/>
  <c r="B117" i="6" s="1"/>
  <c r="E15" i="33"/>
  <c r="J15" i="33" s="1"/>
  <c r="J14" i="33" s="1"/>
  <c r="L14" i="33" s="1"/>
  <c r="B209" i="6" s="1"/>
  <c r="E11" i="33"/>
  <c r="J11" i="33" s="1"/>
  <c r="J10" i="33" s="1"/>
  <c r="L10" i="33" s="1"/>
  <c r="J13" i="33"/>
  <c r="J12" i="33" s="1"/>
  <c r="L12" i="33" s="1"/>
  <c r="B219" i="6" s="1"/>
  <c r="J9" i="33"/>
  <c r="J8" i="33" s="1"/>
  <c r="L8" i="33" s="1"/>
  <c r="J7" i="33"/>
  <c r="J6" i="33" s="1"/>
  <c r="L6" i="33" s="1"/>
  <c r="B45" i="6" s="1"/>
  <c r="J36" i="33"/>
  <c r="J38" i="33"/>
  <c r="J39" i="33"/>
  <c r="E42" i="33"/>
  <c r="J42" i="33" s="1"/>
  <c r="J35" i="33"/>
  <c r="J44" i="33"/>
  <c r="J40" i="33"/>
  <c r="J43" i="33"/>
  <c r="J19" i="32"/>
  <c r="E18" i="32"/>
  <c r="J18" i="32" s="1"/>
  <c r="J20" i="32"/>
  <c r="J15" i="32"/>
  <c r="J7" i="32"/>
  <c r="J10" i="32"/>
  <c r="J11" i="32"/>
  <c r="J22" i="32"/>
  <c r="J32" i="32"/>
  <c r="E8" i="32"/>
  <c r="J8" i="32" s="1"/>
  <c r="E9" i="32"/>
  <c r="J9" i="32" s="1"/>
  <c r="J27" i="32"/>
  <c r="E30" i="32"/>
  <c r="J30" i="32" s="1"/>
  <c r="J33" i="32"/>
  <c r="J26" i="32"/>
  <c r="J29" i="32"/>
  <c r="J13" i="32"/>
  <c r="J14" i="32"/>
  <c r="J16" i="32"/>
  <c r="J23" i="32"/>
  <c r="J24" i="32"/>
  <c r="E41" i="31"/>
  <c r="J41" i="31" s="1"/>
  <c r="J40" i="31" s="1"/>
  <c r="L40" i="31" s="1"/>
  <c r="B48" i="6" s="1"/>
  <c r="J39" i="31"/>
  <c r="J38" i="31" s="1"/>
  <c r="L38" i="31" s="1"/>
  <c r="B85" i="6" s="1"/>
  <c r="E43" i="31"/>
  <c r="J43" i="31" s="1"/>
  <c r="J42" i="31" s="1"/>
  <c r="L42" i="31" s="1"/>
  <c r="J45" i="31"/>
  <c r="J44" i="31" s="1"/>
  <c r="L44" i="31" s="1"/>
  <c r="J35" i="31"/>
  <c r="J34" i="31" s="1"/>
  <c r="L34" i="31" s="1"/>
  <c r="B152" i="6" s="1"/>
  <c r="J37" i="31"/>
  <c r="J36" i="31" s="1"/>
  <c r="L36" i="31" s="1"/>
  <c r="B158" i="6" s="1"/>
  <c r="J17" i="31"/>
  <c r="J18" i="31"/>
  <c r="J24" i="31"/>
  <c r="J29" i="31"/>
  <c r="J28" i="31"/>
  <c r="J25" i="31"/>
  <c r="J8" i="31"/>
  <c r="J9" i="31"/>
  <c r="J10" i="31"/>
  <c r="J20" i="31"/>
  <c r="J33" i="31"/>
  <c r="J32" i="31" s="1"/>
  <c r="L32" i="31" s="1"/>
  <c r="J15" i="31"/>
  <c r="J22" i="31"/>
  <c r="J7" i="31"/>
  <c r="J12" i="31"/>
  <c r="J31" i="31"/>
  <c r="J30" i="31" s="1"/>
  <c r="L30" i="31" s="1"/>
  <c r="B131" i="6" s="1"/>
  <c r="E14" i="31"/>
  <c r="J14" i="31" s="1"/>
  <c r="E21" i="31"/>
  <c r="J21" i="31" s="1"/>
  <c r="J15" i="30"/>
  <c r="J14" i="30" s="1"/>
  <c r="L14" i="30" s="1"/>
  <c r="B105" i="44" l="1"/>
  <c r="J25" i="33"/>
  <c r="L25" i="33" s="1"/>
  <c r="J26" i="34"/>
  <c r="L26" i="34" s="1"/>
  <c r="B212" i="6" s="1"/>
  <c r="J21" i="34"/>
  <c r="L21" i="34" s="1"/>
  <c r="B47" i="6" s="1"/>
  <c r="J18" i="34"/>
  <c r="L18" i="34" s="1"/>
  <c r="J12" i="34"/>
  <c r="L12" i="34" s="1"/>
  <c r="B38" i="6" s="1"/>
  <c r="J15" i="34"/>
  <c r="L15" i="34" s="1"/>
  <c r="J28" i="33"/>
  <c r="L28" i="33" s="1"/>
  <c r="J31" i="33"/>
  <c r="L31" i="33" s="1"/>
  <c r="J22" i="33"/>
  <c r="L22" i="33" s="1"/>
  <c r="J37" i="33"/>
  <c r="L37" i="33" s="1"/>
  <c r="J41" i="33"/>
  <c r="L41" i="33" s="1"/>
  <c r="B11" i="6" s="1"/>
  <c r="J34" i="33"/>
  <c r="L34" i="33" s="1"/>
  <c r="J6" i="31"/>
  <c r="L6" i="31" s="1"/>
  <c r="B164" i="6" s="1"/>
  <c r="J12" i="32"/>
  <c r="L12" i="32" s="1"/>
  <c r="J17" i="32"/>
  <c r="L17" i="32" s="1"/>
  <c r="J25" i="32"/>
  <c r="L25" i="32" s="1"/>
  <c r="B192" i="6" s="1"/>
  <c r="J28" i="32"/>
  <c r="L28" i="32" s="1"/>
  <c r="B83" i="6" s="1"/>
  <c r="J21" i="32"/>
  <c r="L21" i="32" s="1"/>
  <c r="B8" i="6" s="1"/>
  <c r="J31" i="32"/>
  <c r="L31" i="32" s="1"/>
  <c r="J6" i="32"/>
  <c r="L6" i="32" s="1"/>
  <c r="B72" i="6" s="1"/>
  <c r="J23" i="31"/>
  <c r="L23" i="31" s="1"/>
  <c r="J27" i="31"/>
  <c r="L27" i="31" s="1"/>
  <c r="J16" i="31"/>
  <c r="L16" i="31" s="1"/>
  <c r="J19" i="31"/>
  <c r="L19" i="31" s="1"/>
  <c r="J13" i="31"/>
  <c r="L13" i="31" s="1"/>
  <c r="F7" i="30"/>
  <c r="D11" i="30"/>
  <c r="E11" i="30" s="1"/>
  <c r="D9" i="30"/>
  <c r="E9" i="30" s="1"/>
  <c r="H13" i="30"/>
  <c r="I13" i="30" s="1"/>
  <c r="E13" i="30"/>
  <c r="H11" i="30"/>
  <c r="I11" i="30" s="1"/>
  <c r="K13" i="29"/>
  <c r="H9" i="30"/>
  <c r="I9" i="30" s="1"/>
  <c r="H7" i="30"/>
  <c r="I7" i="30" s="1"/>
  <c r="E7" i="30"/>
  <c r="K10" i="29"/>
  <c r="K17" i="29"/>
  <c r="H9" i="29"/>
  <c r="I9" i="29" s="1"/>
  <c r="D9" i="29"/>
  <c r="E9" i="29" s="1"/>
  <c r="H20" i="29"/>
  <c r="I20" i="29" s="1"/>
  <c r="D20" i="29"/>
  <c r="E20" i="29" s="1"/>
  <c r="H19" i="29"/>
  <c r="I19" i="29" s="1"/>
  <c r="D19" i="29"/>
  <c r="H18" i="29"/>
  <c r="I18" i="29" s="1"/>
  <c r="D18" i="29"/>
  <c r="E18" i="29" s="1"/>
  <c r="H16" i="29"/>
  <c r="I16" i="29" s="1"/>
  <c r="D16" i="29"/>
  <c r="E16" i="29" s="1"/>
  <c r="H15" i="29"/>
  <c r="I15" i="29" s="1"/>
  <c r="D15" i="29"/>
  <c r="H14" i="29"/>
  <c r="I14" i="29" s="1"/>
  <c r="D14" i="29"/>
  <c r="E14" i="29" s="1"/>
  <c r="H12" i="29"/>
  <c r="I12" i="29" s="1"/>
  <c r="D12" i="29"/>
  <c r="E12" i="29" s="1"/>
  <c r="H11" i="29"/>
  <c r="I11" i="29" s="1"/>
  <c r="D11" i="29"/>
  <c r="H7" i="29"/>
  <c r="I7" i="29" s="1"/>
  <c r="D7" i="29"/>
  <c r="K15" i="28"/>
  <c r="K8" i="28"/>
  <c r="K11" i="28"/>
  <c r="K24" i="28"/>
  <c r="K22" i="28"/>
  <c r="J11" i="30" l="1"/>
  <c r="J10" i="30" s="1"/>
  <c r="L10" i="30" s="1"/>
  <c r="J13" i="30"/>
  <c r="J12" i="30" s="1"/>
  <c r="L12" i="30" s="1"/>
  <c r="B188" i="6" s="1"/>
  <c r="J7" i="30"/>
  <c r="J6" i="30" s="1"/>
  <c r="L6" i="30" s="1"/>
  <c r="J9" i="30"/>
  <c r="J8" i="30" s="1"/>
  <c r="L8" i="30" s="1"/>
  <c r="J9" i="29"/>
  <c r="J8" i="29" s="1"/>
  <c r="L8" i="29" s="1"/>
  <c r="J14" i="29"/>
  <c r="J12" i="29"/>
  <c r="J16" i="29"/>
  <c r="J18" i="29"/>
  <c r="J20" i="29"/>
  <c r="E11" i="29"/>
  <c r="J11" i="29" s="1"/>
  <c r="E15" i="29"/>
  <c r="J15" i="29" s="1"/>
  <c r="E19" i="29"/>
  <c r="J19" i="29" s="1"/>
  <c r="E7" i="29"/>
  <c r="K20" i="28"/>
  <c r="K6" i="28"/>
  <c r="K6" i="27"/>
  <c r="F23" i="28"/>
  <c r="I26" i="28"/>
  <c r="D26" i="28"/>
  <c r="H25" i="28"/>
  <c r="I25" i="28" s="1"/>
  <c r="D25" i="28"/>
  <c r="H23" i="28"/>
  <c r="I23" i="28" s="1"/>
  <c r="D23" i="28"/>
  <c r="E23" i="28" s="1"/>
  <c r="H17" i="28"/>
  <c r="I17" i="28" s="1"/>
  <c r="D17" i="28"/>
  <c r="E17" i="28" s="1"/>
  <c r="F19" i="28"/>
  <c r="F17" i="28"/>
  <c r="H19" i="28"/>
  <c r="I19" i="28" s="1"/>
  <c r="D19" i="28"/>
  <c r="E19" i="28" s="1"/>
  <c r="H18" i="28"/>
  <c r="I18" i="28" s="1"/>
  <c r="D18" i="28"/>
  <c r="E18" i="28" s="1"/>
  <c r="H16" i="28"/>
  <c r="I16" i="28" s="1"/>
  <c r="D16" i="28"/>
  <c r="E16" i="28" s="1"/>
  <c r="F7" i="28"/>
  <c r="F12" i="28"/>
  <c r="H14" i="28"/>
  <c r="I14" i="28" s="1"/>
  <c r="D14" i="28"/>
  <c r="E14" i="28" s="1"/>
  <c r="H13" i="28"/>
  <c r="I13" i="28" s="1"/>
  <c r="D13" i="28"/>
  <c r="E13" i="28" s="1"/>
  <c r="F10" i="28"/>
  <c r="J17" i="28" l="1"/>
  <c r="J7" i="29"/>
  <c r="J6" i="29" s="1"/>
  <c r="L6" i="29" s="1"/>
  <c r="J13" i="29"/>
  <c r="L13" i="29" s="1"/>
  <c r="J10" i="29"/>
  <c r="L10" i="29" s="1"/>
  <c r="J17" i="29"/>
  <c r="L17" i="29" s="1"/>
  <c r="E25" i="28"/>
  <c r="J25" i="28" s="1"/>
  <c r="E26" i="28"/>
  <c r="J26" i="28" s="1"/>
  <c r="J23" i="28"/>
  <c r="J22" i="28" s="1"/>
  <c r="L22" i="28" s="1"/>
  <c r="B63" i="6" s="1"/>
  <c r="J16" i="28"/>
  <c r="J19" i="28"/>
  <c r="J18" i="28"/>
  <c r="J14" i="28"/>
  <c r="J13" i="28"/>
  <c r="J15" i="28" l="1"/>
  <c r="L15" i="28" s="1"/>
  <c r="J24" i="28"/>
  <c r="L24" i="28" s="1"/>
  <c r="B73" i="6" s="1"/>
  <c r="H21" i="28" l="1"/>
  <c r="I21" i="28" s="1"/>
  <c r="D21" i="28"/>
  <c r="E21" i="28" s="1"/>
  <c r="H12" i="28"/>
  <c r="I12" i="28" s="1"/>
  <c r="D12" i="28"/>
  <c r="E12" i="28" s="1"/>
  <c r="H10" i="28"/>
  <c r="I10" i="28" s="1"/>
  <c r="D10" i="28"/>
  <c r="E10" i="28" s="1"/>
  <c r="H9" i="28"/>
  <c r="I9" i="28" s="1"/>
  <c r="D9" i="28"/>
  <c r="H7" i="28"/>
  <c r="I7" i="28" s="1"/>
  <c r="D7" i="28"/>
  <c r="K8" i="27"/>
  <c r="E7" i="28" l="1"/>
  <c r="J7" i="28" s="1"/>
  <c r="J6" i="28" s="1"/>
  <c r="L6" i="28" s="1"/>
  <c r="B29" i="6" s="1"/>
  <c r="E9" i="28"/>
  <c r="J9" i="28" s="1"/>
  <c r="J10" i="28"/>
  <c r="J12" i="28"/>
  <c r="J21" i="28"/>
  <c r="J20" i="28" s="1"/>
  <c r="L20" i="28" s="1"/>
  <c r="B170" i="6" s="1"/>
  <c r="K13" i="27"/>
  <c r="K6" i="13"/>
  <c r="J11" i="28" l="1"/>
  <c r="L11" i="28" s="1"/>
  <c r="B216" i="6" s="1"/>
  <c r="J8" i="28"/>
  <c r="L8" i="28" s="1"/>
  <c r="H10" i="27"/>
  <c r="I10" i="27" s="1"/>
  <c r="D10" i="27"/>
  <c r="E10" i="27" s="1"/>
  <c r="H9" i="27"/>
  <c r="I9" i="27" s="1"/>
  <c r="D9" i="27"/>
  <c r="E9" i="27" s="1"/>
  <c r="H14" i="27"/>
  <c r="I14" i="27" s="1"/>
  <c r="D14" i="27"/>
  <c r="E14" i="27" s="1"/>
  <c r="H12" i="27"/>
  <c r="I12" i="27" s="1"/>
  <c r="D12" i="27"/>
  <c r="E12" i="27" s="1"/>
  <c r="H7" i="27"/>
  <c r="I7" i="27" s="1"/>
  <c r="D7" i="27"/>
  <c r="H20" i="26"/>
  <c r="I20" i="26" s="1"/>
  <c r="D20" i="26"/>
  <c r="E20" i="26" s="1"/>
  <c r="H19" i="26"/>
  <c r="I19" i="26" s="1"/>
  <c r="D19" i="26"/>
  <c r="E19" i="26" s="1"/>
  <c r="H17" i="26"/>
  <c r="I17" i="26" s="1"/>
  <c r="D17" i="26"/>
  <c r="E17" i="26" s="1"/>
  <c r="H15" i="26"/>
  <c r="I15" i="26" s="1"/>
  <c r="D15" i="26"/>
  <c r="E15" i="26" s="1"/>
  <c r="H13" i="26"/>
  <c r="I13" i="26" s="1"/>
  <c r="D13" i="26"/>
  <c r="E13" i="26" s="1"/>
  <c r="H11" i="26"/>
  <c r="I11" i="26" s="1"/>
  <c r="D11" i="26"/>
  <c r="E11" i="26" s="1"/>
  <c r="H9" i="26"/>
  <c r="I9" i="26" s="1"/>
  <c r="D9" i="26"/>
  <c r="H7" i="26"/>
  <c r="I7" i="26" s="1"/>
  <c r="D7" i="26"/>
  <c r="J11" i="26" l="1"/>
  <c r="J10" i="26" s="1"/>
  <c r="L10" i="26" s="1"/>
  <c r="B58" i="6" s="1"/>
  <c r="J14" i="27"/>
  <c r="J13" i="27" s="1"/>
  <c r="L13" i="27" s="1"/>
  <c r="J9" i="27"/>
  <c r="E7" i="27"/>
  <c r="J7" i="27" s="1"/>
  <c r="J12" i="27"/>
  <c r="J11" i="27" s="1"/>
  <c r="L11" i="27" s="1"/>
  <c r="J10" i="27"/>
  <c r="J15" i="26"/>
  <c r="J14" i="26" s="1"/>
  <c r="L14" i="26" s="1"/>
  <c r="J20" i="26"/>
  <c r="J19" i="26"/>
  <c r="J17" i="26"/>
  <c r="J16" i="26" s="1"/>
  <c r="L16" i="26" s="1"/>
  <c r="J13" i="26"/>
  <c r="J12" i="26" s="1"/>
  <c r="L12" i="26" s="1"/>
  <c r="E7" i="26"/>
  <c r="J7" i="26" s="1"/>
  <c r="J6" i="26" s="1"/>
  <c r="L6" i="26" s="1"/>
  <c r="E9" i="26"/>
  <c r="J9" i="26" s="1"/>
  <c r="J8" i="26" s="1"/>
  <c r="L8" i="26" s="1"/>
  <c r="B40" i="6" s="1"/>
  <c r="K47" i="24"/>
  <c r="J6" i="27" l="1"/>
  <c r="L6" i="27" s="1"/>
  <c r="B129" i="6" s="1"/>
  <c r="M7" i="27"/>
  <c r="J8" i="27"/>
  <c r="L8" i="27" s="1"/>
  <c r="J18" i="26"/>
  <c r="L18" i="26" s="1"/>
  <c r="K12" i="25"/>
  <c r="K14" i="25"/>
  <c r="K8" i="25"/>
  <c r="K6" i="25"/>
  <c r="K20" i="24" l="1"/>
  <c r="K29" i="24"/>
  <c r="G15" i="25"/>
  <c r="H15" i="25" s="1"/>
  <c r="I15" i="25" s="1"/>
  <c r="G13" i="25"/>
  <c r="H13" i="25" s="1"/>
  <c r="I13" i="25" s="1"/>
  <c r="C15" i="25"/>
  <c r="D15" i="25" s="1"/>
  <c r="E15" i="25" s="1"/>
  <c r="C13" i="25"/>
  <c r="D13" i="25" s="1"/>
  <c r="H11" i="25"/>
  <c r="I11" i="25" s="1"/>
  <c r="D11" i="25"/>
  <c r="E11" i="25" s="1"/>
  <c r="H9" i="25"/>
  <c r="I9" i="25" s="1"/>
  <c r="D9" i="25"/>
  <c r="H7" i="25"/>
  <c r="I7" i="25" s="1"/>
  <c r="D7" i="25"/>
  <c r="E7" i="25" s="1"/>
  <c r="J11" i="25" l="1"/>
  <c r="J10" i="25" s="1"/>
  <c r="L10" i="25" s="1"/>
  <c r="J15" i="25"/>
  <c r="J14" i="25" s="1"/>
  <c r="L14" i="25" s="1"/>
  <c r="B39" i="6" s="1"/>
  <c r="J7" i="25"/>
  <c r="J6" i="25" s="1"/>
  <c r="L6" i="25" s="1"/>
  <c r="E9" i="25"/>
  <c r="J9" i="25" s="1"/>
  <c r="J8" i="25" s="1"/>
  <c r="L8" i="25" s="1"/>
  <c r="E13" i="25"/>
  <c r="J13" i="25" s="1"/>
  <c r="J12" i="25" s="1"/>
  <c r="L12" i="25" s="1"/>
  <c r="K43" i="24" l="1"/>
  <c r="K35" i="24"/>
  <c r="K17" i="24"/>
  <c r="K39" i="24"/>
  <c r="K37" i="24"/>
  <c r="K33" i="24"/>
  <c r="K22" i="24"/>
  <c r="K49" i="24"/>
  <c r="K31" i="24"/>
  <c r="K51" i="24"/>
  <c r="K45" i="24"/>
  <c r="K41" i="24"/>
  <c r="K6" i="24"/>
  <c r="K14" i="24"/>
  <c r="K11" i="24"/>
  <c r="F25" i="24"/>
  <c r="F16" i="24"/>
  <c r="K6" i="23"/>
  <c r="K26" i="23"/>
  <c r="G52" i="24"/>
  <c r="H52" i="24" s="1"/>
  <c r="I52" i="24" s="1"/>
  <c r="C52" i="24"/>
  <c r="D52" i="24" s="1"/>
  <c r="E52" i="24" s="1"/>
  <c r="G50" i="24"/>
  <c r="H50" i="24" s="1"/>
  <c r="I50" i="24" s="1"/>
  <c r="C50" i="24"/>
  <c r="D50" i="24" s="1"/>
  <c r="G48" i="24"/>
  <c r="H48" i="24" s="1"/>
  <c r="I48" i="24" s="1"/>
  <c r="C48" i="24"/>
  <c r="D48" i="24" s="1"/>
  <c r="E48" i="24" s="1"/>
  <c r="G46" i="24"/>
  <c r="H46" i="24" s="1"/>
  <c r="I46" i="24" s="1"/>
  <c r="C46" i="24"/>
  <c r="D46" i="24" s="1"/>
  <c r="E46" i="24" s="1"/>
  <c r="G44" i="24"/>
  <c r="H44" i="24" s="1"/>
  <c r="I44" i="24" s="1"/>
  <c r="C44" i="24"/>
  <c r="D44" i="24" s="1"/>
  <c r="E44" i="24" s="1"/>
  <c r="G19" i="24"/>
  <c r="H19" i="24" s="1"/>
  <c r="I19" i="24" s="1"/>
  <c r="C19" i="24"/>
  <c r="D19" i="24" s="1"/>
  <c r="E19" i="24" s="1"/>
  <c r="G26" i="24"/>
  <c r="H26" i="24" s="1"/>
  <c r="I26" i="24" s="1"/>
  <c r="C26" i="24"/>
  <c r="D26" i="24" s="1"/>
  <c r="E26" i="24" s="1"/>
  <c r="G42" i="24"/>
  <c r="H42" i="24" s="1"/>
  <c r="I42" i="24" s="1"/>
  <c r="C42" i="24"/>
  <c r="D42" i="24" s="1"/>
  <c r="G40" i="24"/>
  <c r="H40" i="24" s="1"/>
  <c r="I40" i="24" s="1"/>
  <c r="C40" i="24"/>
  <c r="D40" i="24" s="1"/>
  <c r="G38" i="24"/>
  <c r="H38" i="24" s="1"/>
  <c r="I38" i="24" s="1"/>
  <c r="C38" i="24"/>
  <c r="D38" i="24" s="1"/>
  <c r="E38" i="24" s="1"/>
  <c r="G36" i="24"/>
  <c r="H36" i="24" s="1"/>
  <c r="I36" i="24" s="1"/>
  <c r="C36" i="24"/>
  <c r="D36" i="24" s="1"/>
  <c r="E36" i="24" s="1"/>
  <c r="G34" i="24"/>
  <c r="H34" i="24" s="1"/>
  <c r="I34" i="24" s="1"/>
  <c r="C34" i="24"/>
  <c r="D34" i="24" s="1"/>
  <c r="G32" i="24"/>
  <c r="H32" i="24" s="1"/>
  <c r="I32" i="24" s="1"/>
  <c r="C32" i="24"/>
  <c r="D32" i="24" s="1"/>
  <c r="E32" i="24" s="1"/>
  <c r="G30" i="24"/>
  <c r="H30" i="24" s="1"/>
  <c r="I30" i="24" s="1"/>
  <c r="C30" i="24"/>
  <c r="D30" i="24" s="1"/>
  <c r="E30" i="24" s="1"/>
  <c r="F21" i="24"/>
  <c r="F18" i="24"/>
  <c r="F12" i="24"/>
  <c r="H28" i="24"/>
  <c r="I28" i="24" s="1"/>
  <c r="D28" i="24"/>
  <c r="E28" i="24" s="1"/>
  <c r="H25" i="24"/>
  <c r="I25" i="24" s="1"/>
  <c r="D25" i="24"/>
  <c r="E25" i="24" s="1"/>
  <c r="H23" i="24"/>
  <c r="I23" i="24" s="1"/>
  <c r="D23" i="24"/>
  <c r="E23" i="24" s="1"/>
  <c r="H21" i="24"/>
  <c r="I21" i="24" s="1"/>
  <c r="D21" i="24"/>
  <c r="E21" i="24" s="1"/>
  <c r="H18" i="24"/>
  <c r="I18" i="24" s="1"/>
  <c r="D18" i="24"/>
  <c r="H16" i="24"/>
  <c r="I16" i="24" s="1"/>
  <c r="D16" i="24"/>
  <c r="E16" i="24" s="1"/>
  <c r="H15" i="24"/>
  <c r="I15" i="24" s="1"/>
  <c r="D15" i="24"/>
  <c r="E15" i="24" s="1"/>
  <c r="H13" i="24"/>
  <c r="I13" i="24" s="1"/>
  <c r="D13" i="24"/>
  <c r="H12" i="24"/>
  <c r="I12" i="24" s="1"/>
  <c r="D12" i="24"/>
  <c r="E12" i="24" s="1"/>
  <c r="H10" i="24"/>
  <c r="I10" i="24" s="1"/>
  <c r="D10" i="24"/>
  <c r="E10" i="24" s="1"/>
  <c r="H9" i="24"/>
  <c r="I9" i="24" s="1"/>
  <c r="D9" i="24"/>
  <c r="H8" i="24"/>
  <c r="I8" i="24" s="1"/>
  <c r="D8" i="24"/>
  <c r="E8" i="24" s="1"/>
  <c r="H7" i="24"/>
  <c r="I7" i="24" s="1"/>
  <c r="D7" i="24"/>
  <c r="E7" i="24" s="1"/>
  <c r="K24" i="23"/>
  <c r="J48" i="24" l="1"/>
  <c r="J44" i="24"/>
  <c r="J43" i="24" s="1"/>
  <c r="L43" i="24" s="1"/>
  <c r="B14" i="6" s="1"/>
  <c r="J52" i="24"/>
  <c r="J51" i="24" s="1"/>
  <c r="L51" i="24" s="1"/>
  <c r="B221" i="6" s="1"/>
  <c r="J26" i="24"/>
  <c r="E50" i="24"/>
  <c r="J50" i="24" s="1"/>
  <c r="J49" i="24" s="1"/>
  <c r="L49" i="24" s="1"/>
  <c r="B80" i="6" s="1"/>
  <c r="J46" i="24"/>
  <c r="J45" i="24" s="1"/>
  <c r="L45" i="24" s="1"/>
  <c r="J19" i="24"/>
  <c r="E42" i="24"/>
  <c r="J42" i="24" s="1"/>
  <c r="J41" i="24" s="1"/>
  <c r="L41" i="24" s="1"/>
  <c r="B114" i="6" s="1"/>
  <c r="E40" i="24"/>
  <c r="J40" i="24" s="1"/>
  <c r="J39" i="24" s="1"/>
  <c r="L39" i="24" s="1"/>
  <c r="B19" i="6" s="1"/>
  <c r="J38" i="24"/>
  <c r="J37" i="24" s="1"/>
  <c r="L37" i="24" s="1"/>
  <c r="B42" i="6" s="1"/>
  <c r="J36" i="24"/>
  <c r="J35" i="24" s="1"/>
  <c r="L35" i="24" s="1"/>
  <c r="B43" i="6" s="1"/>
  <c r="E34" i="24"/>
  <c r="J34" i="24" s="1"/>
  <c r="J33" i="24" s="1"/>
  <c r="L33" i="24" s="1"/>
  <c r="B154" i="6" s="1"/>
  <c r="J47" i="24"/>
  <c r="L47" i="24" s="1"/>
  <c r="J15" i="24"/>
  <c r="J21" i="24"/>
  <c r="J20" i="24" s="1"/>
  <c r="L20" i="24" s="1"/>
  <c r="J12" i="24"/>
  <c r="E13" i="24"/>
  <c r="J13" i="24" s="1"/>
  <c r="J16" i="24"/>
  <c r="J25" i="24"/>
  <c r="J10" i="24"/>
  <c r="J23" i="24"/>
  <c r="J22" i="24" s="1"/>
  <c r="L22" i="24" s="1"/>
  <c r="J30" i="24"/>
  <c r="J29" i="24" s="1"/>
  <c r="L29" i="24" s="1"/>
  <c r="B135" i="6" s="1"/>
  <c r="J7" i="24"/>
  <c r="J28" i="24"/>
  <c r="J27" i="24" s="1"/>
  <c r="L27" i="24" s="1"/>
  <c r="E9" i="24"/>
  <c r="J9" i="24" s="1"/>
  <c r="J8" i="24"/>
  <c r="J32" i="24"/>
  <c r="J31" i="24" s="1"/>
  <c r="L31" i="24" s="1"/>
  <c r="B54" i="6" s="1"/>
  <c r="E18" i="24"/>
  <c r="J18" i="24" s="1"/>
  <c r="K14" i="23"/>
  <c r="K12" i="23"/>
  <c r="J6" i="24" l="1"/>
  <c r="L6" i="24" s="1"/>
  <c r="J24" i="24"/>
  <c r="L24" i="24" s="1"/>
  <c r="J17" i="24"/>
  <c r="L17" i="24" s="1"/>
  <c r="J14" i="24"/>
  <c r="L14" i="24" s="1"/>
  <c r="B36" i="6" s="1"/>
  <c r="J11" i="24"/>
  <c r="L11" i="24" s="1"/>
  <c r="K15" i="22" l="1"/>
  <c r="K28" i="22"/>
  <c r="K6" i="22"/>
  <c r="K18" i="22"/>
  <c r="K11" i="22"/>
  <c r="K24" i="22"/>
  <c r="K22" i="22"/>
  <c r="K20" i="22"/>
  <c r="K26" i="22"/>
  <c r="G29" i="23" l="1"/>
  <c r="H29" i="23" s="1"/>
  <c r="I29" i="23" s="1"/>
  <c r="F25" i="23"/>
  <c r="D29" i="23"/>
  <c r="E29" i="23" s="1"/>
  <c r="H27" i="23"/>
  <c r="I27" i="23" s="1"/>
  <c r="E27" i="23"/>
  <c r="F15" i="23"/>
  <c r="F13" i="23"/>
  <c r="F11" i="23"/>
  <c r="D19" i="23"/>
  <c r="I25" i="23"/>
  <c r="E25" i="23"/>
  <c r="H23" i="23"/>
  <c r="I23" i="23" s="1"/>
  <c r="H21" i="23"/>
  <c r="I21" i="23" s="1"/>
  <c r="H19" i="23"/>
  <c r="I19" i="23" s="1"/>
  <c r="H17" i="23"/>
  <c r="I17" i="23" s="1"/>
  <c r="E17" i="23"/>
  <c r="H15" i="23"/>
  <c r="I15" i="23" s="1"/>
  <c r="H13" i="23"/>
  <c r="I13" i="23" s="1"/>
  <c r="H11" i="23"/>
  <c r="I11" i="23" s="1"/>
  <c r="H9" i="23"/>
  <c r="I9" i="23" s="1"/>
  <c r="E9" i="23"/>
  <c r="H8" i="23"/>
  <c r="I8" i="23" s="1"/>
  <c r="E8" i="23"/>
  <c r="H7" i="23"/>
  <c r="I7" i="23" s="1"/>
  <c r="E7" i="23"/>
  <c r="K13" i="14"/>
  <c r="J29" i="23" l="1"/>
  <c r="J28" i="23" s="1"/>
  <c r="L28" i="23" s="1"/>
  <c r="B155" i="6" s="1"/>
  <c r="J27" i="23"/>
  <c r="J26" i="23" s="1"/>
  <c r="L26" i="23" s="1"/>
  <c r="E19" i="23"/>
  <c r="J19" i="23" s="1"/>
  <c r="J18" i="23" s="1"/>
  <c r="L18" i="23" s="1"/>
  <c r="E13" i="23"/>
  <c r="J13" i="23" s="1"/>
  <c r="J12" i="23" s="1"/>
  <c r="L12" i="23" s="1"/>
  <c r="E21" i="23"/>
  <c r="J21" i="23" s="1"/>
  <c r="J20" i="23" s="1"/>
  <c r="L20" i="23" s="1"/>
  <c r="E11" i="23"/>
  <c r="J11" i="23" s="1"/>
  <c r="J10" i="23" s="1"/>
  <c r="L10" i="23" s="1"/>
  <c r="J7" i="23"/>
  <c r="J8" i="23"/>
  <c r="J9" i="23"/>
  <c r="J17" i="23"/>
  <c r="J16" i="23" s="1"/>
  <c r="L16" i="23" s="1"/>
  <c r="B33" i="6" s="1"/>
  <c r="E15" i="23"/>
  <c r="J15" i="23" s="1"/>
  <c r="J14" i="23" s="1"/>
  <c r="L14" i="23" s="1"/>
  <c r="B136" i="6" s="1"/>
  <c r="E23" i="23"/>
  <c r="J23" i="23" s="1"/>
  <c r="J22" i="23" s="1"/>
  <c r="L22" i="23" s="1"/>
  <c r="J25" i="23"/>
  <c r="J24" i="23" s="1"/>
  <c r="L24" i="23" s="1"/>
  <c r="H33" i="22"/>
  <c r="I33" i="22" s="1"/>
  <c r="D33" i="22"/>
  <c r="E33" i="22" s="1"/>
  <c r="J6" i="23" l="1"/>
  <c r="L6" i="23" s="1"/>
  <c r="J33" i="22"/>
  <c r="J32" i="22" s="1"/>
  <c r="L32" i="22" s="1"/>
  <c r="G19" i="22" l="1"/>
  <c r="H19" i="22" s="1"/>
  <c r="I19" i="22" s="1"/>
  <c r="F16" i="22"/>
  <c r="G9" i="22"/>
  <c r="H9" i="22" s="1"/>
  <c r="I9" i="22" s="1"/>
  <c r="G8" i="22"/>
  <c r="H8" i="22" s="1"/>
  <c r="I8" i="22" s="1"/>
  <c r="C19" i="22"/>
  <c r="D19" i="22" s="1"/>
  <c r="E19" i="22" s="1"/>
  <c r="C9" i="22"/>
  <c r="D9" i="22" s="1"/>
  <c r="E9" i="22" s="1"/>
  <c r="H31" i="22"/>
  <c r="I31" i="22" s="1"/>
  <c r="D31" i="22"/>
  <c r="E31" i="22" s="1"/>
  <c r="H29" i="22"/>
  <c r="I29" i="22" s="1"/>
  <c r="D29" i="22"/>
  <c r="H27" i="22"/>
  <c r="I27" i="22" s="1"/>
  <c r="D27" i="22"/>
  <c r="E27" i="22" s="1"/>
  <c r="H25" i="22"/>
  <c r="I25" i="22" s="1"/>
  <c r="D25" i="22"/>
  <c r="E25" i="22" s="1"/>
  <c r="H14" i="22"/>
  <c r="I14" i="22" s="1"/>
  <c r="D14" i="22"/>
  <c r="E14" i="22" s="1"/>
  <c r="H13" i="22"/>
  <c r="I13" i="22" s="1"/>
  <c r="D13" i="22"/>
  <c r="H12" i="22"/>
  <c r="I12" i="22" s="1"/>
  <c r="D12" i="22"/>
  <c r="E12" i="22" s="1"/>
  <c r="H10" i="22"/>
  <c r="I10" i="22" s="1"/>
  <c r="D10" i="22"/>
  <c r="E10" i="22" s="1"/>
  <c r="H23" i="22"/>
  <c r="I23" i="22" s="1"/>
  <c r="D23" i="22"/>
  <c r="E23" i="22" s="1"/>
  <c r="H21" i="22"/>
  <c r="I21" i="22" s="1"/>
  <c r="D21" i="22"/>
  <c r="H17" i="22"/>
  <c r="I17" i="22" s="1"/>
  <c r="D17" i="22"/>
  <c r="H16" i="22"/>
  <c r="I16" i="22" s="1"/>
  <c r="D16" i="22"/>
  <c r="E16" i="22" s="1"/>
  <c r="D8" i="22"/>
  <c r="H7" i="22"/>
  <c r="I7" i="22" s="1"/>
  <c r="D7" i="22"/>
  <c r="E7" i="22" s="1"/>
  <c r="H20" i="21"/>
  <c r="I20" i="21" s="1"/>
  <c r="D20" i="21"/>
  <c r="E20" i="21" s="1"/>
  <c r="J25" i="22" l="1"/>
  <c r="J24" i="22" s="1"/>
  <c r="L24" i="22" s="1"/>
  <c r="J27" i="22"/>
  <c r="J26" i="22" s="1"/>
  <c r="L26" i="22" s="1"/>
  <c r="B218" i="6" s="1"/>
  <c r="E29" i="22"/>
  <c r="J29" i="22" s="1"/>
  <c r="J28" i="22" s="1"/>
  <c r="L28" i="22" s="1"/>
  <c r="J31" i="22"/>
  <c r="J30" i="22" s="1"/>
  <c r="L30" i="22" s="1"/>
  <c r="J9" i="22"/>
  <c r="J14" i="22"/>
  <c r="J12" i="22"/>
  <c r="E13" i="22"/>
  <c r="J13" i="22" s="1"/>
  <c r="J10" i="22"/>
  <c r="J23" i="22"/>
  <c r="J22" i="22" s="1"/>
  <c r="L22" i="22" s="1"/>
  <c r="E17" i="22"/>
  <c r="J17" i="22" s="1"/>
  <c r="J19" i="22"/>
  <c r="J18" i="22" s="1"/>
  <c r="L18" i="22" s="1"/>
  <c r="B156" i="6" s="1"/>
  <c r="J7" i="22"/>
  <c r="J16" i="22"/>
  <c r="E8" i="22"/>
  <c r="J8" i="22" s="1"/>
  <c r="E21" i="22"/>
  <c r="J21" i="22" s="1"/>
  <c r="J20" i="22" s="1"/>
  <c r="L20" i="22" s="1"/>
  <c r="J20" i="21"/>
  <c r="J19" i="21" s="1"/>
  <c r="L19" i="21" s="1"/>
  <c r="J6" i="22" l="1"/>
  <c r="L6" i="22" s="1"/>
  <c r="J11" i="22"/>
  <c r="L11" i="22" s="1"/>
  <c r="J15" i="22"/>
  <c r="L15" i="22" s="1"/>
  <c r="H13" i="21"/>
  <c r="I13" i="21" s="1"/>
  <c r="F13" i="21"/>
  <c r="C11" i="21"/>
  <c r="D11" i="21" s="1"/>
  <c r="E11" i="21" s="1"/>
  <c r="H14" i="21"/>
  <c r="I14" i="21" s="1"/>
  <c r="D14" i="21"/>
  <c r="E14" i="21" s="1"/>
  <c r="D13" i="21"/>
  <c r="E13" i="21" s="1"/>
  <c r="H11" i="21"/>
  <c r="I11" i="21" s="1"/>
  <c r="H10" i="21"/>
  <c r="I10" i="21" s="1"/>
  <c r="D10" i="21"/>
  <c r="E10" i="21" s="1"/>
  <c r="H18" i="21"/>
  <c r="I18" i="21" s="1"/>
  <c r="D18" i="21"/>
  <c r="E18" i="21" s="1"/>
  <c r="H16" i="21"/>
  <c r="I16" i="21" s="1"/>
  <c r="D16" i="21"/>
  <c r="E16" i="21" s="1"/>
  <c r="H8" i="21"/>
  <c r="I8" i="21" s="1"/>
  <c r="D8" i="21"/>
  <c r="E8" i="21" s="1"/>
  <c r="H7" i="21"/>
  <c r="I7" i="21" s="1"/>
  <c r="D7" i="21"/>
  <c r="E7" i="21" s="1"/>
  <c r="K6" i="20"/>
  <c r="K9" i="20"/>
  <c r="K13" i="20"/>
  <c r="K11" i="20"/>
  <c r="K7" i="19"/>
  <c r="K23" i="19"/>
  <c r="J13" i="21" l="1"/>
  <c r="J10" i="21"/>
  <c r="J14" i="21"/>
  <c r="J11" i="21"/>
  <c r="J7" i="21"/>
  <c r="J8" i="21"/>
  <c r="J16" i="21"/>
  <c r="J15" i="21" s="1"/>
  <c r="L15" i="21" s="1"/>
  <c r="B112" i="6" s="1"/>
  <c r="J18" i="21"/>
  <c r="J17" i="21" s="1"/>
  <c r="L17" i="21" s="1"/>
  <c r="K27" i="19"/>
  <c r="K29" i="19"/>
  <c r="K17" i="19"/>
  <c r="K25" i="19"/>
  <c r="K13" i="19"/>
  <c r="K19" i="19"/>
  <c r="K21" i="19"/>
  <c r="H14" i="20"/>
  <c r="I14" i="20" s="1"/>
  <c r="D14" i="20"/>
  <c r="E14" i="20" s="1"/>
  <c r="H12" i="20"/>
  <c r="I12" i="20" s="1"/>
  <c r="D12" i="20"/>
  <c r="E12" i="20" s="1"/>
  <c r="H10" i="20"/>
  <c r="I10" i="20" s="1"/>
  <c r="D10" i="20"/>
  <c r="H8" i="20"/>
  <c r="I8" i="20" s="1"/>
  <c r="D8" i="20"/>
  <c r="E8" i="20" s="1"/>
  <c r="H7" i="20"/>
  <c r="I7" i="20" s="1"/>
  <c r="D7" i="20"/>
  <c r="E7" i="20" s="1"/>
  <c r="J9" i="21" l="1"/>
  <c r="L9" i="21" s="1"/>
  <c r="J12" i="21"/>
  <c r="L12" i="21" s="1"/>
  <c r="J6" i="21"/>
  <c r="L6" i="21" s="1"/>
  <c r="B121" i="6" s="1"/>
  <c r="J14" i="20"/>
  <c r="J13" i="20" s="1"/>
  <c r="L13" i="20" s="1"/>
  <c r="J8" i="20"/>
  <c r="J7" i="20"/>
  <c r="E10" i="20"/>
  <c r="J10" i="20" s="1"/>
  <c r="J9" i="20" s="1"/>
  <c r="L9" i="20" s="1"/>
  <c r="B191" i="6" s="1"/>
  <c r="J12" i="20"/>
  <c r="J11" i="20" s="1"/>
  <c r="L11" i="20" s="1"/>
  <c r="G28" i="19"/>
  <c r="H28" i="19" s="1"/>
  <c r="I28" i="19" s="1"/>
  <c r="G26" i="19"/>
  <c r="H26" i="19" s="1"/>
  <c r="I26" i="19" s="1"/>
  <c r="C28" i="19"/>
  <c r="D28" i="19" s="1"/>
  <c r="E28" i="19" s="1"/>
  <c r="C26" i="19"/>
  <c r="D26" i="19" s="1"/>
  <c r="E26" i="19" s="1"/>
  <c r="H30" i="19"/>
  <c r="I30" i="19" s="1"/>
  <c r="C15" i="19"/>
  <c r="D15" i="19" s="1"/>
  <c r="E15" i="19" s="1"/>
  <c r="C14" i="19"/>
  <c r="D14" i="19" s="1"/>
  <c r="H11" i="19"/>
  <c r="I11" i="19" s="1"/>
  <c r="D11" i="19"/>
  <c r="E11" i="19" s="1"/>
  <c r="H9" i="19"/>
  <c r="I9" i="19" s="1"/>
  <c r="H10" i="19"/>
  <c r="I10" i="19" s="1"/>
  <c r="D9" i="19"/>
  <c r="E9" i="19" s="1"/>
  <c r="D10" i="19"/>
  <c r="E10" i="19" s="1"/>
  <c r="H16" i="19"/>
  <c r="I16" i="19" s="1"/>
  <c r="D16" i="19"/>
  <c r="E16" i="19" s="1"/>
  <c r="H15" i="19"/>
  <c r="I15" i="19" s="1"/>
  <c r="H14" i="19"/>
  <c r="I14" i="19" s="1"/>
  <c r="H12" i="19"/>
  <c r="I12" i="19" s="1"/>
  <c r="D12" i="19"/>
  <c r="E12" i="19" s="1"/>
  <c r="H8" i="19"/>
  <c r="I8" i="19" s="1"/>
  <c r="D8" i="19"/>
  <c r="H24" i="19"/>
  <c r="I24" i="19" s="1"/>
  <c r="D24" i="19"/>
  <c r="E24" i="19" s="1"/>
  <c r="H22" i="19"/>
  <c r="I22" i="19" s="1"/>
  <c r="D22" i="19"/>
  <c r="E22" i="19" s="1"/>
  <c r="D30" i="19"/>
  <c r="H20" i="19"/>
  <c r="I20" i="19" s="1"/>
  <c r="D20" i="19"/>
  <c r="E20" i="19" s="1"/>
  <c r="H18" i="19"/>
  <c r="I18" i="19" s="1"/>
  <c r="D18" i="19"/>
  <c r="E18" i="19" s="1"/>
  <c r="G32" i="19"/>
  <c r="H32" i="19" s="1"/>
  <c r="I32" i="19" s="1"/>
  <c r="C32" i="19"/>
  <c r="D32" i="19" s="1"/>
  <c r="E32" i="19" s="1"/>
  <c r="K21" i="18"/>
  <c r="K34" i="14"/>
  <c r="F20" i="18"/>
  <c r="J11" i="19" l="1"/>
  <c r="J6" i="20"/>
  <c r="L6" i="20" s="1"/>
  <c r="J28" i="19"/>
  <c r="J27" i="19" s="1"/>
  <c r="L27" i="19" s="1"/>
  <c r="B3" i="6" s="1"/>
  <c r="E14" i="19"/>
  <c r="J14" i="19" s="1"/>
  <c r="J15" i="19"/>
  <c r="J16" i="19"/>
  <c r="J10" i="19"/>
  <c r="J9" i="19"/>
  <c r="J32" i="19"/>
  <c r="J31" i="19" s="1"/>
  <c r="L31" i="19" s="1"/>
  <c r="E8" i="19"/>
  <c r="J8" i="19" s="1"/>
  <c r="J18" i="19"/>
  <c r="J17" i="19" s="1"/>
  <c r="L17" i="19" s="1"/>
  <c r="J24" i="19"/>
  <c r="J23" i="19" s="1"/>
  <c r="L23" i="19" s="1"/>
  <c r="J20" i="19"/>
  <c r="J19" i="19" s="1"/>
  <c r="L19" i="19" s="1"/>
  <c r="B23" i="6" s="1"/>
  <c r="J26" i="19"/>
  <c r="J25" i="19" s="1"/>
  <c r="L25" i="19" s="1"/>
  <c r="B168" i="6" s="1"/>
  <c r="J12" i="19"/>
  <c r="E30" i="19"/>
  <c r="J30" i="19" s="1"/>
  <c r="J29" i="19" s="1"/>
  <c r="L29" i="19" s="1"/>
  <c r="B179" i="6" s="1"/>
  <c r="J22" i="19"/>
  <c r="J21" i="19" s="1"/>
  <c r="L21" i="19" s="1"/>
  <c r="D23" i="18"/>
  <c r="H23" i="18"/>
  <c r="I23" i="18" s="1"/>
  <c r="D24" i="18"/>
  <c r="E24" i="18" s="1"/>
  <c r="H24" i="18"/>
  <c r="I24" i="18" s="1"/>
  <c r="H22" i="18"/>
  <c r="I22" i="18" s="1"/>
  <c r="D22" i="18"/>
  <c r="H20" i="18"/>
  <c r="I20" i="18" s="1"/>
  <c r="D20" i="18"/>
  <c r="H17" i="18"/>
  <c r="I17" i="18" s="1"/>
  <c r="D17" i="18"/>
  <c r="E17" i="18" s="1"/>
  <c r="H15" i="18"/>
  <c r="I15" i="18" s="1"/>
  <c r="D15" i="18"/>
  <c r="E15" i="18" s="1"/>
  <c r="H13" i="18"/>
  <c r="I13" i="18" s="1"/>
  <c r="D13" i="18"/>
  <c r="E13" i="18" s="1"/>
  <c r="H11" i="18"/>
  <c r="I11" i="18" s="1"/>
  <c r="D11" i="18"/>
  <c r="E11" i="18" s="1"/>
  <c r="H9" i="18"/>
  <c r="I9" i="18" s="1"/>
  <c r="D9" i="18"/>
  <c r="H7" i="18"/>
  <c r="I7" i="18" s="1"/>
  <c r="D7" i="18"/>
  <c r="K8" i="17"/>
  <c r="K6" i="14"/>
  <c r="J13" i="19" l="1"/>
  <c r="L13" i="19" s="1"/>
  <c r="J7" i="19"/>
  <c r="L7" i="19" s="1"/>
  <c r="J24" i="18"/>
  <c r="E23" i="18"/>
  <c r="J23" i="18" s="1"/>
  <c r="J17" i="18"/>
  <c r="J16" i="18" s="1"/>
  <c r="L16" i="18" s="1"/>
  <c r="J15" i="18"/>
  <c r="J14" i="18" s="1"/>
  <c r="L14" i="18" s="1"/>
  <c r="E22" i="18"/>
  <c r="J22" i="18" s="1"/>
  <c r="E20" i="18"/>
  <c r="J20" i="18" s="1"/>
  <c r="J13" i="18"/>
  <c r="J12" i="18" s="1"/>
  <c r="L12" i="18" s="1"/>
  <c r="E7" i="18"/>
  <c r="J7" i="18" s="1"/>
  <c r="J6" i="18" s="1"/>
  <c r="L6" i="18" s="1"/>
  <c r="E9" i="18"/>
  <c r="J9" i="18" s="1"/>
  <c r="J8" i="18" s="1"/>
  <c r="L8" i="18" s="1"/>
  <c r="J11" i="18"/>
  <c r="J10" i="18" s="1"/>
  <c r="L10" i="18" s="1"/>
  <c r="K32" i="14"/>
  <c r="K26" i="14"/>
  <c r="C25" i="17"/>
  <c r="J18" i="18" l="1"/>
  <c r="L18" i="18" s="1"/>
  <c r="B166" i="6" s="1"/>
  <c r="J21" i="18"/>
  <c r="L21" i="18" s="1"/>
  <c r="K24" i="17"/>
  <c r="G25" i="17" l="1"/>
  <c r="K41" i="16"/>
  <c r="H9" i="17" l="1"/>
  <c r="I9" i="17" s="1"/>
  <c r="H25" i="17"/>
  <c r="I25" i="17" s="1"/>
  <c r="G20" i="17"/>
  <c r="H20" i="17" s="1"/>
  <c r="I20" i="17" s="1"/>
  <c r="F20" i="17"/>
  <c r="G17" i="17"/>
  <c r="H17" i="17" s="1"/>
  <c r="I17" i="17" s="1"/>
  <c r="F17" i="17"/>
  <c r="G15" i="17"/>
  <c r="H15" i="17" s="1"/>
  <c r="I15" i="17" s="1"/>
  <c r="F15" i="17"/>
  <c r="C20" i="17"/>
  <c r="D20" i="17" s="1"/>
  <c r="E20" i="17" s="1"/>
  <c r="D17" i="17"/>
  <c r="E17" i="17" s="1"/>
  <c r="D15" i="17"/>
  <c r="E15" i="17" s="1"/>
  <c r="H13" i="17"/>
  <c r="I13" i="17" s="1"/>
  <c r="D13" i="17"/>
  <c r="E13" i="17" s="1"/>
  <c r="H11" i="17"/>
  <c r="I11" i="17" s="1"/>
  <c r="D11" i="17"/>
  <c r="E11" i="17" s="1"/>
  <c r="D9" i="17"/>
  <c r="H7" i="17"/>
  <c r="I7" i="17" s="1"/>
  <c r="D7" i="17"/>
  <c r="H26" i="17"/>
  <c r="I26" i="17" s="1"/>
  <c r="D26" i="17"/>
  <c r="D25" i="17"/>
  <c r="E25" i="17" s="1"/>
  <c r="H23" i="17"/>
  <c r="I23" i="17" s="1"/>
  <c r="D23" i="17"/>
  <c r="E23" i="17" s="1"/>
  <c r="H22" i="17"/>
  <c r="I22" i="17" s="1"/>
  <c r="D22" i="17"/>
  <c r="E22" i="17" s="1"/>
  <c r="H19" i="17"/>
  <c r="I19" i="17" s="1"/>
  <c r="D19" i="17"/>
  <c r="E19" i="17" s="1"/>
  <c r="J17" i="17" l="1"/>
  <c r="J16" i="17" s="1"/>
  <c r="L16" i="17" s="1"/>
  <c r="B130" i="6" s="1"/>
  <c r="J11" i="17"/>
  <c r="J10" i="17" s="1"/>
  <c r="L10" i="17" s="1"/>
  <c r="B78" i="6" s="1"/>
  <c r="J22" i="17"/>
  <c r="E9" i="17"/>
  <c r="J9" i="17" s="1"/>
  <c r="J8" i="17" s="1"/>
  <c r="L8" i="17" s="1"/>
  <c r="J19" i="17"/>
  <c r="J23" i="17"/>
  <c r="J20" i="17"/>
  <c r="J13" i="17"/>
  <c r="J12" i="17" s="1"/>
  <c r="L12" i="17" s="1"/>
  <c r="B10" i="6" s="1"/>
  <c r="J25" i="17"/>
  <c r="J15" i="17"/>
  <c r="J14" i="17" s="1"/>
  <c r="L14" i="17" s="1"/>
  <c r="B35" i="6" s="1"/>
  <c r="E26" i="17"/>
  <c r="J26" i="17" s="1"/>
  <c r="E7" i="17"/>
  <c r="J7" i="17" s="1"/>
  <c r="J6" i="17" s="1"/>
  <c r="L6" i="17" s="1"/>
  <c r="J24" i="17" l="1"/>
  <c r="L24" i="17" s="1"/>
  <c r="J21" i="17"/>
  <c r="L21" i="17" s="1"/>
  <c r="J18" i="17"/>
  <c r="L18" i="17" s="1"/>
  <c r="K43" i="16" l="1"/>
  <c r="K35" i="16" l="1"/>
  <c r="K6" i="16"/>
  <c r="K30" i="16"/>
  <c r="K33" i="16"/>
  <c r="K26" i="16"/>
  <c r="K37" i="16"/>
  <c r="K17" i="16"/>
  <c r="K12" i="16"/>
  <c r="K45" i="16" l="1"/>
  <c r="K39" i="16" l="1"/>
  <c r="K22" i="16" l="1"/>
  <c r="K11" i="13"/>
  <c r="K41" i="14" l="1"/>
  <c r="F21" i="16"/>
  <c r="H16" i="16"/>
  <c r="I16" i="16" s="1"/>
  <c r="D16" i="16"/>
  <c r="E16" i="16" s="1"/>
  <c r="H15" i="16"/>
  <c r="I15" i="16" s="1"/>
  <c r="D15" i="16"/>
  <c r="E15" i="16" s="1"/>
  <c r="H14" i="16"/>
  <c r="I14" i="16" s="1"/>
  <c r="D14" i="16"/>
  <c r="E14" i="16" s="1"/>
  <c r="H13" i="16"/>
  <c r="I13" i="16" s="1"/>
  <c r="D13" i="16"/>
  <c r="E13" i="16" s="1"/>
  <c r="F27" i="16"/>
  <c r="F25" i="16"/>
  <c r="C29" i="16"/>
  <c r="D29" i="16" s="1"/>
  <c r="E29" i="16" s="1"/>
  <c r="C24" i="16"/>
  <c r="D24" i="16" s="1"/>
  <c r="E24" i="16" s="1"/>
  <c r="C23" i="16"/>
  <c r="D23" i="16" s="1"/>
  <c r="E23" i="16" s="1"/>
  <c r="C31" i="16"/>
  <c r="D31" i="16" s="1"/>
  <c r="E31" i="16" s="1"/>
  <c r="H42" i="16"/>
  <c r="I42" i="16" s="1"/>
  <c r="C48" i="16"/>
  <c r="D48" i="16" s="1"/>
  <c r="E48" i="16" s="1"/>
  <c r="C46" i="16"/>
  <c r="D46" i="16" s="1"/>
  <c r="E46" i="16" s="1"/>
  <c r="C40" i="16"/>
  <c r="D40" i="16" s="1"/>
  <c r="E40" i="16" s="1"/>
  <c r="F38" i="16"/>
  <c r="H48" i="16"/>
  <c r="I48" i="16" s="1"/>
  <c r="H46" i="16"/>
  <c r="I46" i="16" s="1"/>
  <c r="H9" i="16"/>
  <c r="I9" i="16" s="1"/>
  <c r="D9" i="16"/>
  <c r="E9" i="16" s="1"/>
  <c r="H10" i="16"/>
  <c r="I10" i="16" s="1"/>
  <c r="D10" i="16"/>
  <c r="E10" i="16" s="1"/>
  <c r="H8" i="16"/>
  <c r="I8" i="16" s="1"/>
  <c r="D8" i="16"/>
  <c r="E8" i="16" s="1"/>
  <c r="H18" i="16"/>
  <c r="I18" i="16" s="1"/>
  <c r="D18" i="16"/>
  <c r="E18" i="16" s="1"/>
  <c r="H21" i="16"/>
  <c r="I21" i="16" s="1"/>
  <c r="D21" i="16"/>
  <c r="E21" i="16" s="1"/>
  <c r="H20" i="16"/>
  <c r="I20" i="16" s="1"/>
  <c r="D20" i="16"/>
  <c r="E20" i="16" s="1"/>
  <c r="H19" i="16"/>
  <c r="I19" i="16" s="1"/>
  <c r="D19" i="16"/>
  <c r="E19" i="16" s="1"/>
  <c r="H29" i="16"/>
  <c r="I29" i="16" s="1"/>
  <c r="H28" i="16"/>
  <c r="I28" i="16" s="1"/>
  <c r="D28" i="16"/>
  <c r="E28" i="16" s="1"/>
  <c r="H27" i="16"/>
  <c r="I27" i="16" s="1"/>
  <c r="D27" i="16"/>
  <c r="E27" i="16" s="1"/>
  <c r="H44" i="16"/>
  <c r="I44" i="16" s="1"/>
  <c r="D44" i="16"/>
  <c r="E44" i="16" s="1"/>
  <c r="D42" i="16"/>
  <c r="E42" i="16" s="1"/>
  <c r="H40" i="16"/>
  <c r="I40" i="16" s="1"/>
  <c r="H38" i="16"/>
  <c r="I38" i="16" s="1"/>
  <c r="D38" i="16"/>
  <c r="E38" i="16" s="1"/>
  <c r="H36" i="16"/>
  <c r="I36" i="16" s="1"/>
  <c r="D36" i="16"/>
  <c r="E36" i="16" s="1"/>
  <c r="H34" i="16"/>
  <c r="I34" i="16" s="1"/>
  <c r="D34" i="16"/>
  <c r="E34" i="16" s="1"/>
  <c r="H32" i="16"/>
  <c r="I32" i="16" s="1"/>
  <c r="D32" i="16"/>
  <c r="E32" i="16" s="1"/>
  <c r="H31" i="16"/>
  <c r="I31" i="16" s="1"/>
  <c r="H25" i="16"/>
  <c r="I25" i="16" s="1"/>
  <c r="D25" i="16"/>
  <c r="E25" i="16" s="1"/>
  <c r="H24" i="16"/>
  <c r="I24" i="16" s="1"/>
  <c r="H23" i="16"/>
  <c r="I23" i="16" s="1"/>
  <c r="J13" i="16" l="1"/>
  <c r="J14" i="16"/>
  <c r="J16" i="16"/>
  <c r="J15" i="16"/>
  <c r="J48" i="16"/>
  <c r="J47" i="16" s="1"/>
  <c r="L47" i="16" s="1"/>
  <c r="J46" i="16"/>
  <c r="J45" i="16" s="1"/>
  <c r="L45" i="16" s="1"/>
  <c r="B32" i="6" s="1"/>
  <c r="J8" i="16"/>
  <c r="J9" i="16"/>
  <c r="J10" i="16"/>
  <c r="J20" i="16"/>
  <c r="J27" i="16"/>
  <c r="J29" i="16"/>
  <c r="J19" i="16"/>
  <c r="J18" i="16"/>
  <c r="J21" i="16"/>
  <c r="J28" i="16"/>
  <c r="J25" i="16"/>
  <c r="J34" i="16"/>
  <c r="J33" i="16" s="1"/>
  <c r="L33" i="16" s="1"/>
  <c r="J36" i="16"/>
  <c r="J35" i="16" s="1"/>
  <c r="L35" i="16" s="1"/>
  <c r="J38" i="16"/>
  <c r="J37" i="16" s="1"/>
  <c r="L37" i="16" s="1"/>
  <c r="J44" i="16"/>
  <c r="J43" i="16" s="1"/>
  <c r="L43" i="16" s="1"/>
  <c r="J24" i="16"/>
  <c r="J32" i="16"/>
  <c r="J40" i="16"/>
  <c r="J39" i="16" s="1"/>
  <c r="L39" i="16" s="1"/>
  <c r="J23" i="16"/>
  <c r="J42" i="16"/>
  <c r="J41" i="16" s="1"/>
  <c r="L41" i="16" s="1"/>
  <c r="J31" i="16"/>
  <c r="J22" i="16" l="1"/>
  <c r="L22" i="16" s="1"/>
  <c r="J6" i="16"/>
  <c r="L6" i="16" s="1"/>
  <c r="B178" i="6" s="1"/>
  <c r="J17" i="16"/>
  <c r="L17" i="16" s="1"/>
  <c r="J26" i="16"/>
  <c r="L26" i="16" s="1"/>
  <c r="B132" i="6" s="1"/>
  <c r="J12" i="16"/>
  <c r="L12" i="16" s="1"/>
  <c r="B201" i="6" s="1"/>
  <c r="J30" i="16"/>
  <c r="L30" i="16" s="1"/>
  <c r="B127" i="44" l="1"/>
  <c r="B143" i="6"/>
  <c r="K29" i="14"/>
  <c r="K20" i="15" l="1"/>
  <c r="G9" i="15" l="1"/>
  <c r="H9" i="15" s="1"/>
  <c r="I9" i="15" s="1"/>
  <c r="C23" i="15"/>
  <c r="D23" i="15" s="1"/>
  <c r="G11" i="15"/>
  <c r="C12" i="15"/>
  <c r="D12" i="15" s="1"/>
  <c r="E12" i="15" s="1"/>
  <c r="C11" i="15"/>
  <c r="D11" i="15" s="1"/>
  <c r="E11" i="15" s="1"/>
  <c r="C9" i="15"/>
  <c r="D9" i="15" s="1"/>
  <c r="H27" i="15"/>
  <c r="I27" i="15" s="1"/>
  <c r="D27" i="15"/>
  <c r="E27" i="15" s="1"/>
  <c r="H25" i="15"/>
  <c r="I25" i="15" s="1"/>
  <c r="D25" i="15"/>
  <c r="E25" i="15" s="1"/>
  <c r="H23" i="15"/>
  <c r="I23" i="15" s="1"/>
  <c r="H21" i="15"/>
  <c r="I21" i="15" s="1"/>
  <c r="D21" i="15"/>
  <c r="E21" i="15" s="1"/>
  <c r="H15" i="15"/>
  <c r="I15" i="15" s="1"/>
  <c r="D15" i="15"/>
  <c r="E15" i="15" s="1"/>
  <c r="H14" i="15"/>
  <c r="I14" i="15" s="1"/>
  <c r="D14" i="15"/>
  <c r="H19" i="15"/>
  <c r="I19" i="15" s="1"/>
  <c r="D19" i="15"/>
  <c r="H17" i="15"/>
  <c r="I17" i="15" s="1"/>
  <c r="D17" i="15"/>
  <c r="H12" i="15"/>
  <c r="I12" i="15" s="1"/>
  <c r="H11" i="15"/>
  <c r="I11" i="15" s="1"/>
  <c r="H8" i="15"/>
  <c r="I8" i="15" s="1"/>
  <c r="D8" i="15"/>
  <c r="E8" i="15" s="1"/>
  <c r="H7" i="15"/>
  <c r="I7" i="15" s="1"/>
  <c r="D7" i="15"/>
  <c r="E7" i="15" s="1"/>
  <c r="K23" i="14"/>
  <c r="J8" i="15" l="1"/>
  <c r="J12" i="15"/>
  <c r="E14" i="15"/>
  <c r="J14" i="15" s="1"/>
  <c r="E23" i="15"/>
  <c r="J23" i="15" s="1"/>
  <c r="J22" i="15" s="1"/>
  <c r="L22" i="15" s="1"/>
  <c r="J7" i="15"/>
  <c r="J11" i="15"/>
  <c r="J15" i="15"/>
  <c r="J21" i="15"/>
  <c r="J20" i="15" s="1"/>
  <c r="L20" i="15" s="1"/>
  <c r="J25" i="15"/>
  <c r="J24" i="15" s="1"/>
  <c r="L24" i="15" s="1"/>
  <c r="J27" i="15"/>
  <c r="J26" i="15" s="1"/>
  <c r="L26" i="15" s="1"/>
  <c r="B142" i="6" s="1"/>
  <c r="E9" i="15"/>
  <c r="J9" i="15" s="1"/>
  <c r="E17" i="15"/>
  <c r="J17" i="15" s="1"/>
  <c r="J16" i="15" s="1"/>
  <c r="L16" i="15" s="1"/>
  <c r="E19" i="15"/>
  <c r="J19" i="15" s="1"/>
  <c r="J6" i="15" l="1"/>
  <c r="L6" i="15" s="1"/>
  <c r="J13" i="15"/>
  <c r="L13" i="15" s="1"/>
  <c r="J10" i="15"/>
  <c r="L10" i="15" s="1"/>
  <c r="J18" i="15"/>
  <c r="L18" i="15" s="1"/>
  <c r="G39" i="14"/>
  <c r="H39" i="14" s="1"/>
  <c r="I39" i="14" s="1"/>
  <c r="C39" i="14"/>
  <c r="D39" i="14" s="1"/>
  <c r="G21" i="14"/>
  <c r="C21" i="14"/>
  <c r="E39" i="14" l="1"/>
  <c r="J39" i="14" s="1"/>
  <c r="H31" i="14"/>
  <c r="I31" i="14" s="1"/>
  <c r="H30" i="14"/>
  <c r="I30" i="14" s="1"/>
  <c r="H24" i="14"/>
  <c r="I24" i="14" s="1"/>
  <c r="H14" i="14"/>
  <c r="I14" i="14" s="1"/>
  <c r="H37" i="14"/>
  <c r="I37" i="14" s="1"/>
  <c r="D37" i="14"/>
  <c r="E37" i="14" s="1"/>
  <c r="H28" i="14"/>
  <c r="I28" i="14" s="1"/>
  <c r="D28" i="14"/>
  <c r="E28" i="14" s="1"/>
  <c r="H27" i="14"/>
  <c r="I27" i="14" s="1"/>
  <c r="D27" i="14"/>
  <c r="E27" i="14" s="1"/>
  <c r="D31" i="14"/>
  <c r="E31" i="14" s="1"/>
  <c r="D30" i="14"/>
  <c r="E30" i="14" s="1"/>
  <c r="H25" i="14"/>
  <c r="I25" i="14" s="1"/>
  <c r="D25" i="14"/>
  <c r="D24" i="14"/>
  <c r="E24" i="14" s="1"/>
  <c r="H21" i="14"/>
  <c r="I21" i="14" s="1"/>
  <c r="D21" i="14"/>
  <c r="H9" i="14"/>
  <c r="I9" i="14" s="1"/>
  <c r="D9" i="14"/>
  <c r="E9" i="14" s="1"/>
  <c r="H8" i="14"/>
  <c r="I8" i="14" s="1"/>
  <c r="D8" i="14"/>
  <c r="E8" i="14" s="1"/>
  <c r="H18" i="14"/>
  <c r="I18" i="14" s="1"/>
  <c r="D18" i="14"/>
  <c r="E18" i="14" s="1"/>
  <c r="H16" i="14"/>
  <c r="I16" i="14" s="1"/>
  <c r="D16" i="14"/>
  <c r="H15" i="14"/>
  <c r="I15" i="14" s="1"/>
  <c r="D15" i="14"/>
  <c r="E15" i="14" s="1"/>
  <c r="D14" i="14"/>
  <c r="E14" i="14" s="1"/>
  <c r="H12" i="14"/>
  <c r="I12" i="14" s="1"/>
  <c r="D12" i="14"/>
  <c r="E12" i="14" s="1"/>
  <c r="H11" i="14"/>
  <c r="I11" i="14" s="1"/>
  <c r="D11" i="14"/>
  <c r="E11" i="14" s="1"/>
  <c r="H7" i="14"/>
  <c r="I7" i="14" s="1"/>
  <c r="D7" i="14"/>
  <c r="E7" i="14" s="1"/>
  <c r="H42" i="14"/>
  <c r="I42" i="14" s="1"/>
  <c r="D42" i="14"/>
  <c r="E42" i="14" s="1"/>
  <c r="H35" i="14"/>
  <c r="I35" i="14" s="1"/>
  <c r="D35" i="14"/>
  <c r="H33" i="14"/>
  <c r="I33" i="14" s="1"/>
  <c r="D33" i="14"/>
  <c r="J14" i="14" l="1"/>
  <c r="J8" i="14"/>
  <c r="E21" i="14"/>
  <c r="J21" i="14" s="1"/>
  <c r="J30" i="14"/>
  <c r="J27" i="14"/>
  <c r="J37" i="14"/>
  <c r="J36" i="14" s="1"/>
  <c r="L36" i="14" s="1"/>
  <c r="B125" i="6" s="1"/>
  <c r="J28" i="14"/>
  <c r="J31" i="14"/>
  <c r="J24" i="14"/>
  <c r="E25" i="14"/>
  <c r="J25" i="14" s="1"/>
  <c r="J9" i="14"/>
  <c r="J42" i="14"/>
  <c r="J41" i="14" s="1"/>
  <c r="L41" i="14" s="1"/>
  <c r="B171" i="6" s="1"/>
  <c r="J12" i="14"/>
  <c r="E16" i="14"/>
  <c r="J16" i="14" s="1"/>
  <c r="J18" i="14"/>
  <c r="J7" i="14"/>
  <c r="J11" i="14"/>
  <c r="J15" i="14"/>
  <c r="E33" i="14"/>
  <c r="J33" i="14" s="1"/>
  <c r="E35" i="14"/>
  <c r="J35" i="14" s="1"/>
  <c r="J34" i="14" s="1"/>
  <c r="L34" i="14" s="1"/>
  <c r="J32" i="14" l="1"/>
  <c r="L32" i="14" s="1"/>
  <c r="J38" i="14"/>
  <c r="L38" i="14" s="1"/>
  <c r="B84" i="6" s="1"/>
  <c r="J6" i="14"/>
  <c r="L6" i="14" s="1"/>
  <c r="B107" i="6" s="1"/>
  <c r="J13" i="14"/>
  <c r="L13" i="14" s="1"/>
  <c r="J29" i="14"/>
  <c r="L29" i="14" s="1"/>
  <c r="J20" i="14"/>
  <c r="L20" i="14" s="1"/>
  <c r="J26" i="14"/>
  <c r="L26" i="14" s="1"/>
  <c r="J17" i="14"/>
  <c r="J23" i="14"/>
  <c r="L23" i="14" s="1"/>
  <c r="B20" i="6" s="1"/>
  <c r="B96" i="44" l="1"/>
  <c r="L17" i="14"/>
  <c r="B6" i="6" s="1"/>
  <c r="H13" i="13"/>
  <c r="I13" i="13" s="1"/>
  <c r="H14" i="13"/>
  <c r="I14" i="13" s="1"/>
  <c r="H12" i="13"/>
  <c r="I12" i="13" s="1"/>
  <c r="H8" i="13"/>
  <c r="I8" i="13" s="1"/>
  <c r="H16" i="13"/>
  <c r="I16" i="13" s="1"/>
  <c r="D16" i="13"/>
  <c r="E16" i="13" s="1"/>
  <c r="D14" i="13"/>
  <c r="E14" i="13" s="1"/>
  <c r="D13" i="13"/>
  <c r="E13" i="13" s="1"/>
  <c r="D12" i="13"/>
  <c r="E12" i="13" s="1"/>
  <c r="H10" i="13"/>
  <c r="I10" i="13" s="1"/>
  <c r="D10" i="13"/>
  <c r="E10" i="13" s="1"/>
  <c r="H9" i="13"/>
  <c r="I9" i="13" s="1"/>
  <c r="D9" i="13"/>
  <c r="E9" i="13" s="1"/>
  <c r="D8" i="13"/>
  <c r="E8" i="13" s="1"/>
  <c r="H7" i="13"/>
  <c r="I7" i="13" s="1"/>
  <c r="D7" i="13"/>
  <c r="E7" i="13" s="1"/>
  <c r="K12" i="12"/>
  <c r="J10" i="13" l="1"/>
  <c r="J8" i="13"/>
  <c r="J12" i="13"/>
  <c r="J14" i="13"/>
  <c r="J7" i="13"/>
  <c r="J9" i="13"/>
  <c r="J13" i="13"/>
  <c r="J16" i="13"/>
  <c r="J15" i="13" s="1"/>
  <c r="J6" i="13" l="1"/>
  <c r="L6" i="13" s="1"/>
  <c r="J11" i="13"/>
  <c r="L11" i="13" s="1"/>
  <c r="L15" i="13"/>
  <c r="B102" i="6" s="1"/>
  <c r="H13" i="12" l="1"/>
  <c r="I13" i="12" s="1"/>
  <c r="K10" i="12"/>
  <c r="K22" i="9" l="1"/>
  <c r="K16" i="9" l="1"/>
  <c r="F11" i="12" l="1"/>
  <c r="F9" i="12"/>
  <c r="H14" i="12"/>
  <c r="I14" i="12" s="1"/>
  <c r="H15" i="12"/>
  <c r="I15" i="12" s="1"/>
  <c r="H16" i="12"/>
  <c r="I16" i="12" s="1"/>
  <c r="G23" i="12"/>
  <c r="H23" i="12" s="1"/>
  <c r="I23" i="12" s="1"/>
  <c r="G22" i="12"/>
  <c r="H22" i="12" s="1"/>
  <c r="I22" i="12" s="1"/>
  <c r="F22" i="12"/>
  <c r="F16" i="12"/>
  <c r="G7" i="12"/>
  <c r="H7" i="12" s="1"/>
  <c r="I7" i="12" s="1"/>
  <c r="C7" i="12"/>
  <c r="D7" i="12" s="1"/>
  <c r="E7" i="12" s="1"/>
  <c r="H11" i="12"/>
  <c r="I11" i="12" s="1"/>
  <c r="D11" i="12"/>
  <c r="E11" i="12" s="1"/>
  <c r="H20" i="12"/>
  <c r="I20" i="12" s="1"/>
  <c r="D20" i="12"/>
  <c r="E20" i="12" s="1"/>
  <c r="H19" i="12"/>
  <c r="I19" i="12" s="1"/>
  <c r="D19" i="12"/>
  <c r="E19" i="12" s="1"/>
  <c r="H18" i="12"/>
  <c r="I18" i="12" s="1"/>
  <c r="D18" i="12"/>
  <c r="E18" i="12" s="1"/>
  <c r="D23" i="12"/>
  <c r="E23" i="12" s="1"/>
  <c r="D22" i="12"/>
  <c r="D16" i="12"/>
  <c r="E16" i="12" s="1"/>
  <c r="D15" i="12"/>
  <c r="E15" i="12" s="1"/>
  <c r="D14" i="12"/>
  <c r="E14" i="12" s="1"/>
  <c r="D13" i="12"/>
  <c r="E13" i="12" s="1"/>
  <c r="H9" i="12"/>
  <c r="I9" i="12" s="1"/>
  <c r="D9" i="12"/>
  <c r="E9" i="12" s="1"/>
  <c r="J11" i="12" l="1"/>
  <c r="J10" i="12" s="1"/>
  <c r="L10" i="12" s="1"/>
  <c r="J23" i="12"/>
  <c r="J14" i="12"/>
  <c r="J9" i="12"/>
  <c r="J8" i="12" s="1"/>
  <c r="L8" i="12" s="1"/>
  <c r="B86" i="6" s="1"/>
  <c r="J16" i="12"/>
  <c r="J18" i="12"/>
  <c r="J20" i="12"/>
  <c r="J13" i="12"/>
  <c r="J7" i="12"/>
  <c r="J6" i="12" s="1"/>
  <c r="L6" i="12" s="1"/>
  <c r="B172" i="6" s="1"/>
  <c r="J15" i="12"/>
  <c r="J19" i="12"/>
  <c r="E22" i="12"/>
  <c r="J22" i="12" s="1"/>
  <c r="J21" i="12" l="1"/>
  <c r="L21" i="12" s="1"/>
  <c r="J12" i="12"/>
  <c r="L12" i="12" s="1"/>
  <c r="B126" i="6" s="1"/>
  <c r="J17" i="12"/>
  <c r="L17" i="12" s="1"/>
  <c r="K42" i="11" l="1"/>
  <c r="H43" i="11"/>
  <c r="I43" i="11" s="1"/>
  <c r="H47" i="11"/>
  <c r="I47" i="11" s="1"/>
  <c r="H48" i="11"/>
  <c r="I48" i="11" s="1"/>
  <c r="H49" i="11"/>
  <c r="I49" i="11" s="1"/>
  <c r="H50" i="11"/>
  <c r="I50" i="11" s="1"/>
  <c r="H51" i="11"/>
  <c r="I51" i="11" s="1"/>
  <c r="G29" i="11"/>
  <c r="H29" i="11" s="1"/>
  <c r="I29" i="11" s="1"/>
  <c r="G25" i="11"/>
  <c r="H25" i="11" s="1"/>
  <c r="I25" i="11" s="1"/>
  <c r="H28" i="11"/>
  <c r="I28" i="11" s="1"/>
  <c r="D28" i="11"/>
  <c r="H27" i="11"/>
  <c r="I27" i="11" s="1"/>
  <c r="D27" i="11"/>
  <c r="E27" i="11" s="1"/>
  <c r="D25" i="11"/>
  <c r="E25" i="11" s="1"/>
  <c r="G16" i="11"/>
  <c r="H16" i="11" s="1"/>
  <c r="I16" i="11" s="1"/>
  <c r="H22" i="11"/>
  <c r="I22" i="11" s="1"/>
  <c r="D22" i="11"/>
  <c r="E22" i="11" s="1"/>
  <c r="H21" i="11"/>
  <c r="I21" i="11" s="1"/>
  <c r="D21" i="11"/>
  <c r="E21" i="11" s="1"/>
  <c r="H20" i="11"/>
  <c r="I20" i="11" s="1"/>
  <c r="D20" i="11"/>
  <c r="E20" i="11" s="1"/>
  <c r="H19" i="11"/>
  <c r="I19" i="11" s="1"/>
  <c r="D19" i="11"/>
  <c r="E19" i="11" s="1"/>
  <c r="H18" i="11"/>
  <c r="I18" i="11" s="1"/>
  <c r="D18" i="11"/>
  <c r="E18" i="11" s="1"/>
  <c r="D11" i="11"/>
  <c r="E11" i="11" s="1"/>
  <c r="H11" i="11"/>
  <c r="I11" i="11" s="1"/>
  <c r="H15" i="11"/>
  <c r="I15" i="11" s="1"/>
  <c r="D15" i="11"/>
  <c r="E15" i="11" s="1"/>
  <c r="H14" i="11"/>
  <c r="I14" i="11" s="1"/>
  <c r="D14" i="11"/>
  <c r="E14" i="11" s="1"/>
  <c r="H13" i="11"/>
  <c r="I13" i="11" s="1"/>
  <c r="D13" i="11"/>
  <c r="E13" i="11" s="1"/>
  <c r="H12" i="11"/>
  <c r="I12" i="11" s="1"/>
  <c r="D12" i="11"/>
  <c r="E12" i="11" s="1"/>
  <c r="D16" i="11"/>
  <c r="E16" i="11" s="1"/>
  <c r="D29" i="11"/>
  <c r="E29" i="11" s="1"/>
  <c r="H24" i="11"/>
  <c r="I24" i="11" s="1"/>
  <c r="D24" i="11"/>
  <c r="H9" i="11"/>
  <c r="I9" i="11" s="1"/>
  <c r="D9" i="11"/>
  <c r="E9" i="11" s="1"/>
  <c r="G34" i="11"/>
  <c r="H34" i="11" s="1"/>
  <c r="I34" i="11" s="1"/>
  <c r="G33" i="11"/>
  <c r="H33" i="11" s="1"/>
  <c r="I33" i="11" s="1"/>
  <c r="F33" i="11"/>
  <c r="C34" i="11"/>
  <c r="D34" i="11" s="1"/>
  <c r="E34" i="11" s="1"/>
  <c r="C33" i="11"/>
  <c r="D33" i="11" s="1"/>
  <c r="E33" i="11" s="1"/>
  <c r="G38" i="11"/>
  <c r="H38" i="11" s="1"/>
  <c r="I38" i="11" s="1"/>
  <c r="F38" i="11"/>
  <c r="C38" i="11"/>
  <c r="D38" i="11" s="1"/>
  <c r="H41" i="11"/>
  <c r="I41" i="11" s="1"/>
  <c r="D41" i="11"/>
  <c r="E41" i="11" s="1"/>
  <c r="H40" i="11"/>
  <c r="I40" i="11" s="1"/>
  <c r="D40" i="11"/>
  <c r="E40" i="11" s="1"/>
  <c r="H39" i="11"/>
  <c r="I39" i="11" s="1"/>
  <c r="D39" i="11"/>
  <c r="G46" i="11"/>
  <c r="H46" i="11" s="1"/>
  <c r="I46" i="11" s="1"/>
  <c r="H52" i="11"/>
  <c r="I52" i="11" s="1"/>
  <c r="D50" i="11"/>
  <c r="E50" i="11" s="1"/>
  <c r="D51" i="11"/>
  <c r="E51" i="11" s="1"/>
  <c r="D52" i="11"/>
  <c r="E52" i="11" s="1"/>
  <c r="D49" i="11"/>
  <c r="E49" i="11" s="1"/>
  <c r="D48" i="11"/>
  <c r="E48" i="11" s="1"/>
  <c r="D47" i="11"/>
  <c r="D46" i="11"/>
  <c r="H44" i="11"/>
  <c r="I44" i="11" s="1"/>
  <c r="D44" i="11"/>
  <c r="E44" i="11" s="1"/>
  <c r="D43" i="11"/>
  <c r="E43" i="11" s="1"/>
  <c r="H37" i="11"/>
  <c r="I37" i="11" s="1"/>
  <c r="D37" i="11"/>
  <c r="E37" i="11" s="1"/>
  <c r="H36" i="11"/>
  <c r="I36" i="11" s="1"/>
  <c r="D36" i="11"/>
  <c r="E36" i="11" s="1"/>
  <c r="H31" i="11"/>
  <c r="I31" i="11" s="1"/>
  <c r="D31" i="11"/>
  <c r="E31" i="11" s="1"/>
  <c r="H7" i="11"/>
  <c r="I7" i="11" s="1"/>
  <c r="D7" i="11"/>
  <c r="E7" i="11" s="1"/>
  <c r="J11" i="11" l="1"/>
  <c r="J25" i="11"/>
  <c r="E28" i="11"/>
  <c r="J28" i="11" s="1"/>
  <c r="J27" i="11"/>
  <c r="J20" i="11"/>
  <c r="J21" i="11"/>
  <c r="J18" i="11"/>
  <c r="J19" i="11"/>
  <c r="J22" i="11"/>
  <c r="J44" i="11"/>
  <c r="J14" i="11"/>
  <c r="E24" i="11"/>
  <c r="J24" i="11" s="1"/>
  <c r="J13" i="11"/>
  <c r="J12" i="11"/>
  <c r="J15" i="11"/>
  <c r="J16" i="11"/>
  <c r="J29" i="11"/>
  <c r="J50" i="11"/>
  <c r="J51" i="11"/>
  <c r="J52" i="11"/>
  <c r="J9" i="11"/>
  <c r="J8" i="11" s="1"/>
  <c r="L8" i="11" s="1"/>
  <c r="J34" i="11"/>
  <c r="J37" i="11"/>
  <c r="J40" i="11"/>
  <c r="J41" i="11"/>
  <c r="E39" i="11"/>
  <c r="J39" i="11" s="1"/>
  <c r="J33" i="11"/>
  <c r="J36" i="11"/>
  <c r="J43" i="11"/>
  <c r="E46" i="11"/>
  <c r="J46" i="11" s="1"/>
  <c r="E47" i="11"/>
  <c r="J47" i="11" s="1"/>
  <c r="J48" i="11"/>
  <c r="J31" i="11"/>
  <c r="J30" i="11" s="1"/>
  <c r="L30" i="11" s="1"/>
  <c r="B140" i="6" s="1"/>
  <c r="J7" i="11"/>
  <c r="J6" i="11" s="1"/>
  <c r="L6" i="11" s="1"/>
  <c r="B214" i="6" s="1"/>
  <c r="J49" i="11"/>
  <c r="E38" i="11"/>
  <c r="J38" i="11" s="1"/>
  <c r="J26" i="11" l="1"/>
  <c r="L26" i="11" s="1"/>
  <c r="B150" i="6" s="1"/>
  <c r="J23" i="11"/>
  <c r="L23" i="11" s="1"/>
  <c r="J17" i="11"/>
  <c r="L17" i="11" s="1"/>
  <c r="B89" i="6" s="1"/>
  <c r="J10" i="11"/>
  <c r="L10" i="11" s="1"/>
  <c r="B97" i="6" s="1"/>
  <c r="J42" i="11"/>
  <c r="L42" i="11" s="1"/>
  <c r="J32" i="11"/>
  <c r="L32" i="11" s="1"/>
  <c r="J35" i="11"/>
  <c r="L35" i="11" s="1"/>
  <c r="B103" i="6" s="1"/>
  <c r="J45" i="11"/>
  <c r="L45" i="11" s="1"/>
  <c r="K16" i="10" l="1"/>
  <c r="K10" i="9"/>
  <c r="K37" i="9" l="1"/>
  <c r="K33" i="9" l="1"/>
  <c r="K14" i="9"/>
  <c r="K8" i="9"/>
  <c r="F7" i="9"/>
  <c r="C17" i="10" l="1"/>
  <c r="D17" i="10" s="1"/>
  <c r="F15" i="10"/>
  <c r="G14" i="10"/>
  <c r="H14" i="10" s="1"/>
  <c r="I14" i="10" s="1"/>
  <c r="G9" i="10"/>
  <c r="H9" i="10" s="1"/>
  <c r="I9" i="10" s="1"/>
  <c r="C9" i="10"/>
  <c r="D9" i="10" s="1"/>
  <c r="C7" i="10"/>
  <c r="D7" i="10" s="1"/>
  <c r="E7" i="10" s="1"/>
  <c r="H23" i="10"/>
  <c r="I23" i="10" s="1"/>
  <c r="D23" i="10"/>
  <c r="H22" i="10"/>
  <c r="I22" i="10" s="1"/>
  <c r="D22" i="10"/>
  <c r="H21" i="10"/>
  <c r="I21" i="10" s="1"/>
  <c r="D21" i="10"/>
  <c r="H20" i="10"/>
  <c r="I20" i="10" s="1"/>
  <c r="D20" i="10"/>
  <c r="H18" i="10"/>
  <c r="I18" i="10" s="1"/>
  <c r="D18" i="10"/>
  <c r="H17" i="10"/>
  <c r="I17" i="10" s="1"/>
  <c r="H15" i="10"/>
  <c r="I15" i="10" s="1"/>
  <c r="D15" i="10"/>
  <c r="E15" i="10" s="1"/>
  <c r="D14" i="10"/>
  <c r="E14" i="10" s="1"/>
  <c r="H13" i="10"/>
  <c r="I13" i="10" s="1"/>
  <c r="D13" i="10"/>
  <c r="E13" i="10" s="1"/>
  <c r="H11" i="10"/>
  <c r="I11" i="10" s="1"/>
  <c r="D11" i="10"/>
  <c r="E11" i="10" s="1"/>
  <c r="H7" i="10"/>
  <c r="I7" i="10" s="1"/>
  <c r="J7" i="10" l="1"/>
  <c r="J6" i="10" s="1"/>
  <c r="L6" i="10" s="1"/>
  <c r="E9" i="10"/>
  <c r="J9" i="10" s="1"/>
  <c r="J8" i="10" s="1"/>
  <c r="L8" i="10" s="1"/>
  <c r="J13" i="10"/>
  <c r="J15" i="10"/>
  <c r="E17" i="10"/>
  <c r="J17" i="10" s="1"/>
  <c r="E21" i="10"/>
  <c r="J21" i="10" s="1"/>
  <c r="E23" i="10"/>
  <c r="J23" i="10" s="1"/>
  <c r="J11" i="10"/>
  <c r="J10" i="10" s="1"/>
  <c r="L10" i="10" s="1"/>
  <c r="B96" i="6" s="1"/>
  <c r="J14" i="10"/>
  <c r="E18" i="10"/>
  <c r="E20" i="10"/>
  <c r="J20" i="10" s="1"/>
  <c r="E22" i="10"/>
  <c r="J22" i="10" s="1"/>
  <c r="J19" i="10" l="1"/>
  <c r="L19" i="10" s="1"/>
  <c r="J16" i="10"/>
  <c r="L16" i="10" s="1"/>
  <c r="J12" i="10"/>
  <c r="L12" i="10" s="1"/>
  <c r="K29" i="9" l="1"/>
  <c r="H38" i="9" l="1"/>
  <c r="I38" i="9" s="1"/>
  <c r="G36" i="9"/>
  <c r="H36" i="9" s="1"/>
  <c r="I36" i="9" s="1"/>
  <c r="F21" i="9"/>
  <c r="H9" i="9"/>
  <c r="I9" i="9" s="1"/>
  <c r="H7" i="9"/>
  <c r="I7" i="9" s="1"/>
  <c r="G19" i="9"/>
  <c r="H19" i="9" s="1"/>
  <c r="I19" i="9" s="1"/>
  <c r="F19" i="9"/>
  <c r="G17" i="9"/>
  <c r="H17" i="9" s="1"/>
  <c r="I17" i="9" s="1"/>
  <c r="G15" i="9"/>
  <c r="H15" i="9" s="1"/>
  <c r="I15" i="9" s="1"/>
  <c r="F15" i="9"/>
  <c r="G13" i="9"/>
  <c r="H13" i="9" s="1"/>
  <c r="I13" i="9" s="1"/>
  <c r="F13" i="9"/>
  <c r="C19" i="9"/>
  <c r="D19" i="9" s="1"/>
  <c r="E19" i="9" s="1"/>
  <c r="C15" i="9"/>
  <c r="D15" i="9" s="1"/>
  <c r="E15" i="9" s="1"/>
  <c r="C13" i="9"/>
  <c r="D13" i="9" s="1"/>
  <c r="E13" i="9" s="1"/>
  <c r="D42" i="9"/>
  <c r="E42" i="9" s="1"/>
  <c r="H42" i="9"/>
  <c r="I42" i="9" s="1"/>
  <c r="H32" i="9"/>
  <c r="I32" i="9" s="1"/>
  <c r="D32" i="9"/>
  <c r="E32" i="9" s="1"/>
  <c r="H31" i="9"/>
  <c r="I31" i="9" s="1"/>
  <c r="D31" i="9"/>
  <c r="E31" i="9" s="1"/>
  <c r="H30" i="9"/>
  <c r="I30" i="9" s="1"/>
  <c r="D30" i="9"/>
  <c r="E30" i="9" s="1"/>
  <c r="D36" i="9"/>
  <c r="E36" i="9" s="1"/>
  <c r="H35" i="9"/>
  <c r="I35" i="9" s="1"/>
  <c r="D35" i="9"/>
  <c r="E35" i="9" s="1"/>
  <c r="H34" i="9"/>
  <c r="I34" i="9" s="1"/>
  <c r="D34" i="9"/>
  <c r="E34" i="9" s="1"/>
  <c r="H28" i="9"/>
  <c r="I28" i="9" s="1"/>
  <c r="D28" i="9"/>
  <c r="E28" i="9" s="1"/>
  <c r="H27" i="9"/>
  <c r="I27" i="9" s="1"/>
  <c r="D27" i="9"/>
  <c r="E27" i="9" s="1"/>
  <c r="H26" i="9"/>
  <c r="I26" i="9" s="1"/>
  <c r="D26" i="9"/>
  <c r="E26" i="9" s="1"/>
  <c r="D17" i="9"/>
  <c r="E17" i="9" s="1"/>
  <c r="H21" i="9"/>
  <c r="I21" i="9" s="1"/>
  <c r="D21" i="9"/>
  <c r="H41" i="9"/>
  <c r="I41" i="9" s="1"/>
  <c r="D41" i="9"/>
  <c r="H40" i="9"/>
  <c r="I40" i="9" s="1"/>
  <c r="D40" i="9"/>
  <c r="E40" i="9" s="1"/>
  <c r="H39" i="9"/>
  <c r="I39" i="9" s="1"/>
  <c r="D39" i="9"/>
  <c r="D38" i="9"/>
  <c r="E38" i="9" s="1"/>
  <c r="H24" i="9"/>
  <c r="I24" i="9" s="1"/>
  <c r="D24" i="9"/>
  <c r="E24" i="9" s="1"/>
  <c r="H23" i="9"/>
  <c r="I23" i="9" s="1"/>
  <c r="D23" i="9"/>
  <c r="E23" i="9" s="1"/>
  <c r="H11" i="9"/>
  <c r="I11" i="9" s="1"/>
  <c r="D11" i="9"/>
  <c r="E11" i="9" s="1"/>
  <c r="D9" i="9"/>
  <c r="E9" i="9" s="1"/>
  <c r="D7" i="9"/>
  <c r="J15" i="9" l="1"/>
  <c r="J14" i="9" s="1"/>
  <c r="L14" i="9" s="1"/>
  <c r="J9" i="9"/>
  <c r="J8" i="9" s="1"/>
  <c r="L8" i="9" s="1"/>
  <c r="B162" i="6" s="1"/>
  <c r="J13" i="9"/>
  <c r="J12" i="9" s="1"/>
  <c r="L12" i="9" s="1"/>
  <c r="J11" i="9"/>
  <c r="J10" i="9" s="1"/>
  <c r="L10" i="9" s="1"/>
  <c r="B75" i="6" s="1"/>
  <c r="J42" i="9"/>
  <c r="J17" i="9"/>
  <c r="J16" i="9" s="1"/>
  <c r="L16" i="9" s="1"/>
  <c r="J26" i="9"/>
  <c r="J28" i="9"/>
  <c r="J35" i="9"/>
  <c r="J30" i="9"/>
  <c r="J32" i="9"/>
  <c r="J31" i="9"/>
  <c r="J34" i="9"/>
  <c r="J36" i="9"/>
  <c r="J27" i="9"/>
  <c r="E21" i="9"/>
  <c r="J21" i="9" s="1"/>
  <c r="J20" i="9" s="1"/>
  <c r="L20" i="9" s="1"/>
  <c r="B9" i="6" s="1"/>
  <c r="J23" i="9"/>
  <c r="E39" i="9"/>
  <c r="J39" i="9" s="1"/>
  <c r="E41" i="9"/>
  <c r="J41" i="9" s="1"/>
  <c r="J19" i="9"/>
  <c r="J18" i="9" s="1"/>
  <c r="L18" i="9" s="1"/>
  <c r="B137" i="6" s="1"/>
  <c r="J24" i="9"/>
  <c r="J38" i="9"/>
  <c r="J40" i="9"/>
  <c r="E7" i="9"/>
  <c r="J7" i="9" s="1"/>
  <c r="J6" i="9" s="1"/>
  <c r="L6" i="9" s="1"/>
  <c r="K6" i="8"/>
  <c r="K14" i="8"/>
  <c r="J37" i="9" l="1"/>
  <c r="L37" i="9" s="1"/>
  <c r="B77" i="6" s="1"/>
  <c r="J29" i="9"/>
  <c r="J22" i="9"/>
  <c r="L22" i="9" s="1"/>
  <c r="B189" i="6" s="1"/>
  <c r="J33" i="9"/>
  <c r="L33" i="9" s="1"/>
  <c r="B146" i="6" s="1"/>
  <c r="J25" i="9"/>
  <c r="K21" i="8"/>
  <c r="L10" i="8" l="1"/>
  <c r="L29" i="9" l="1"/>
  <c r="L25" i="9"/>
  <c r="K16" i="8"/>
  <c r="H9" i="8" l="1"/>
  <c r="I9" i="8" s="1"/>
  <c r="F7" i="8"/>
  <c r="D7" i="8"/>
  <c r="E7" i="8" s="1"/>
  <c r="H7" i="8"/>
  <c r="I7" i="8" s="1"/>
  <c r="H25" i="8"/>
  <c r="I25" i="8" s="1"/>
  <c r="D25" i="8"/>
  <c r="H24" i="8"/>
  <c r="I24" i="8" s="1"/>
  <c r="D24" i="8"/>
  <c r="H23" i="8"/>
  <c r="I23" i="8" s="1"/>
  <c r="D23" i="8"/>
  <c r="E23" i="8" s="1"/>
  <c r="H22" i="8"/>
  <c r="I22" i="8" s="1"/>
  <c r="D22" i="8"/>
  <c r="E22" i="8" s="1"/>
  <c r="H20" i="8"/>
  <c r="I20" i="8" s="1"/>
  <c r="D20" i="8"/>
  <c r="E20" i="8" s="1"/>
  <c r="H19" i="8"/>
  <c r="I19" i="8" s="1"/>
  <c r="D19" i="8"/>
  <c r="E19" i="8" s="1"/>
  <c r="H17" i="8"/>
  <c r="I17" i="8" s="1"/>
  <c r="D17" i="8"/>
  <c r="E17" i="8" s="1"/>
  <c r="H15" i="8"/>
  <c r="I15" i="8" s="1"/>
  <c r="D15" i="8"/>
  <c r="E15" i="8" s="1"/>
  <c r="H13" i="8"/>
  <c r="I13" i="8" s="1"/>
  <c r="D13" i="8"/>
  <c r="E13" i="8" s="1"/>
  <c r="H11" i="8"/>
  <c r="I11" i="8" s="1"/>
  <c r="D11" i="8"/>
  <c r="D9" i="8"/>
  <c r="E9" i="8" s="1"/>
  <c r="J7" i="8" l="1"/>
  <c r="J6" i="8" s="1"/>
  <c r="L6" i="8" s="1"/>
  <c r="J13" i="8"/>
  <c r="J12" i="8" s="1"/>
  <c r="L12" i="8" s="1"/>
  <c r="B161" i="6" s="1"/>
  <c r="J17" i="8"/>
  <c r="J16" i="8" s="1"/>
  <c r="L16" i="8" s="1"/>
  <c r="J19" i="8"/>
  <c r="J15" i="8"/>
  <c r="J14" i="8" s="1"/>
  <c r="L14" i="8" s="1"/>
  <c r="J22" i="8"/>
  <c r="L8" i="8"/>
  <c r="B53" i="6" s="1"/>
  <c r="E11" i="8"/>
  <c r="E25" i="8"/>
  <c r="J25" i="8" s="1"/>
  <c r="J20" i="8"/>
  <c r="J23" i="8"/>
  <c r="E24" i="8"/>
  <c r="J24" i="8" s="1"/>
  <c r="K24" i="7"/>
  <c r="J18" i="8" l="1"/>
  <c r="L18" i="8" s="1"/>
  <c r="J21" i="8"/>
  <c r="L21" i="8" s="1"/>
  <c r="K20" i="7"/>
  <c r="K34" i="7" l="1"/>
  <c r="K51" i="7" l="1"/>
  <c r="K60" i="7"/>
  <c r="K38" i="7"/>
  <c r="K22" i="7"/>
  <c r="L14" i="7"/>
  <c r="H45" i="7" l="1"/>
  <c r="H39" i="7" l="1"/>
  <c r="G59" i="7"/>
  <c r="G58" i="7"/>
  <c r="G50" i="7"/>
  <c r="G42" i="7"/>
  <c r="G32" i="7"/>
  <c r="G29" i="7"/>
  <c r="G70" i="7"/>
  <c r="F69" i="7"/>
  <c r="F49" i="7"/>
  <c r="G47" i="7"/>
  <c r="G43" i="7"/>
  <c r="F41" i="7"/>
  <c r="G33" i="7"/>
  <c r="F28" i="7"/>
  <c r="C70" i="7"/>
  <c r="D70" i="7" s="1"/>
  <c r="C59" i="7"/>
  <c r="C50" i="7"/>
  <c r="C47" i="7"/>
  <c r="C43" i="7"/>
  <c r="C42" i="7"/>
  <c r="C33" i="7"/>
  <c r="C32" i="7"/>
  <c r="C29" i="7"/>
  <c r="D29" i="7" s="1"/>
  <c r="D64" i="7"/>
  <c r="E64" i="7" s="1"/>
  <c r="H64" i="7"/>
  <c r="I64" i="7" s="1"/>
  <c r="D65" i="7"/>
  <c r="E65" i="7" s="1"/>
  <c r="H65" i="7"/>
  <c r="I65" i="7" s="1"/>
  <c r="D66" i="7"/>
  <c r="E66" i="7" s="1"/>
  <c r="H66" i="7"/>
  <c r="I66" i="7" s="1"/>
  <c r="D67" i="7"/>
  <c r="E67" i="7" s="1"/>
  <c r="H67" i="7"/>
  <c r="I67" i="7" s="1"/>
  <c r="D68" i="7"/>
  <c r="E68" i="7" s="1"/>
  <c r="H68" i="7"/>
  <c r="I68" i="7" s="1"/>
  <c r="J67" i="7" l="1"/>
  <c r="J65" i="7"/>
  <c r="J68" i="7"/>
  <c r="J66" i="7"/>
  <c r="J64" i="7"/>
  <c r="H11" i="7"/>
  <c r="H15" i="7"/>
  <c r="H19" i="7"/>
  <c r="H21" i="7"/>
  <c r="H23" i="7"/>
  <c r="I23" i="7" s="1"/>
  <c r="H25" i="7"/>
  <c r="H26" i="7"/>
  <c r="H31" i="7"/>
  <c r="H32" i="7"/>
  <c r="H33" i="7"/>
  <c r="H28" i="7"/>
  <c r="H29" i="7"/>
  <c r="H35" i="7"/>
  <c r="H36" i="7"/>
  <c r="H37" i="7"/>
  <c r="H40" i="7"/>
  <c r="H41" i="7"/>
  <c r="H42" i="7"/>
  <c r="H43" i="7"/>
  <c r="H46" i="7"/>
  <c r="H47" i="7"/>
  <c r="H49" i="7"/>
  <c r="H50" i="7"/>
  <c r="H52" i="7"/>
  <c r="H53" i="7"/>
  <c r="H54" i="7"/>
  <c r="H56" i="7"/>
  <c r="H57" i="7"/>
  <c r="H58" i="7"/>
  <c r="H59" i="7"/>
  <c r="H61" i="7"/>
  <c r="H62" i="7"/>
  <c r="H63" i="7"/>
  <c r="H69" i="7"/>
  <c r="H70" i="7"/>
  <c r="I70" i="7" s="1"/>
  <c r="G17" i="7"/>
  <c r="H17" i="7" s="1"/>
  <c r="G13" i="7"/>
  <c r="H13" i="7" s="1"/>
  <c r="G9" i="7"/>
  <c r="H9" i="7" s="1"/>
  <c r="F15" i="7"/>
  <c r="C13" i="7"/>
  <c r="C9" i="7"/>
  <c r="D23" i="7"/>
  <c r="E23" i="7" s="1"/>
  <c r="I9" i="7" l="1"/>
  <c r="J23" i="7"/>
  <c r="I69" i="7"/>
  <c r="D69" i="7"/>
  <c r="I63" i="7"/>
  <c r="D63" i="7"/>
  <c r="I62" i="7"/>
  <c r="D62" i="7"/>
  <c r="I61" i="7"/>
  <c r="D61" i="7"/>
  <c r="I59" i="7"/>
  <c r="D59" i="7"/>
  <c r="E59" i="7" s="1"/>
  <c r="I58" i="7"/>
  <c r="D58" i="7"/>
  <c r="E58" i="7" s="1"/>
  <c r="I57" i="7"/>
  <c r="D57" i="7"/>
  <c r="E57" i="7" s="1"/>
  <c r="I56" i="7"/>
  <c r="D56" i="7"/>
  <c r="I54" i="7"/>
  <c r="D54" i="7"/>
  <c r="E54" i="7" s="1"/>
  <c r="I53" i="7"/>
  <c r="D53" i="7"/>
  <c r="E53" i="7" s="1"/>
  <c r="I52" i="7"/>
  <c r="D52" i="7"/>
  <c r="E52" i="7" s="1"/>
  <c r="I50" i="7"/>
  <c r="D50" i="7"/>
  <c r="I49" i="7"/>
  <c r="D49" i="7"/>
  <c r="E49" i="7" s="1"/>
  <c r="I47" i="7"/>
  <c r="D47" i="7"/>
  <c r="E47" i="7" s="1"/>
  <c r="I46" i="7"/>
  <c r="D46" i="7"/>
  <c r="E46" i="7" s="1"/>
  <c r="I45" i="7"/>
  <c r="D45" i="7"/>
  <c r="I43" i="7"/>
  <c r="D43" i="7"/>
  <c r="E43" i="7" s="1"/>
  <c r="I42" i="7"/>
  <c r="D42" i="7"/>
  <c r="E42" i="7" s="1"/>
  <c r="I41" i="7"/>
  <c r="D41" i="7"/>
  <c r="E41" i="7" s="1"/>
  <c r="I40" i="7"/>
  <c r="D40" i="7"/>
  <c r="E40" i="7" s="1"/>
  <c r="I39" i="7"/>
  <c r="D39" i="7"/>
  <c r="E39" i="7" s="1"/>
  <c r="I37" i="7"/>
  <c r="D37" i="7"/>
  <c r="E37" i="7" s="1"/>
  <c r="I36" i="7"/>
  <c r="D36" i="7"/>
  <c r="E36" i="7" s="1"/>
  <c r="I35" i="7"/>
  <c r="D35" i="7"/>
  <c r="E35" i="7" s="1"/>
  <c r="I29" i="7"/>
  <c r="I28" i="7"/>
  <c r="D28" i="7"/>
  <c r="I33" i="7"/>
  <c r="D33" i="7"/>
  <c r="I32" i="7"/>
  <c r="D32" i="7"/>
  <c r="I31" i="7"/>
  <c r="D31" i="7"/>
  <c r="I26" i="7"/>
  <c r="D26" i="7"/>
  <c r="I25" i="7"/>
  <c r="D25" i="7"/>
  <c r="I21" i="7"/>
  <c r="D21" i="7"/>
  <c r="I19" i="7"/>
  <c r="D19" i="7"/>
  <c r="E19" i="7" s="1"/>
  <c r="I17" i="7"/>
  <c r="D17" i="7"/>
  <c r="E17" i="7" s="1"/>
  <c r="I15" i="7"/>
  <c r="D15" i="7"/>
  <c r="I13" i="7"/>
  <c r="D13" i="7"/>
  <c r="I11" i="7"/>
  <c r="D11" i="7"/>
  <c r="D9" i="7"/>
  <c r="E9" i="7" s="1"/>
  <c r="E61" i="7" l="1"/>
  <c r="J61" i="7" s="1"/>
  <c r="J9" i="7"/>
  <c r="J8" i="7" s="1"/>
  <c r="L8" i="7" s="1"/>
  <c r="B67" i="6" s="1"/>
  <c r="J47" i="7"/>
  <c r="J35" i="7"/>
  <c r="E32" i="7"/>
  <c r="J32" i="7" s="1"/>
  <c r="E45" i="7"/>
  <c r="J45" i="7" s="1"/>
  <c r="E11" i="7"/>
  <c r="J11" i="7" s="1"/>
  <c r="J10" i="7" s="1"/>
  <c r="L10" i="7" s="1"/>
  <c r="J22" i="7"/>
  <c r="L22" i="7" s="1"/>
  <c r="E15" i="7"/>
  <c r="J15" i="7" s="1"/>
  <c r="J17" i="7"/>
  <c r="J16" i="7" s="1"/>
  <c r="L16" i="7" s="1"/>
  <c r="B208" i="6" s="1"/>
  <c r="J19" i="7"/>
  <c r="J18" i="7" s="1"/>
  <c r="L18" i="7" s="1"/>
  <c r="J36" i="7"/>
  <c r="J37" i="7"/>
  <c r="J39" i="7"/>
  <c r="J42" i="7"/>
  <c r="J43" i="7"/>
  <c r="J46" i="7"/>
  <c r="J54" i="7"/>
  <c r="J58" i="7"/>
  <c r="E13" i="7"/>
  <c r="J13" i="7" s="1"/>
  <c r="J12" i="7" s="1"/>
  <c r="L12" i="7" s="1"/>
  <c r="B18" i="6" s="1"/>
  <c r="E21" i="7"/>
  <c r="J21" i="7" s="1"/>
  <c r="J20" i="7" s="1"/>
  <c r="L20" i="7" s="1"/>
  <c r="B25" i="6" s="1"/>
  <c r="E25" i="7"/>
  <c r="J25" i="7" s="1"/>
  <c r="E26" i="7"/>
  <c r="J26" i="7" s="1"/>
  <c r="E31" i="7"/>
  <c r="J31" i="7" s="1"/>
  <c r="E33" i="7"/>
  <c r="J33" i="7" s="1"/>
  <c r="E28" i="7"/>
  <c r="E29" i="7"/>
  <c r="J29" i="7" s="1"/>
  <c r="J40" i="7"/>
  <c r="J41" i="7"/>
  <c r="J49" i="7"/>
  <c r="J52" i="7"/>
  <c r="J53" i="7"/>
  <c r="E56" i="7"/>
  <c r="J56" i="7" s="1"/>
  <c r="J59" i="7"/>
  <c r="E50" i="7"/>
  <c r="J50" i="7" s="1"/>
  <c r="J57" i="7"/>
  <c r="E62" i="7"/>
  <c r="J62" i="7" s="1"/>
  <c r="E63" i="7"/>
  <c r="J63" i="7" s="1"/>
  <c r="E69" i="7"/>
  <c r="J69" i="7" s="1"/>
  <c r="E70" i="7"/>
  <c r="J70" i="7" s="1"/>
  <c r="C42" i="5"/>
  <c r="G26" i="5"/>
  <c r="H26" i="5" s="1"/>
  <c r="I26" i="5" s="1"/>
  <c r="C26" i="5"/>
  <c r="D26" i="5" s="1"/>
  <c r="J55" i="7" l="1"/>
  <c r="L55" i="7" s="1"/>
  <c r="J51" i="7"/>
  <c r="L51" i="7" s="1"/>
  <c r="J48" i="7"/>
  <c r="L48" i="7" s="1"/>
  <c r="J38" i="7"/>
  <c r="L38" i="7" s="1"/>
  <c r="B104" i="6" s="1"/>
  <c r="J44" i="7"/>
  <c r="L44" i="7" s="1"/>
  <c r="J60" i="7"/>
  <c r="L60" i="7" s="1"/>
  <c r="J34" i="7"/>
  <c r="L34" i="7" s="1"/>
  <c r="J27" i="7"/>
  <c r="L27" i="7" s="1"/>
  <c r="J30" i="7"/>
  <c r="L30" i="7" s="1"/>
  <c r="J24" i="7"/>
  <c r="L24" i="7" s="1"/>
  <c r="E26" i="5"/>
  <c r="J26" i="5" s="1"/>
  <c r="F46" i="5"/>
  <c r="F83" i="5"/>
  <c r="G11" i="5"/>
  <c r="H11" i="5" s="1"/>
  <c r="I11" i="5" s="1"/>
  <c r="F11" i="5"/>
  <c r="C11" i="5"/>
  <c r="D11" i="5" s="1"/>
  <c r="G9" i="5"/>
  <c r="H9" i="5" s="1"/>
  <c r="I9" i="5" s="1"/>
  <c r="F9" i="5"/>
  <c r="C9" i="5"/>
  <c r="D9" i="5" s="1"/>
  <c r="C81" i="5"/>
  <c r="D81" i="5" s="1"/>
  <c r="H81" i="5"/>
  <c r="I81" i="5" s="1"/>
  <c r="G13" i="5"/>
  <c r="H13" i="5" s="1"/>
  <c r="I13" i="5" s="1"/>
  <c r="C13" i="5"/>
  <c r="D13" i="5" s="1"/>
  <c r="G15" i="5"/>
  <c r="H15" i="5" s="1"/>
  <c r="I15" i="5" s="1"/>
  <c r="C15" i="5"/>
  <c r="D15" i="5" s="1"/>
  <c r="G17" i="5"/>
  <c r="H17" i="5" s="1"/>
  <c r="I17" i="5" s="1"/>
  <c r="C17" i="5"/>
  <c r="D17" i="5" s="1"/>
  <c r="E17" i="5" s="1"/>
  <c r="H19" i="5"/>
  <c r="I19" i="5" s="1"/>
  <c r="C19" i="5"/>
  <c r="D19" i="5" s="1"/>
  <c r="E19" i="5" s="1"/>
  <c r="H21" i="5"/>
  <c r="I21" i="5" s="1"/>
  <c r="C21" i="5"/>
  <c r="D21" i="5" s="1"/>
  <c r="E21" i="5" s="1"/>
  <c r="H24" i="5"/>
  <c r="I24" i="5" s="1"/>
  <c r="C24" i="5"/>
  <c r="D24" i="5" s="1"/>
  <c r="E24" i="5" s="1"/>
  <c r="G23" i="5"/>
  <c r="H23" i="5" s="1"/>
  <c r="I23" i="5" s="1"/>
  <c r="C23" i="5"/>
  <c r="D23" i="5" s="1"/>
  <c r="H90" i="5"/>
  <c r="I90" i="5" s="1"/>
  <c r="C90" i="5"/>
  <c r="D90" i="5" s="1"/>
  <c r="E90" i="5" s="1"/>
  <c r="C74" i="5"/>
  <c r="D74" i="5" s="1"/>
  <c r="E74" i="5" s="1"/>
  <c r="C95" i="5"/>
  <c r="D95" i="5" s="1"/>
  <c r="E95" i="5" s="1"/>
  <c r="G74" i="5"/>
  <c r="H74" i="5" s="1"/>
  <c r="I74" i="5" s="1"/>
  <c r="F74" i="5"/>
  <c r="G94" i="5"/>
  <c r="H94" i="5" s="1"/>
  <c r="I94" i="5" s="1"/>
  <c r="F94" i="5"/>
  <c r="C94" i="5"/>
  <c r="D94" i="5" s="1"/>
  <c r="E94" i="5" s="1"/>
  <c r="H28" i="5"/>
  <c r="I28" i="5" s="1"/>
  <c r="C28" i="5"/>
  <c r="D28" i="5" s="1"/>
  <c r="E28" i="5" s="1"/>
  <c r="H30" i="5"/>
  <c r="I30" i="5" s="1"/>
  <c r="C30" i="5"/>
  <c r="D30" i="5" s="1"/>
  <c r="E30" i="5" s="1"/>
  <c r="G29" i="5"/>
  <c r="H29" i="5" s="1"/>
  <c r="I29" i="5" s="1"/>
  <c r="C29" i="5"/>
  <c r="D29" i="5" s="1"/>
  <c r="G52" i="5"/>
  <c r="H52" i="5" s="1"/>
  <c r="I52" i="5" s="1"/>
  <c r="F52" i="5"/>
  <c r="C52" i="5"/>
  <c r="D52" i="5" s="1"/>
  <c r="E52" i="5" s="1"/>
  <c r="H76" i="5"/>
  <c r="I76" i="5" s="1"/>
  <c r="C76" i="5"/>
  <c r="D76" i="5" s="1"/>
  <c r="E76" i="5" s="1"/>
  <c r="G75" i="5"/>
  <c r="H75" i="5" s="1"/>
  <c r="I75" i="5" s="1"/>
  <c r="C75" i="5"/>
  <c r="D75" i="5" s="1"/>
  <c r="G53" i="5"/>
  <c r="H53" i="5" s="1"/>
  <c r="I53" i="5" s="1"/>
  <c r="C53" i="5"/>
  <c r="D53" i="5" s="1"/>
  <c r="E53" i="5" s="1"/>
  <c r="G96" i="5"/>
  <c r="H96" i="5" s="1"/>
  <c r="I96" i="5" s="1"/>
  <c r="F96" i="5"/>
  <c r="C96" i="5"/>
  <c r="D96" i="5" s="1"/>
  <c r="E96" i="5" s="1"/>
  <c r="H95" i="5"/>
  <c r="I95" i="5" s="1"/>
  <c r="H93" i="5"/>
  <c r="I93" i="5" s="1"/>
  <c r="C93" i="5"/>
  <c r="D93" i="5" s="1"/>
  <c r="H34" i="5"/>
  <c r="H35" i="5"/>
  <c r="H36" i="5"/>
  <c r="I36" i="5" s="1"/>
  <c r="H37" i="5"/>
  <c r="I37" i="5" s="1"/>
  <c r="H38" i="5"/>
  <c r="I38" i="5" s="1"/>
  <c r="H39" i="5"/>
  <c r="I39" i="5" s="1"/>
  <c r="C39" i="5"/>
  <c r="D39" i="5" s="1"/>
  <c r="E39" i="5" s="1"/>
  <c r="H41" i="5"/>
  <c r="I41" i="5" s="1"/>
  <c r="D36" i="5"/>
  <c r="D37" i="5"/>
  <c r="D38" i="5"/>
  <c r="H43" i="5"/>
  <c r="F43" i="5"/>
  <c r="G42" i="5"/>
  <c r="H42" i="5" s="1"/>
  <c r="I42" i="5" s="1"/>
  <c r="D42" i="5"/>
  <c r="E42" i="5" s="1"/>
  <c r="C48" i="5"/>
  <c r="D48" i="5" s="1"/>
  <c r="H48" i="5"/>
  <c r="I48" i="5" s="1"/>
  <c r="H47" i="5"/>
  <c r="I47" i="5" s="1"/>
  <c r="C47" i="5"/>
  <c r="D47" i="5" s="1"/>
  <c r="E47" i="5" s="1"/>
  <c r="H54" i="5"/>
  <c r="I54" i="5" s="1"/>
  <c r="C54" i="5"/>
  <c r="D54" i="5" s="1"/>
  <c r="D51" i="5"/>
  <c r="E51" i="5" s="1"/>
  <c r="F58" i="5"/>
  <c r="F62" i="5"/>
  <c r="G61" i="5"/>
  <c r="H61" i="5" s="1"/>
  <c r="I61" i="5" s="1"/>
  <c r="F61" i="5"/>
  <c r="C61" i="5"/>
  <c r="D61" i="5" s="1"/>
  <c r="H69" i="5"/>
  <c r="I69" i="5" s="1"/>
  <c r="G68" i="5"/>
  <c r="H68" i="5" s="1"/>
  <c r="I68" i="5" s="1"/>
  <c r="C68" i="5"/>
  <c r="D68" i="5" s="1"/>
  <c r="C69" i="5"/>
  <c r="D69" i="5" s="1"/>
  <c r="G80" i="5"/>
  <c r="H80" i="5" s="1"/>
  <c r="I80" i="5" s="1"/>
  <c r="F80" i="5"/>
  <c r="G79" i="5"/>
  <c r="C80" i="5"/>
  <c r="D80" i="5" s="1"/>
  <c r="E80" i="5" s="1"/>
  <c r="C79" i="5"/>
  <c r="D82" i="5"/>
  <c r="E82" i="5" s="1"/>
  <c r="H82" i="5"/>
  <c r="I82" i="5" s="1"/>
  <c r="D83" i="5"/>
  <c r="E83" i="5" s="1"/>
  <c r="H83" i="5"/>
  <c r="I83" i="5" s="1"/>
  <c r="H87" i="5"/>
  <c r="H92" i="5"/>
  <c r="H98" i="5"/>
  <c r="C92" i="5"/>
  <c r="E9" i="5" l="1"/>
  <c r="J9" i="5" s="1"/>
  <c r="E11" i="5"/>
  <c r="J11" i="5" s="1"/>
  <c r="E81" i="5"/>
  <c r="J81" i="5" s="1"/>
  <c r="J28" i="5"/>
  <c r="E13" i="5"/>
  <c r="J13" i="5" s="1"/>
  <c r="E15" i="5"/>
  <c r="J15" i="5" s="1"/>
  <c r="J14" i="5" s="1"/>
  <c r="J17" i="5"/>
  <c r="J19" i="5"/>
  <c r="J21" i="5"/>
  <c r="J20" i="5" s="1"/>
  <c r="E23" i="5"/>
  <c r="J23" i="5" s="1"/>
  <c r="J24" i="5"/>
  <c r="J90" i="5"/>
  <c r="J74" i="5"/>
  <c r="J94" i="5"/>
  <c r="E29" i="5"/>
  <c r="J29" i="5" s="1"/>
  <c r="J30" i="5"/>
  <c r="J52" i="5"/>
  <c r="E75" i="5"/>
  <c r="J75" i="5" s="1"/>
  <c r="J76" i="5"/>
  <c r="J53" i="5"/>
  <c r="J96" i="5"/>
  <c r="J95" i="5"/>
  <c r="E93" i="5"/>
  <c r="J93" i="5" s="1"/>
  <c r="J39" i="5"/>
  <c r="E38" i="5"/>
  <c r="J38" i="5" s="1"/>
  <c r="E37" i="5"/>
  <c r="J37" i="5" s="1"/>
  <c r="E36" i="5"/>
  <c r="J36" i="5" s="1"/>
  <c r="J42" i="5"/>
  <c r="E48" i="5"/>
  <c r="J48" i="5" s="1"/>
  <c r="J47" i="5"/>
  <c r="E54" i="5"/>
  <c r="J54" i="5" s="1"/>
  <c r="E61" i="5"/>
  <c r="J61" i="5" s="1"/>
  <c r="J83" i="5"/>
  <c r="E69" i="5"/>
  <c r="J69" i="5" s="1"/>
  <c r="E68" i="5"/>
  <c r="J68" i="5" s="1"/>
  <c r="J80" i="5"/>
  <c r="J82" i="5"/>
  <c r="J22" i="5" l="1"/>
  <c r="L22" i="5" s="1"/>
  <c r="J27" i="5"/>
  <c r="J67" i="5"/>
  <c r="F101" i="5" l="1"/>
  <c r="D101" i="5"/>
  <c r="E101" i="5" s="1"/>
  <c r="D92" i="5"/>
  <c r="E92" i="5" s="1"/>
  <c r="D87" i="5"/>
  <c r="E87" i="5" s="1"/>
  <c r="D85" i="5"/>
  <c r="E85" i="5" s="1"/>
  <c r="H85" i="5"/>
  <c r="D79" i="5"/>
  <c r="E79" i="5" s="1"/>
  <c r="D78" i="5"/>
  <c r="E78" i="5" s="1"/>
  <c r="D64" i="5"/>
  <c r="E64" i="5" s="1"/>
  <c r="D63" i="5"/>
  <c r="E63" i="5" s="1"/>
  <c r="D62" i="5"/>
  <c r="E62" i="5" s="1"/>
  <c r="D59" i="5"/>
  <c r="E59" i="5" s="1"/>
  <c r="D58" i="5"/>
  <c r="E58" i="5" s="1"/>
  <c r="D57" i="5"/>
  <c r="E57" i="5" s="1"/>
  <c r="D56" i="5"/>
  <c r="E56" i="5" s="1"/>
  <c r="D50" i="5"/>
  <c r="E50" i="5" s="1"/>
  <c r="H51" i="5"/>
  <c r="D46" i="5"/>
  <c r="E46" i="5" s="1"/>
  <c r="D45" i="5"/>
  <c r="E45" i="5" s="1"/>
  <c r="D43" i="5"/>
  <c r="E43" i="5" s="1"/>
  <c r="D41" i="5"/>
  <c r="E41" i="5" s="1"/>
  <c r="D35" i="5"/>
  <c r="E35" i="5" s="1"/>
  <c r="D34" i="5"/>
  <c r="E34" i="5" s="1"/>
  <c r="D32" i="5"/>
  <c r="E32" i="5" s="1"/>
  <c r="H101" i="5" l="1"/>
  <c r="I101" i="5" s="1"/>
  <c r="H89" i="5"/>
  <c r="I89" i="5" s="1"/>
  <c r="D89" i="5"/>
  <c r="H99" i="5"/>
  <c r="I99" i="5" s="1"/>
  <c r="D99" i="5"/>
  <c r="I98" i="5"/>
  <c r="D98" i="5"/>
  <c r="I87" i="5"/>
  <c r="I85" i="5"/>
  <c r="H73" i="5"/>
  <c r="I73" i="5" s="1"/>
  <c r="D73" i="5"/>
  <c r="H71" i="5"/>
  <c r="I71" i="5" s="1"/>
  <c r="D71" i="5"/>
  <c r="H79" i="5"/>
  <c r="I79" i="5" s="1"/>
  <c r="H78" i="5"/>
  <c r="I78" i="5" s="1"/>
  <c r="J78" i="5" s="1"/>
  <c r="H66" i="5"/>
  <c r="I66" i="5" s="1"/>
  <c r="D66" i="5"/>
  <c r="E66" i="5" s="1"/>
  <c r="H64" i="5"/>
  <c r="I64" i="5" s="1"/>
  <c r="J64" i="5" s="1"/>
  <c r="H63" i="5"/>
  <c r="I63" i="5" s="1"/>
  <c r="H62" i="5"/>
  <c r="I62" i="5" s="1"/>
  <c r="J62" i="5" s="1"/>
  <c r="H59" i="5"/>
  <c r="I59" i="5" s="1"/>
  <c r="H58" i="5"/>
  <c r="I58" i="5" s="1"/>
  <c r="H57" i="5"/>
  <c r="I57" i="5" s="1"/>
  <c r="H56" i="5"/>
  <c r="I56" i="5" s="1"/>
  <c r="J56" i="5" s="1"/>
  <c r="I51" i="5"/>
  <c r="H50" i="5"/>
  <c r="I50" i="5" s="1"/>
  <c r="H46" i="5"/>
  <c r="I46" i="5" s="1"/>
  <c r="H45" i="5"/>
  <c r="I45" i="5" s="1"/>
  <c r="I43" i="5"/>
  <c r="J41" i="5"/>
  <c r="I35" i="5"/>
  <c r="I34" i="5"/>
  <c r="H32" i="5"/>
  <c r="I32" i="5" s="1"/>
  <c r="J43" i="5" l="1"/>
  <c r="L67" i="5"/>
  <c r="B175" i="6" s="1"/>
  <c r="J85" i="5"/>
  <c r="J84" i="5" s="1"/>
  <c r="L84" i="5" s="1"/>
  <c r="B76" i="6" s="1"/>
  <c r="J46" i="5"/>
  <c r="J50" i="5"/>
  <c r="J18" i="5"/>
  <c r="L18" i="5" s="1"/>
  <c r="B215" i="6" s="1"/>
  <c r="J34" i="5"/>
  <c r="J35" i="5"/>
  <c r="J79" i="5"/>
  <c r="J77" i="5" s="1"/>
  <c r="L77" i="5" s="1"/>
  <c r="J58" i="5"/>
  <c r="J66" i="5"/>
  <c r="J10" i="5"/>
  <c r="L10" i="5" s="1"/>
  <c r="J87" i="5"/>
  <c r="J86" i="5" s="1"/>
  <c r="L86" i="5" s="1"/>
  <c r="J57" i="5"/>
  <c r="J101" i="5"/>
  <c r="J100" i="5" s="1"/>
  <c r="L100" i="5" s="1"/>
  <c r="B120" i="6" s="1"/>
  <c r="J25" i="5"/>
  <c r="L25" i="5" s="1"/>
  <c r="B7" i="6" s="1"/>
  <c r="E98" i="5"/>
  <c r="J98" i="5" s="1"/>
  <c r="J63" i="5"/>
  <c r="J60" i="5" s="1"/>
  <c r="J12" i="5"/>
  <c r="L12" i="5" s="1"/>
  <c r="B90" i="6" s="1"/>
  <c r="J16" i="5"/>
  <c r="L16" i="5" s="1"/>
  <c r="J59" i="5"/>
  <c r="J8" i="5"/>
  <c r="L8" i="5" s="1"/>
  <c r="J45" i="5"/>
  <c r="J51" i="5"/>
  <c r="E71" i="5"/>
  <c r="J71" i="5" s="1"/>
  <c r="J70" i="5" s="1"/>
  <c r="L70" i="5" s="1"/>
  <c r="E73" i="5"/>
  <c r="J73" i="5" s="1"/>
  <c r="E99" i="5"/>
  <c r="J99" i="5" s="1"/>
  <c r="E89" i="5"/>
  <c r="J89" i="5" s="1"/>
  <c r="I92" i="5"/>
  <c r="J92" i="5" s="1"/>
  <c r="J32" i="5"/>
  <c r="J31" i="5" s="1"/>
  <c r="K10" i="3"/>
  <c r="J88" i="5" l="1"/>
  <c r="L88" i="5" s="1"/>
  <c r="J33" i="5"/>
  <c r="L33" i="5" s="1"/>
  <c r="J72" i="5"/>
  <c r="L72" i="5" s="1"/>
  <c r="J49" i="5"/>
  <c r="L49" i="5" s="1"/>
  <c r="B16" i="6" s="1"/>
  <c r="J91" i="5"/>
  <c r="L91" i="5" s="1"/>
  <c r="J55" i="5"/>
  <c r="L55" i="5" s="1"/>
  <c r="J40" i="5"/>
  <c r="L40" i="5" s="1"/>
  <c r="B98" i="6" s="1"/>
  <c r="L31" i="5"/>
  <c r="J65" i="5"/>
  <c r="L65" i="5" s="1"/>
  <c r="L20" i="5"/>
  <c r="L27" i="5"/>
  <c r="B145" i="6" s="1"/>
  <c r="J44" i="5"/>
  <c r="L44" i="5" s="1"/>
  <c r="L14" i="5"/>
  <c r="L60" i="5"/>
  <c r="J97" i="5"/>
  <c r="K51" i="3"/>
  <c r="K15" i="3"/>
  <c r="K61" i="3"/>
  <c r="L97" i="5" l="1"/>
  <c r="B199" i="6" s="1"/>
  <c r="K20" i="4"/>
  <c r="K41" i="4"/>
  <c r="H99" i="4" l="1"/>
  <c r="I99" i="4" s="1"/>
  <c r="F99" i="4"/>
  <c r="D99" i="4"/>
  <c r="E99" i="4" l="1"/>
  <c r="J99" i="4" s="1"/>
  <c r="J98" i="4" s="1"/>
  <c r="L98" i="4" s="1"/>
  <c r="B127" i="6" s="1"/>
  <c r="K96" i="4" l="1"/>
  <c r="H93" i="4" l="1"/>
  <c r="C29" i="4" l="1"/>
  <c r="C36" i="4"/>
  <c r="C37" i="4"/>
  <c r="C38" i="4"/>
  <c r="C35" i="4"/>
  <c r="C32" i="4"/>
  <c r="C31" i="4"/>
  <c r="H75" i="4"/>
  <c r="I75" i="4" s="1"/>
  <c r="D75" i="4"/>
  <c r="E75" i="4" s="1"/>
  <c r="H73" i="4"/>
  <c r="I73" i="4" s="1"/>
  <c r="D73" i="4"/>
  <c r="E73" i="4" s="1"/>
  <c r="H40" i="4"/>
  <c r="I40" i="4" s="1"/>
  <c r="D40" i="4"/>
  <c r="E40" i="4" s="1"/>
  <c r="H77" i="4"/>
  <c r="I77" i="4" s="1"/>
  <c r="D77" i="4"/>
  <c r="E77" i="4" s="1"/>
  <c r="H79" i="4"/>
  <c r="I79" i="4" s="1"/>
  <c r="D79" i="4"/>
  <c r="E79" i="4" s="1"/>
  <c r="H11" i="4"/>
  <c r="I11" i="4" s="1"/>
  <c r="D11" i="4"/>
  <c r="E11" i="4" s="1"/>
  <c r="H10" i="4"/>
  <c r="I10" i="4" s="1"/>
  <c r="D10" i="4"/>
  <c r="E10" i="4" s="1"/>
  <c r="H9" i="4"/>
  <c r="I9" i="4" s="1"/>
  <c r="D9" i="4"/>
  <c r="H81" i="4"/>
  <c r="I81" i="4" s="1"/>
  <c r="D81" i="4"/>
  <c r="E81" i="4" s="1"/>
  <c r="H83" i="4"/>
  <c r="I83" i="4" s="1"/>
  <c r="D83" i="4"/>
  <c r="E83" i="4" s="1"/>
  <c r="H14" i="4"/>
  <c r="I14" i="4" s="1"/>
  <c r="D14" i="4"/>
  <c r="E14" i="4" s="1"/>
  <c r="H13" i="4"/>
  <c r="I13" i="4" s="1"/>
  <c r="D13" i="4"/>
  <c r="E13" i="4" s="1"/>
  <c r="H46" i="4"/>
  <c r="I46" i="4" s="1"/>
  <c r="D46" i="4"/>
  <c r="E46" i="4" s="1"/>
  <c r="H45" i="4"/>
  <c r="I45" i="4" s="1"/>
  <c r="D45" i="4"/>
  <c r="E45" i="4" s="1"/>
  <c r="H17" i="4"/>
  <c r="I17" i="4" s="1"/>
  <c r="D17" i="4"/>
  <c r="E17" i="4" s="1"/>
  <c r="H16" i="4"/>
  <c r="I16" i="4" s="1"/>
  <c r="D16" i="4"/>
  <c r="E16" i="4" s="1"/>
  <c r="H56" i="4"/>
  <c r="I56" i="4" s="1"/>
  <c r="D56" i="4"/>
  <c r="E56" i="4" s="1"/>
  <c r="H55" i="4"/>
  <c r="I55" i="4" s="1"/>
  <c r="D55" i="4"/>
  <c r="I27" i="4"/>
  <c r="I28" i="4"/>
  <c r="I29" i="4"/>
  <c r="I31" i="4"/>
  <c r="I32" i="4"/>
  <c r="I85" i="4"/>
  <c r="E29" i="4"/>
  <c r="E31" i="4"/>
  <c r="E32" i="4"/>
  <c r="E35" i="4"/>
  <c r="E36" i="4"/>
  <c r="E37" i="4"/>
  <c r="E38" i="4"/>
  <c r="E39" i="4"/>
  <c r="E42" i="4"/>
  <c r="E48" i="4"/>
  <c r="E53" i="4"/>
  <c r="E54" i="4"/>
  <c r="E58" i="4"/>
  <c r="E59" i="4"/>
  <c r="E61" i="4"/>
  <c r="E62" i="4"/>
  <c r="E68" i="4"/>
  <c r="E85" i="4"/>
  <c r="E25" i="4"/>
  <c r="E91" i="4"/>
  <c r="H22" i="4"/>
  <c r="I22" i="4" s="1"/>
  <c r="D22" i="4"/>
  <c r="E22" i="4" s="1"/>
  <c r="H21" i="4"/>
  <c r="I21" i="4" s="1"/>
  <c r="D21" i="4"/>
  <c r="H70" i="4"/>
  <c r="I70" i="4" s="1"/>
  <c r="D70" i="4"/>
  <c r="E70" i="4" s="1"/>
  <c r="H69" i="4"/>
  <c r="I69" i="4" s="1"/>
  <c r="D69" i="4"/>
  <c r="E69" i="4" s="1"/>
  <c r="C42" i="4"/>
  <c r="C54" i="4"/>
  <c r="C53" i="4"/>
  <c r="C48" i="4"/>
  <c r="D51" i="4"/>
  <c r="E51" i="4" s="1"/>
  <c r="H64" i="4"/>
  <c r="I64" i="4" s="1"/>
  <c r="H65" i="4"/>
  <c r="I65" i="4" s="1"/>
  <c r="H66" i="4"/>
  <c r="I66" i="4" s="1"/>
  <c r="D65" i="4"/>
  <c r="E65" i="4" s="1"/>
  <c r="D66" i="4"/>
  <c r="E66" i="4" s="1"/>
  <c r="D64" i="4"/>
  <c r="E64" i="4" s="1"/>
  <c r="G85" i="4"/>
  <c r="F68" i="4"/>
  <c r="F39" i="4"/>
  <c r="H61" i="4"/>
  <c r="I61" i="4" s="1"/>
  <c r="H62" i="4"/>
  <c r="I62" i="4" s="1"/>
  <c r="C62" i="4"/>
  <c r="C61" i="4"/>
  <c r="C59" i="4"/>
  <c r="C85" i="4"/>
  <c r="H97" i="4"/>
  <c r="I97" i="4" s="1"/>
  <c r="F97" i="4"/>
  <c r="D97" i="4"/>
  <c r="E97" i="4" s="1"/>
  <c r="H19" i="4"/>
  <c r="I19" i="4" s="1"/>
  <c r="C19" i="4"/>
  <c r="D19" i="4" s="1"/>
  <c r="E19" i="4" s="1"/>
  <c r="H95" i="4"/>
  <c r="I95" i="4" s="1"/>
  <c r="C95" i="4"/>
  <c r="D95" i="4" s="1"/>
  <c r="E95" i="4" s="1"/>
  <c r="H72" i="4"/>
  <c r="I72" i="4" s="1"/>
  <c r="C72" i="4"/>
  <c r="D72" i="4" s="1"/>
  <c r="E72" i="4" s="1"/>
  <c r="I93" i="4"/>
  <c r="C93" i="4"/>
  <c r="D93" i="4" s="1"/>
  <c r="E93" i="4" s="1"/>
  <c r="H91" i="4"/>
  <c r="I91" i="4" s="1"/>
  <c r="H25" i="4"/>
  <c r="I25" i="4" s="1"/>
  <c r="F25" i="4"/>
  <c r="H24" i="4"/>
  <c r="I24" i="4" s="1"/>
  <c r="F24" i="4"/>
  <c r="C24" i="4"/>
  <c r="D24" i="4" s="1"/>
  <c r="E24" i="4" s="1"/>
  <c r="H89" i="4"/>
  <c r="I89" i="4" s="1"/>
  <c r="F89" i="4"/>
  <c r="D89" i="4"/>
  <c r="E89" i="4" s="1"/>
  <c r="H87" i="4"/>
  <c r="I87" i="4" s="1"/>
  <c r="F87" i="4"/>
  <c r="C87" i="4"/>
  <c r="D87" i="4" s="1"/>
  <c r="E87" i="4" s="1"/>
  <c r="F85" i="4"/>
  <c r="H68" i="4"/>
  <c r="I68" i="4" s="1"/>
  <c r="H63" i="4"/>
  <c r="I63" i="4" s="1"/>
  <c r="C63" i="4"/>
  <c r="D63" i="4" s="1"/>
  <c r="E63" i="4" s="1"/>
  <c r="H60" i="4"/>
  <c r="I60" i="4" s="1"/>
  <c r="F60" i="4"/>
  <c r="D60" i="4"/>
  <c r="E60" i="4" s="1"/>
  <c r="H59" i="4"/>
  <c r="I59" i="4" s="1"/>
  <c r="H58" i="4"/>
  <c r="I58" i="4" s="1"/>
  <c r="F58" i="4"/>
  <c r="H54" i="4"/>
  <c r="I54" i="4" s="1"/>
  <c r="F54" i="4"/>
  <c r="H53" i="4"/>
  <c r="I53" i="4" s="1"/>
  <c r="H52" i="4"/>
  <c r="I52" i="4" s="1"/>
  <c r="F52" i="4"/>
  <c r="C52" i="4"/>
  <c r="D52" i="4" s="1"/>
  <c r="E52" i="4" s="1"/>
  <c r="H51" i="4"/>
  <c r="I51" i="4" s="1"/>
  <c r="H50" i="4"/>
  <c r="I50" i="4" s="1"/>
  <c r="D50" i="4"/>
  <c r="E50" i="4" s="1"/>
  <c r="H49" i="4"/>
  <c r="I49" i="4" s="1"/>
  <c r="F49" i="4"/>
  <c r="D49" i="4"/>
  <c r="E49" i="4" s="1"/>
  <c r="H48" i="4"/>
  <c r="I48" i="4" s="1"/>
  <c r="H44" i="4"/>
  <c r="I44" i="4" s="1"/>
  <c r="D44" i="4"/>
  <c r="E44" i="4" s="1"/>
  <c r="H43" i="4"/>
  <c r="I43" i="4" s="1"/>
  <c r="D43" i="4"/>
  <c r="E43" i="4" s="1"/>
  <c r="H42" i="4"/>
  <c r="I42" i="4" s="1"/>
  <c r="H39" i="4"/>
  <c r="I39" i="4" s="1"/>
  <c r="H38" i="4"/>
  <c r="I38" i="4" s="1"/>
  <c r="F38" i="4"/>
  <c r="H37" i="4"/>
  <c r="I37" i="4" s="1"/>
  <c r="H36" i="4"/>
  <c r="I36" i="4" s="1"/>
  <c r="H35" i="4"/>
  <c r="I35" i="4" s="1"/>
  <c r="H34" i="4"/>
  <c r="I34" i="4" s="1"/>
  <c r="D34" i="4"/>
  <c r="E34" i="4" s="1"/>
  <c r="F29" i="4"/>
  <c r="D28" i="4"/>
  <c r="E28" i="4" s="1"/>
  <c r="D27" i="4"/>
  <c r="E27" i="4" s="1"/>
  <c r="J10" i="4" l="1"/>
  <c r="J97" i="4"/>
  <c r="J40" i="4"/>
  <c r="J79" i="4"/>
  <c r="J75" i="4"/>
  <c r="J74" i="4" s="1"/>
  <c r="L74" i="4" s="1"/>
  <c r="B165" i="6" s="1"/>
  <c r="J48" i="4"/>
  <c r="J73" i="4"/>
  <c r="J77" i="4"/>
  <c r="J76" i="4" s="1"/>
  <c r="L76" i="4" s="1"/>
  <c r="B44" i="6" s="1"/>
  <c r="E9" i="4"/>
  <c r="J9" i="4" s="1"/>
  <c r="J11" i="4"/>
  <c r="J81" i="4"/>
  <c r="J83" i="4"/>
  <c r="J34" i="4"/>
  <c r="J16" i="4"/>
  <c r="J19" i="4"/>
  <c r="J18" i="4" s="1"/>
  <c r="L18" i="4" s="1"/>
  <c r="J69" i="4"/>
  <c r="J85" i="4"/>
  <c r="J84" i="4" s="1"/>
  <c r="L84" i="4" s="1"/>
  <c r="B220" i="6" s="1"/>
  <c r="J13" i="4"/>
  <c r="J46" i="4"/>
  <c r="J14" i="4"/>
  <c r="J72" i="4"/>
  <c r="J45" i="4"/>
  <c r="J28" i="4"/>
  <c r="J52" i="4"/>
  <c r="J87" i="4"/>
  <c r="J86" i="4" s="1"/>
  <c r="L86" i="4" s="1"/>
  <c r="B138" i="6" s="1"/>
  <c r="J93" i="4"/>
  <c r="J92" i="4" s="1"/>
  <c r="L92" i="4" s="1"/>
  <c r="B92" i="6" s="1"/>
  <c r="J70" i="4"/>
  <c r="J62" i="4"/>
  <c r="J42" i="4"/>
  <c r="J32" i="4"/>
  <c r="J91" i="4"/>
  <c r="J90" i="4" s="1"/>
  <c r="L90" i="4" s="1"/>
  <c r="B5" i="6" s="1"/>
  <c r="J89" i="4"/>
  <c r="J88" i="4" s="1"/>
  <c r="L88" i="4" s="1"/>
  <c r="J64" i="4"/>
  <c r="J24" i="4"/>
  <c r="J95" i="4"/>
  <c r="J94" i="4" s="1"/>
  <c r="L94" i="4" s="1"/>
  <c r="E21" i="4"/>
  <c r="J21" i="4" s="1"/>
  <c r="J68" i="4"/>
  <c r="J60" i="4"/>
  <c r="J44" i="4"/>
  <c r="J36" i="4"/>
  <c r="J66" i="4"/>
  <c r="J37" i="4"/>
  <c r="J29" i="4"/>
  <c r="J58" i="4"/>
  <c r="J38" i="4"/>
  <c r="J54" i="4"/>
  <c r="J50" i="4"/>
  <c r="J22" i="4"/>
  <c r="J61" i="4"/>
  <c r="J51" i="4"/>
  <c r="G97" i="4"/>
  <c r="J25" i="4"/>
  <c r="J65" i="4"/>
  <c r="J17" i="4"/>
  <c r="J63" i="4"/>
  <c r="J59" i="4"/>
  <c r="J53" i="4"/>
  <c r="J49" i="4"/>
  <c r="J43" i="4"/>
  <c r="J39" i="4"/>
  <c r="J35" i="4"/>
  <c r="J31" i="4"/>
  <c r="J27" i="4"/>
  <c r="J26" i="4" s="1"/>
  <c r="L26" i="4" s="1"/>
  <c r="J56" i="4"/>
  <c r="E55" i="4"/>
  <c r="J55" i="4" s="1"/>
  <c r="J67" i="4" l="1"/>
  <c r="L67" i="4" s="1"/>
  <c r="J71" i="4"/>
  <c r="L71" i="4" s="1"/>
  <c r="B56" i="6" s="1"/>
  <c r="J41" i="4"/>
  <c r="L41" i="4" s="1"/>
  <c r="B198" i="6" s="1"/>
  <c r="J33" i="4"/>
  <c r="L33" i="4" s="1"/>
  <c r="J8" i="4"/>
  <c r="L8" i="4" s="1"/>
  <c r="J30" i="4"/>
  <c r="L30" i="4" s="1"/>
  <c r="J57" i="4"/>
  <c r="L57" i="4" s="1"/>
  <c r="J20" i="4"/>
  <c r="J23" i="4"/>
  <c r="L23" i="4" s="1"/>
  <c r="J12" i="4"/>
  <c r="L12" i="4" s="1"/>
  <c r="B17" i="6" s="1"/>
  <c r="J15" i="4"/>
  <c r="L15" i="4" s="1"/>
  <c r="J47" i="4"/>
  <c r="L47" i="4" s="1"/>
  <c r="J96" i="4"/>
  <c r="L96" i="4" s="1"/>
  <c r="J78" i="4"/>
  <c r="L78" i="4" s="1"/>
  <c r="J80" i="4"/>
  <c r="L80" i="4" s="1"/>
  <c r="B144" i="6" s="1"/>
  <c r="L20" i="4"/>
  <c r="J82" i="4"/>
  <c r="L82" i="4" s="1"/>
  <c r="B27" i="6" s="1"/>
  <c r="K55" i="3"/>
  <c r="F48" i="3" l="1"/>
  <c r="F43" i="3"/>
  <c r="H62" i="3"/>
  <c r="D62" i="3"/>
  <c r="E62" i="3" s="1"/>
  <c r="F17" i="3"/>
  <c r="D66" i="3"/>
  <c r="G58" i="3"/>
  <c r="H58" i="3" s="1"/>
  <c r="D58" i="3"/>
  <c r="G85" i="3"/>
  <c r="H85" i="3" s="1"/>
  <c r="C85" i="3"/>
  <c r="D85" i="3" s="1"/>
  <c r="E85" i="3" s="1"/>
  <c r="G83" i="3"/>
  <c r="H83" i="3" s="1"/>
  <c r="C83" i="3"/>
  <c r="D83" i="3" s="1"/>
  <c r="E83" i="3" s="1"/>
  <c r="G81" i="3"/>
  <c r="H81" i="3" s="1"/>
  <c r="C81" i="3"/>
  <c r="D81" i="3" s="1"/>
  <c r="E81" i="3" s="1"/>
  <c r="G79" i="3"/>
  <c r="H79" i="3" s="1"/>
  <c r="C79" i="3"/>
  <c r="D79" i="3" s="1"/>
  <c r="E79" i="3" s="1"/>
  <c r="G77" i="3"/>
  <c r="H77" i="3" s="1"/>
  <c r="C77" i="3"/>
  <c r="D77" i="3" s="1"/>
  <c r="E77" i="3" s="1"/>
  <c r="G75" i="3"/>
  <c r="H75" i="3" s="1"/>
  <c r="C75" i="3"/>
  <c r="D75" i="3" s="1"/>
  <c r="E75" i="3" s="1"/>
  <c r="G73" i="3"/>
  <c r="H73" i="3" s="1"/>
  <c r="C73" i="3"/>
  <c r="D73" i="3" s="1"/>
  <c r="E73" i="3" s="1"/>
  <c r="G71" i="3"/>
  <c r="H71" i="3" s="1"/>
  <c r="F71" i="3"/>
  <c r="D71" i="3"/>
  <c r="E71" i="3" s="1"/>
  <c r="H69" i="3"/>
  <c r="E69" i="3"/>
  <c r="H67" i="3"/>
  <c r="D67" i="3"/>
  <c r="E67" i="3" s="1"/>
  <c r="G66" i="3"/>
  <c r="H66" i="3" s="1"/>
  <c r="H64" i="3"/>
  <c r="D64" i="3"/>
  <c r="E64" i="3" s="1"/>
  <c r="H63" i="3"/>
  <c r="D63" i="3"/>
  <c r="E63" i="3" s="1"/>
  <c r="H60" i="3"/>
  <c r="D60" i="3"/>
  <c r="E60" i="3" s="1"/>
  <c r="G59" i="3"/>
  <c r="H59" i="3" s="1"/>
  <c r="F59" i="3"/>
  <c r="D59" i="3"/>
  <c r="G57" i="3"/>
  <c r="H57" i="3" s="1"/>
  <c r="D57" i="3"/>
  <c r="G56" i="3"/>
  <c r="H56" i="3" s="1"/>
  <c r="D56" i="3"/>
  <c r="H54" i="3"/>
  <c r="D54" i="3"/>
  <c r="E54" i="3" s="1"/>
  <c r="G53" i="3"/>
  <c r="H53" i="3" s="1"/>
  <c r="D53" i="3"/>
  <c r="E53" i="3" s="1"/>
  <c r="G52" i="3"/>
  <c r="H52" i="3" s="1"/>
  <c r="D52" i="3"/>
  <c r="H50" i="3"/>
  <c r="D50" i="3"/>
  <c r="E50" i="3" s="1"/>
  <c r="G49" i="3"/>
  <c r="H49" i="3" s="1"/>
  <c r="D49" i="3"/>
  <c r="H48" i="3"/>
  <c r="E48" i="3"/>
  <c r="H47" i="3"/>
  <c r="E47" i="3"/>
  <c r="H46" i="3"/>
  <c r="D46" i="3"/>
  <c r="E46" i="3" s="1"/>
  <c r="G44" i="3"/>
  <c r="H44" i="3" s="1"/>
  <c r="C44" i="3"/>
  <c r="D44" i="3" s="1"/>
  <c r="G43" i="3"/>
  <c r="H43" i="3" s="1"/>
  <c r="D43" i="3"/>
  <c r="E43" i="3" s="1"/>
  <c r="G41" i="3"/>
  <c r="H41" i="3" s="1"/>
  <c r="F41" i="3"/>
  <c r="D41" i="3"/>
  <c r="E41" i="3" s="1"/>
  <c r="H39" i="3"/>
  <c r="E39" i="3"/>
  <c r="H38" i="3"/>
  <c r="E38" i="3"/>
  <c r="H37" i="3"/>
  <c r="E37" i="3"/>
  <c r="H36" i="3"/>
  <c r="E36" i="3"/>
  <c r="H35" i="3"/>
  <c r="E35" i="3"/>
  <c r="H34" i="3"/>
  <c r="E34" i="3"/>
  <c r="G32" i="3"/>
  <c r="H32" i="3" s="1"/>
  <c r="C32" i="3"/>
  <c r="D32" i="3" s="1"/>
  <c r="G31" i="3"/>
  <c r="H31" i="3" s="1"/>
  <c r="D31" i="3"/>
  <c r="E31" i="3" s="1"/>
  <c r="K30" i="3"/>
  <c r="H29" i="3"/>
  <c r="D29" i="3"/>
  <c r="E29" i="3" s="1"/>
  <c r="H28" i="3"/>
  <c r="D28" i="3"/>
  <c r="E28" i="3" s="1"/>
  <c r="H27" i="3"/>
  <c r="E27" i="3"/>
  <c r="H25" i="3"/>
  <c r="D25" i="3"/>
  <c r="E25" i="3" s="1"/>
  <c r="G24" i="3"/>
  <c r="H24" i="3" s="1"/>
  <c r="D24" i="3"/>
  <c r="E24" i="3" s="1"/>
  <c r="G22" i="3"/>
  <c r="H22" i="3" s="1"/>
  <c r="E22" i="3"/>
  <c r="G21" i="3"/>
  <c r="H21" i="3" s="1"/>
  <c r="F21" i="3"/>
  <c r="D21" i="3"/>
  <c r="E21" i="3" s="1"/>
  <c r="G19" i="3"/>
  <c r="H19" i="3" s="1"/>
  <c r="C19" i="3"/>
  <c r="D19" i="3" s="1"/>
  <c r="E19" i="3" s="1"/>
  <c r="H18" i="3"/>
  <c r="D18" i="3"/>
  <c r="E18" i="3" s="1"/>
  <c r="G17" i="3"/>
  <c r="H17" i="3" s="1"/>
  <c r="D17" i="3"/>
  <c r="E17" i="3" s="1"/>
  <c r="G16" i="3"/>
  <c r="H16" i="3" s="1"/>
  <c r="D16" i="3"/>
  <c r="H14" i="3"/>
  <c r="D14" i="3"/>
  <c r="E14" i="3" s="1"/>
  <c r="G13" i="3"/>
  <c r="H13" i="3" s="1"/>
  <c r="F13" i="3"/>
  <c r="D13" i="3"/>
  <c r="G12" i="3"/>
  <c r="H12" i="3" s="1"/>
  <c r="F12" i="3"/>
  <c r="D12" i="3"/>
  <c r="G11" i="3"/>
  <c r="H11" i="3" s="1"/>
  <c r="D11" i="3"/>
  <c r="E11" i="3" s="1"/>
  <c r="I21" i="3" l="1"/>
  <c r="J21" i="3" s="1"/>
  <c r="I25" i="3"/>
  <c r="J25" i="3" s="1"/>
  <c r="I36" i="3"/>
  <c r="J36" i="3" s="1"/>
  <c r="I38" i="3"/>
  <c r="J38" i="3" s="1"/>
  <c r="I69" i="3"/>
  <c r="J69" i="3" s="1"/>
  <c r="J68" i="3" s="1"/>
  <c r="L68" i="3" s="1"/>
  <c r="B13" i="6" s="1"/>
  <c r="I62" i="3"/>
  <c r="J62" i="3" s="1"/>
  <c r="I48" i="3"/>
  <c r="J48" i="3" s="1"/>
  <c r="I35" i="3"/>
  <c r="J35" i="3" s="1"/>
  <c r="I29" i="3"/>
  <c r="J29" i="3" s="1"/>
  <c r="I39" i="3"/>
  <c r="J39" i="3" s="1"/>
  <c r="I47" i="3"/>
  <c r="J47" i="3" s="1"/>
  <c r="I54" i="3"/>
  <c r="J54" i="3" s="1"/>
  <c r="I34" i="3"/>
  <c r="J34" i="3" s="1"/>
  <c r="I37" i="3"/>
  <c r="J37" i="3" s="1"/>
  <c r="E58" i="3"/>
  <c r="I58" i="3" s="1"/>
  <c r="J58" i="3" s="1"/>
  <c r="I41" i="3"/>
  <c r="J41" i="3" s="1"/>
  <c r="J40" i="3" s="1"/>
  <c r="L40" i="3" s="1"/>
  <c r="B12" i="6" s="1"/>
  <c r="I64" i="3"/>
  <c r="J64" i="3" s="1"/>
  <c r="I67" i="3"/>
  <c r="J67" i="3" s="1"/>
  <c r="I14" i="3"/>
  <c r="J14" i="3" s="1"/>
  <c r="I18" i="3"/>
  <c r="J18" i="3" s="1"/>
  <c r="I27" i="3"/>
  <c r="J27" i="3" s="1"/>
  <c r="I63" i="3"/>
  <c r="J63" i="3" s="1"/>
  <c r="E32" i="3"/>
  <c r="I32" i="3" s="1"/>
  <c r="J32" i="3" s="1"/>
  <c r="I44" i="3"/>
  <c r="J44" i="3" s="1"/>
  <c r="I50" i="3"/>
  <c r="J50" i="3" s="1"/>
  <c r="I17" i="3"/>
  <c r="J17" i="3" s="1"/>
  <c r="I22" i="3"/>
  <c r="J22" i="3" s="1"/>
  <c r="E57" i="3"/>
  <c r="I57" i="3" s="1"/>
  <c r="J57" i="3" s="1"/>
  <c r="I71" i="3"/>
  <c r="J71" i="3" s="1"/>
  <c r="J70" i="3" s="1"/>
  <c r="L70" i="3" s="1"/>
  <c r="B74" i="6" s="1"/>
  <c r="I11" i="3"/>
  <c r="J11" i="3" s="1"/>
  <c r="I73" i="3"/>
  <c r="J73" i="3" s="1"/>
  <c r="J72" i="3" s="1"/>
  <c r="L72" i="3" s="1"/>
  <c r="B197" i="6" s="1"/>
  <c r="I75" i="3"/>
  <c r="J75" i="3" s="1"/>
  <c r="J74" i="3" s="1"/>
  <c r="L74" i="3" s="1"/>
  <c r="B180" i="6" s="1"/>
  <c r="I77" i="3"/>
  <c r="J77" i="3" s="1"/>
  <c r="J76" i="3" s="1"/>
  <c r="L76" i="3" s="1"/>
  <c r="B28" i="6" s="1"/>
  <c r="I79" i="3"/>
  <c r="J79" i="3" s="1"/>
  <c r="J78" i="3" s="1"/>
  <c r="L78" i="3" s="1"/>
  <c r="B50" i="6" s="1"/>
  <c r="I81" i="3"/>
  <c r="J81" i="3" s="1"/>
  <c r="J80" i="3" s="1"/>
  <c r="L80" i="3" s="1"/>
  <c r="B46" i="6" s="1"/>
  <c r="I83" i="3"/>
  <c r="J83" i="3" s="1"/>
  <c r="J82" i="3" s="1"/>
  <c r="L82" i="3" s="1"/>
  <c r="B81" i="6" s="1"/>
  <c r="I85" i="3"/>
  <c r="J85" i="3" s="1"/>
  <c r="J84" i="3" s="1"/>
  <c r="L84" i="3" s="1"/>
  <c r="B61" i="6" s="1"/>
  <c r="I43" i="3"/>
  <c r="J43" i="3" s="1"/>
  <c r="I19" i="3"/>
  <c r="J19" i="3" s="1"/>
  <c r="I46" i="3"/>
  <c r="J46" i="3" s="1"/>
  <c r="I60" i="3"/>
  <c r="J60" i="3" s="1"/>
  <c r="E12" i="3"/>
  <c r="I12" i="3" s="1"/>
  <c r="J12" i="3" s="1"/>
  <c r="E16" i="3"/>
  <c r="I16" i="3" s="1"/>
  <c r="J16" i="3" s="1"/>
  <c r="E49" i="3"/>
  <c r="I49" i="3" s="1"/>
  <c r="J49" i="3" s="1"/>
  <c r="E52" i="3"/>
  <c r="I52" i="3" s="1"/>
  <c r="J52" i="3" s="1"/>
  <c r="E59" i="3"/>
  <c r="I59" i="3" s="1"/>
  <c r="J59" i="3" s="1"/>
  <c r="E66" i="3"/>
  <c r="I66" i="3" s="1"/>
  <c r="J66" i="3" s="1"/>
  <c r="I24" i="3"/>
  <c r="J24" i="3" s="1"/>
  <c r="I31" i="3"/>
  <c r="J31" i="3" s="1"/>
  <c r="I53" i="3"/>
  <c r="J53" i="3" s="1"/>
  <c r="I28" i="3"/>
  <c r="J28" i="3" s="1"/>
  <c r="E13" i="3"/>
  <c r="I13" i="3" s="1"/>
  <c r="J13" i="3" s="1"/>
  <c r="E56" i="3"/>
  <c r="I56" i="3" s="1"/>
  <c r="J56" i="3" s="1"/>
  <c r="K30" i="1"/>
  <c r="J20" i="3" l="1"/>
  <c r="L20" i="3" s="1"/>
  <c r="B21" i="6" s="1"/>
  <c r="J23" i="3"/>
  <c r="L23" i="3" s="1"/>
  <c r="B68" i="6" s="1"/>
  <c r="J61" i="3"/>
  <c r="L61" i="3" s="1"/>
  <c r="B113" i="6" s="1"/>
  <c r="J33" i="3"/>
  <c r="L33" i="3" s="1"/>
  <c r="B57" i="6" s="1"/>
  <c r="J26" i="3"/>
  <c r="L26" i="3" s="1"/>
  <c r="J65" i="3"/>
  <c r="L65" i="3" s="1"/>
  <c r="B49" i="6" s="1"/>
  <c r="J51" i="3"/>
  <c r="L51" i="3" s="1"/>
  <c r="B196" i="6" s="1"/>
  <c r="J30" i="3"/>
  <c r="L30" i="3" s="1"/>
  <c r="B202" i="6" s="1"/>
  <c r="J42" i="3"/>
  <c r="L42" i="3" s="1"/>
  <c r="B151" i="6" s="1"/>
  <c r="J15" i="3"/>
  <c r="L15" i="3" s="1"/>
  <c r="B59" i="6" s="1"/>
  <c r="J45" i="3"/>
  <c r="L45" i="3" s="1"/>
  <c r="J55" i="3"/>
  <c r="L55" i="3" s="1"/>
  <c r="B41" i="6" s="1"/>
  <c r="J10" i="3"/>
  <c r="L10" i="3" s="1"/>
  <c r="B101" i="6" s="1"/>
  <c r="F21" i="1"/>
  <c r="G22" i="1"/>
  <c r="H22" i="1" s="1"/>
  <c r="E22" i="1"/>
  <c r="G21" i="1"/>
  <c r="H21" i="1" s="1"/>
  <c r="D21" i="1"/>
  <c r="E21" i="1" s="1"/>
  <c r="F13" i="1"/>
  <c r="D14" i="1"/>
  <c r="E14" i="1" s="1"/>
  <c r="G13" i="1"/>
  <c r="H13" i="1" s="1"/>
  <c r="D13" i="1"/>
  <c r="E13" i="1" s="1"/>
  <c r="G12" i="1"/>
  <c r="H12" i="1" s="1"/>
  <c r="F12" i="1"/>
  <c r="D12" i="1"/>
  <c r="E12" i="1" s="1"/>
  <c r="G11" i="1"/>
  <c r="H11" i="1" s="1"/>
  <c r="D11" i="1"/>
  <c r="E11" i="1" s="1"/>
  <c r="F69" i="1"/>
  <c r="E27" i="1"/>
  <c r="D29" i="1"/>
  <c r="E29" i="1" s="1"/>
  <c r="D28" i="1"/>
  <c r="E28" i="1" s="1"/>
  <c r="C4" i="1"/>
  <c r="G69" i="1"/>
  <c r="H69" i="1" s="1"/>
  <c r="D69" i="1"/>
  <c r="E69" i="1" s="1"/>
  <c r="E67" i="1"/>
  <c r="D65" i="1"/>
  <c r="E65" i="1" s="1"/>
  <c r="G64" i="1"/>
  <c r="H64" i="1" s="1"/>
  <c r="D64" i="1"/>
  <c r="E64" i="1" s="1"/>
  <c r="D62" i="1"/>
  <c r="E62" i="1" s="1"/>
  <c r="D61" i="1"/>
  <c r="E61" i="1" s="1"/>
  <c r="F58" i="1"/>
  <c r="F52" i="1"/>
  <c r="D59" i="1"/>
  <c r="E59" i="1" s="1"/>
  <c r="G58" i="1"/>
  <c r="H58" i="1" s="1"/>
  <c r="D58" i="1"/>
  <c r="E58" i="1" s="1"/>
  <c r="G57" i="1"/>
  <c r="H57" i="1" s="1"/>
  <c r="D57" i="1"/>
  <c r="E57" i="1" s="1"/>
  <c r="G56" i="1"/>
  <c r="H56" i="1" s="1"/>
  <c r="F56" i="1"/>
  <c r="D56" i="1"/>
  <c r="E56" i="1" s="1"/>
  <c r="F41" i="1"/>
  <c r="D54" i="1"/>
  <c r="E54" i="1" s="1"/>
  <c r="G53" i="1"/>
  <c r="H53" i="1" s="1"/>
  <c r="D53" i="1"/>
  <c r="E53" i="1" s="1"/>
  <c r="G52" i="1"/>
  <c r="H52" i="1" s="1"/>
  <c r="D52" i="1"/>
  <c r="E52" i="1" s="1"/>
  <c r="D50" i="1"/>
  <c r="E50" i="1" s="1"/>
  <c r="G49" i="1"/>
  <c r="H49" i="1" s="1"/>
  <c r="D49" i="1"/>
  <c r="E49" i="1" s="1"/>
  <c r="E48" i="1"/>
  <c r="E47" i="1"/>
  <c r="D46" i="1"/>
  <c r="E46" i="1" s="1"/>
  <c r="G43" i="1"/>
  <c r="H43" i="1" s="1"/>
  <c r="D43" i="1"/>
  <c r="E43" i="1" s="1"/>
  <c r="G41" i="1"/>
  <c r="H41" i="1" s="1"/>
  <c r="D41" i="1"/>
  <c r="E41" i="1" s="1"/>
  <c r="H35" i="1"/>
  <c r="H36" i="1"/>
  <c r="H37" i="1"/>
  <c r="H38" i="1"/>
  <c r="H39" i="1"/>
  <c r="E35" i="1"/>
  <c r="E36" i="1"/>
  <c r="E37" i="1"/>
  <c r="E38" i="1"/>
  <c r="E39" i="1"/>
  <c r="E34" i="1"/>
  <c r="G31" i="1"/>
  <c r="H31" i="1" s="1"/>
  <c r="D31" i="1"/>
  <c r="E31" i="1" s="1"/>
  <c r="D25" i="1"/>
  <c r="E25" i="1" s="1"/>
  <c r="G24" i="1"/>
  <c r="H24" i="1" s="1"/>
  <c r="D24" i="1"/>
  <c r="E24" i="1" s="1"/>
  <c r="C71" i="1"/>
  <c r="D71" i="1" s="1"/>
  <c r="E71" i="1" s="1"/>
  <c r="G83" i="1"/>
  <c r="H83" i="1" s="1"/>
  <c r="C83" i="1"/>
  <c r="D83" i="1" s="1"/>
  <c r="E83" i="1" s="1"/>
  <c r="G81" i="1"/>
  <c r="H81" i="1" s="1"/>
  <c r="C81" i="1"/>
  <c r="D81" i="1" s="1"/>
  <c r="E81" i="1" s="1"/>
  <c r="G79" i="1"/>
  <c r="H79" i="1" s="1"/>
  <c r="C79" i="1"/>
  <c r="D79" i="1" s="1"/>
  <c r="E79" i="1" s="1"/>
  <c r="G77" i="1"/>
  <c r="H77" i="1" s="1"/>
  <c r="C77" i="1"/>
  <c r="D77" i="1" s="1"/>
  <c r="E77" i="1" s="1"/>
  <c r="G75" i="1"/>
  <c r="H75" i="1" s="1"/>
  <c r="C75" i="1"/>
  <c r="D75" i="1" s="1"/>
  <c r="E75" i="1" s="1"/>
  <c r="G73" i="1"/>
  <c r="H73" i="1" s="1"/>
  <c r="C73" i="1"/>
  <c r="D73" i="1" s="1"/>
  <c r="E73" i="1" s="1"/>
  <c r="G71" i="1"/>
  <c r="H71" i="1" s="1"/>
  <c r="G44" i="1"/>
  <c r="H44" i="1" s="1"/>
  <c r="C44" i="1"/>
  <c r="D44" i="1" s="1"/>
  <c r="G32" i="1"/>
  <c r="H32" i="1" s="1"/>
  <c r="C32" i="1"/>
  <c r="D32" i="1" s="1"/>
  <c r="G19" i="1"/>
  <c r="H19" i="1" s="1"/>
  <c r="C19" i="1"/>
  <c r="D19" i="1" s="1"/>
  <c r="E19" i="1" s="1"/>
  <c r="H18" i="1"/>
  <c r="F17" i="1"/>
  <c r="D18" i="1"/>
  <c r="E18" i="1" s="1"/>
  <c r="G17" i="1"/>
  <c r="H17" i="1" s="1"/>
  <c r="D17" i="1"/>
  <c r="E17" i="1" s="1"/>
  <c r="G16" i="1"/>
  <c r="H16" i="1" s="1"/>
  <c r="D16" i="1"/>
  <c r="E16" i="1" s="1"/>
  <c r="H67" i="1"/>
  <c r="H65" i="1"/>
  <c r="H62" i="1"/>
  <c r="H61" i="1"/>
  <c r="H59" i="1"/>
  <c r="H54" i="1"/>
  <c r="H50" i="1"/>
  <c r="H48" i="1"/>
  <c r="H47" i="1"/>
  <c r="H46" i="1"/>
  <c r="H34" i="1"/>
  <c r="H29" i="1"/>
  <c r="H28" i="1"/>
  <c r="H27" i="1"/>
  <c r="H14" i="1"/>
  <c r="H25" i="1"/>
  <c r="B50" i="44" l="1"/>
  <c r="B51" i="6"/>
  <c r="I22" i="1"/>
  <c r="J22" i="1" s="1"/>
  <c r="I21" i="1"/>
  <c r="J21" i="1" s="1"/>
  <c r="I44" i="1"/>
  <c r="J44" i="1" s="1"/>
  <c r="I38" i="1"/>
  <c r="J38" i="1" s="1"/>
  <c r="I36" i="1"/>
  <c r="J36" i="1" s="1"/>
  <c r="I39" i="1"/>
  <c r="J39" i="1" s="1"/>
  <c r="I37" i="1"/>
  <c r="J37" i="1" s="1"/>
  <c r="I35" i="1"/>
  <c r="J35" i="1" s="1"/>
  <c r="I52" i="1"/>
  <c r="J52" i="1" s="1"/>
  <c r="I41" i="1"/>
  <c r="J41" i="1" s="1"/>
  <c r="J40" i="1" s="1"/>
  <c r="L40" i="1" s="1"/>
  <c r="I49" i="1"/>
  <c r="J49" i="1" s="1"/>
  <c r="I59" i="1"/>
  <c r="J59" i="1" s="1"/>
  <c r="I19" i="1"/>
  <c r="J19" i="1" s="1"/>
  <c r="E32" i="1"/>
  <c r="I32" i="1" s="1"/>
  <c r="J32" i="1" s="1"/>
  <c r="I16" i="1"/>
  <c r="J16" i="1" s="1"/>
  <c r="I17" i="1"/>
  <c r="J17" i="1" s="1"/>
  <c r="I18" i="1"/>
  <c r="J18" i="1" s="1"/>
  <c r="I83" i="1"/>
  <c r="J83" i="1" s="1"/>
  <c r="J82" i="1" s="1"/>
  <c r="L82" i="1" s="1"/>
  <c r="I81" i="1"/>
  <c r="J81" i="1" s="1"/>
  <c r="J80" i="1" s="1"/>
  <c r="L80" i="1" s="1"/>
  <c r="I79" i="1"/>
  <c r="J79" i="1" s="1"/>
  <c r="J78" i="1" s="1"/>
  <c r="L78" i="1" s="1"/>
  <c r="I77" i="1"/>
  <c r="J77" i="1" s="1"/>
  <c r="J76" i="1" s="1"/>
  <c r="L76" i="1" s="1"/>
  <c r="I75" i="1"/>
  <c r="J75" i="1" s="1"/>
  <c r="J74" i="1" s="1"/>
  <c r="L74" i="1" s="1"/>
  <c r="I73" i="1"/>
  <c r="J73" i="1" s="1"/>
  <c r="J72" i="1" s="1"/>
  <c r="L72" i="1" s="1"/>
  <c r="I71" i="1"/>
  <c r="J71" i="1" s="1"/>
  <c r="J70" i="1" s="1"/>
  <c r="L70" i="1" s="1"/>
  <c r="I14" i="1"/>
  <c r="J14" i="1" s="1"/>
  <c r="I25" i="1"/>
  <c r="J25" i="1" s="1"/>
  <c r="I12" i="1"/>
  <c r="J12" i="1" s="1"/>
  <c r="I64" i="1"/>
  <c r="J64" i="1" s="1"/>
  <c r="I24" i="1"/>
  <c r="I13" i="1"/>
  <c r="J13" i="1" s="1"/>
  <c r="I69" i="1"/>
  <c r="J69" i="1" s="1"/>
  <c r="J68" i="1" s="1"/>
  <c r="L68" i="1" s="1"/>
  <c r="I28" i="1"/>
  <c r="J28" i="1" s="1"/>
  <c r="I47" i="1"/>
  <c r="J47" i="1" s="1"/>
  <c r="I53" i="1"/>
  <c r="J53" i="1" s="1"/>
  <c r="I57" i="1"/>
  <c r="J57" i="1" s="1"/>
  <c r="I62" i="1"/>
  <c r="J62" i="1" s="1"/>
  <c r="I67" i="1"/>
  <c r="J67" i="1" s="1"/>
  <c r="J66" i="1" s="1"/>
  <c r="L66" i="1" s="1"/>
  <c r="I65" i="1"/>
  <c r="J65" i="1" s="1"/>
  <c r="I61" i="1"/>
  <c r="J61" i="1" s="1"/>
  <c r="I56" i="1"/>
  <c r="J56" i="1" s="1"/>
  <c r="I58" i="1"/>
  <c r="J58" i="1" s="1"/>
  <c r="I54" i="1"/>
  <c r="J54" i="1" s="1"/>
  <c r="I46" i="1"/>
  <c r="J46" i="1" s="1"/>
  <c r="I48" i="1"/>
  <c r="J48" i="1" s="1"/>
  <c r="I50" i="1"/>
  <c r="J50" i="1" s="1"/>
  <c r="I43" i="1"/>
  <c r="J43" i="1" s="1"/>
  <c r="I34" i="1"/>
  <c r="J34" i="1" s="1"/>
  <c r="I31" i="1"/>
  <c r="J31" i="1" s="1"/>
  <c r="I27" i="1"/>
  <c r="J27" i="1" s="1"/>
  <c r="I29" i="1"/>
  <c r="J29" i="1" s="1"/>
  <c r="J26" i="1" l="1"/>
  <c r="L26" i="1" s="1"/>
  <c r="J15" i="1"/>
  <c r="L15" i="1" s="1"/>
  <c r="J20" i="1"/>
  <c r="L20" i="1" s="1"/>
  <c r="J33" i="1"/>
  <c r="L33" i="1" s="1"/>
  <c r="J63" i="1"/>
  <c r="L63" i="1" s="1"/>
  <c r="J55" i="1"/>
  <c r="L55" i="1" s="1"/>
  <c r="J60" i="1"/>
  <c r="L60" i="1" s="1"/>
  <c r="J42" i="1"/>
  <c r="L42" i="1" s="1"/>
  <c r="J51" i="1"/>
  <c r="L51" i="1" s="1"/>
  <c r="J45" i="1"/>
  <c r="L45" i="1" s="1"/>
  <c r="J30" i="1"/>
  <c r="L30" i="1" s="1"/>
  <c r="J24" i="1"/>
  <c r="J23" i="1" s="1"/>
  <c r="L23" i="1" s="1"/>
  <c r="I11" i="1" l="1"/>
  <c r="J11" i="1" s="1"/>
  <c r="J10" i="1" s="1"/>
  <c r="L10" i="1" s="1"/>
  <c r="I14" i="53" l="1"/>
  <c r="J14" i="53" s="1"/>
  <c r="J12" i="53" s="1"/>
  <c r="L12" i="53" s="1"/>
  <c r="B95" i="6" s="1"/>
</calcChain>
</file>

<file path=xl/comments1.xml><?xml version="1.0" encoding="utf-8"?>
<comments xmlns="http://schemas.openxmlformats.org/spreadsheetml/2006/main">
  <authors>
    <author>Автор</author>
  </authors>
  <commentList>
    <comment ref="F35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 за все позиции.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на сайте 1,1 кг !!!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K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70 руб - депозит от 23.12.2014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<sst xmlns="http://schemas.openxmlformats.org/spreadsheetml/2006/main" count="2700" uniqueCount="1058">
  <si>
    <t>lyuna</t>
  </si>
  <si>
    <t>пилинг персик</t>
  </si>
  <si>
    <t>julary</t>
  </si>
  <si>
    <t>кол-во</t>
  </si>
  <si>
    <t>цена / шт</t>
  </si>
  <si>
    <t>цена за кол-во</t>
  </si>
  <si>
    <t>Доставка по Корее</t>
  </si>
  <si>
    <t>Вес сайта</t>
  </si>
  <si>
    <t>Итого</t>
  </si>
  <si>
    <t>Оплата</t>
  </si>
  <si>
    <t>Доставка в РФ</t>
  </si>
  <si>
    <t>Курс расчетный</t>
  </si>
  <si>
    <t>Курс факт</t>
  </si>
  <si>
    <t>Доставка расчетная, $ За кг</t>
  </si>
  <si>
    <t>Доставка факт, $ За кг</t>
  </si>
  <si>
    <t>ДАТА</t>
  </si>
  <si>
    <t>Итого, руб</t>
  </si>
  <si>
    <t>орг % (5%)</t>
  </si>
  <si>
    <t>Позиции из рядов выделены синим цветом</t>
  </si>
  <si>
    <t>romashkaa</t>
  </si>
  <si>
    <t>LaPetite</t>
  </si>
  <si>
    <t>Bellisa</t>
  </si>
  <si>
    <t>sunny_julianna</t>
  </si>
  <si>
    <t>Оля&amp;Никита</t>
  </si>
  <si>
    <t>Ksaila</t>
  </si>
  <si>
    <t>An@stasia</t>
  </si>
  <si>
    <t>анютка.4713</t>
  </si>
  <si>
    <t>НастЯЯЯ</t>
  </si>
  <si>
    <t>Gardeya</t>
  </si>
  <si>
    <t>sorok-i</t>
  </si>
  <si>
    <t>iwonna…</t>
  </si>
  <si>
    <t>AnutaGaifulina</t>
  </si>
  <si>
    <t>marty2002</t>
  </si>
  <si>
    <t>2) умывалка</t>
  </si>
  <si>
    <t xml:space="preserve">3) средство для волос </t>
  </si>
  <si>
    <t>ряд: улитка для глаз</t>
  </si>
  <si>
    <t>Натюрморт</t>
  </si>
  <si>
    <t>Любанская</t>
  </si>
  <si>
    <t>Djessika</t>
  </si>
  <si>
    <t>Janey</t>
  </si>
  <si>
    <t>Ir_86</t>
  </si>
  <si>
    <t>musy100</t>
  </si>
  <si>
    <t>Lena_VS</t>
  </si>
  <si>
    <t xml:space="preserve">Когда делала выкуп, условия акции были уже другие, не 3 шт по лоту, а 2 шт. Изменился и вес. </t>
  </si>
  <si>
    <t>улитки</t>
  </si>
  <si>
    <t>умывалка с алоэ</t>
  </si>
  <si>
    <t>пилинг холика для стоп</t>
  </si>
  <si>
    <t>1) пилинг для пяточек</t>
  </si>
  <si>
    <t>пилинг-скатка</t>
  </si>
  <si>
    <t>праймер</t>
  </si>
  <si>
    <t>жемчужная база под макияж</t>
  </si>
  <si>
    <t>бб-крем (светло-бежевый)</t>
  </si>
  <si>
    <t>пузырьковая пенка</t>
  </si>
  <si>
    <t>очищающее масло</t>
  </si>
  <si>
    <t>пилинг для стоп</t>
  </si>
  <si>
    <t>тинт 01 цвет</t>
  </si>
  <si>
    <t>гель алоэ</t>
  </si>
  <si>
    <t>маска</t>
  </si>
  <si>
    <t>патчи для глаз 300 шт</t>
  </si>
  <si>
    <t>бежевый lets get glam</t>
  </si>
  <si>
    <t>пилинг мизон</t>
  </si>
  <si>
    <t>винная маска</t>
  </si>
  <si>
    <t>губка</t>
  </si>
  <si>
    <t>сет пилингов (2 шт)</t>
  </si>
  <si>
    <t>винная маска красная и белая</t>
  </si>
  <si>
    <t>маски для ног Холика</t>
  </si>
  <si>
    <t>с гиалуронкой</t>
  </si>
  <si>
    <t>крем</t>
  </si>
  <si>
    <t>акция 2 шт, с гиалуронкой №8</t>
  </si>
  <si>
    <t>патчи для глаз - 100 шт из 300</t>
  </si>
  <si>
    <t>гиалуронка и увлажнялка (6 и 8)</t>
  </si>
  <si>
    <t>missha позиция 9 тон 21</t>
  </si>
  <si>
    <t>TONYMOLY Shiny Foot Peeling</t>
  </si>
  <si>
    <t>Поэтому, если кто-то хочет выйти из ряда из-за изменения цены, уберу. Выкупила всем.</t>
  </si>
  <si>
    <t>пилинг</t>
  </si>
  <si>
    <t xml:space="preserve">Soda Pore Cleansing BB Deep Cleansing Oil </t>
  </si>
  <si>
    <t>умывалка Chosungah Raw Black Bubble Cleanser with brush</t>
  </si>
  <si>
    <t>красное вино маска</t>
  </si>
  <si>
    <t>TONYMOLY  Shiny foot peeling liquid 25ml missha the face shop skinfood</t>
  </si>
  <si>
    <t>Holika Holika peeling</t>
  </si>
  <si>
    <t>тони молли пилинг</t>
  </si>
  <si>
    <t>цвета: 24,17,71</t>
  </si>
  <si>
    <t>COOGI Snail Refresh foam cleanser акция</t>
  </si>
  <si>
    <t>винная маска красная</t>
  </si>
  <si>
    <t>винная маска белая</t>
  </si>
  <si>
    <t>патчи для глаз - 90 шт из 300</t>
  </si>
  <si>
    <t>Holikaholika Ultra moist aloe soothing gel</t>
  </si>
  <si>
    <t>219 р в счет наличия</t>
  </si>
  <si>
    <t>5 р. Вычла в счет долга</t>
  </si>
  <si>
    <t>645 в счет кокон 14</t>
  </si>
  <si>
    <t>по верхней было  http://english.gmarket.co.kr/challenge/neo_goods/goods.asp?goodscode=236239977&amp;pos_shop_cd=EN&amp;pos_class_cd=90000003&amp;pos_class_kind=T</t>
  </si>
  <si>
    <t>медовая маска с ацеролой - 1 шт. </t>
  </si>
  <si>
    <t>The Saem Ardent Lady Tokyo Blossom Blusher ,цвет mocha mocha - 1 шт.</t>
  </si>
  <si>
    <t>черная подводка</t>
  </si>
  <si>
    <t>ББ крем</t>
  </si>
  <si>
    <t>коняку №2</t>
  </si>
  <si>
    <t>ksaila</t>
  </si>
  <si>
    <t>алоэ</t>
  </si>
  <si>
    <t>стартер Vita Complex </t>
  </si>
  <si>
    <t>слипинг пак </t>
  </si>
  <si>
    <t>маска темная "hard" </t>
  </si>
  <si>
    <t>утренняя маска </t>
  </si>
  <si>
    <t>ряд улитка</t>
  </si>
  <si>
    <t>серум для роста ресниц</t>
  </si>
  <si>
    <t>Нашка</t>
  </si>
  <si>
    <t>гидрофилка</t>
  </si>
  <si>
    <t>олива</t>
  </si>
  <si>
    <t>персик</t>
  </si>
  <si>
    <r>
      <t>«POWER 10 FORMULA </t>
    </r>
    <r>
      <rPr>
        <b/>
        <sz val="9"/>
        <color rgb="FF000000"/>
        <rFont val="Verdana"/>
        <family val="2"/>
        <charset val="204"/>
      </rPr>
      <t>WH</t>
    </r>
    <r>
      <rPr>
        <sz val="9"/>
        <color rgb="FF000000"/>
        <rFont val="Verdana"/>
        <family val="2"/>
        <charset val="204"/>
      </rPr>
      <t> EFFECTOR» сыворотка с эффектом осветления с арбутином (белая)</t>
    </r>
  </si>
  <si>
    <t>утренняя маска</t>
  </si>
  <si>
    <t>винная красная маска</t>
  </si>
  <si>
    <t>стерка</t>
  </si>
  <si>
    <t>салфетки</t>
  </si>
  <si>
    <t>увлажнялка</t>
  </si>
  <si>
    <t>для снятия макияжа</t>
  </si>
  <si>
    <t>iwonna...</t>
  </si>
  <si>
    <t>Etude My Lash Serum /eyelash essence</t>
  </si>
  <si>
    <t>Юляska</t>
  </si>
  <si>
    <t>подводка черный</t>
  </si>
  <si>
    <t>Yukka</t>
  </si>
  <si>
    <t>персик скатка</t>
  </si>
  <si>
    <t>*M_a_r_g_o*</t>
  </si>
  <si>
    <t>яйца Holika</t>
  </si>
  <si>
    <t>Di_Na</t>
  </si>
  <si>
    <t>koopri</t>
  </si>
  <si>
    <t>одну с коллагеном, другую с лотосом и примулой. </t>
  </si>
  <si>
    <t>Lena_vs</t>
  </si>
  <si>
    <t>для глаз</t>
  </si>
  <si>
    <t>ряд улитка розовая</t>
  </si>
  <si>
    <t xml:space="preserve">ряд  Hyaluronic Ultra Suboon Cream </t>
  </si>
  <si>
    <t>Assana</t>
  </si>
  <si>
    <t>Zina30-78</t>
  </si>
  <si>
    <t>Гленвитол</t>
  </si>
  <si>
    <t>hellcat222</t>
  </si>
  <si>
    <t>с лотосом и морским коллагеном</t>
  </si>
  <si>
    <t>учтен депозит с джим2</t>
  </si>
  <si>
    <t>simba-07</t>
  </si>
  <si>
    <t>164 в счет скатки</t>
  </si>
  <si>
    <t>за счет депозита по сп2</t>
  </si>
  <si>
    <t>8 р в счет долга по наличию</t>
  </si>
  <si>
    <t>выкуплен напрошлых выходных, еще не приехало на склад все.</t>
  </si>
  <si>
    <t>поэтому пока расчетные данные. Уточню курс и плату за кг по приходу.</t>
  </si>
  <si>
    <t>Итого за дост. В РФ</t>
  </si>
  <si>
    <t>Оплачено</t>
  </si>
  <si>
    <t>долг (-),
депозит (+)</t>
  </si>
  <si>
    <t>Tanya_IST</t>
  </si>
  <si>
    <t>Ольга_тм</t>
  </si>
  <si>
    <t>сделала замену, тк. Выбранная маска была не для междунарлдных заказов, маска volcanic pore</t>
  </si>
  <si>
    <t>умывалка (розовая и голубая)</t>
  </si>
  <si>
    <t>Lapetite</t>
  </si>
  <si>
    <t>стартер с гиалуронкой</t>
  </si>
  <si>
    <t>mendilin</t>
  </si>
  <si>
    <t>пилинг 1+1</t>
  </si>
  <si>
    <t>бежево-розовый тон </t>
  </si>
  <si>
    <t>тоник 1+1 (ромашку и розу)</t>
  </si>
  <si>
    <t>ряд СПФ</t>
  </si>
  <si>
    <t>BB cream</t>
  </si>
  <si>
    <t>кератин</t>
  </si>
  <si>
    <t>Калатея</t>
  </si>
  <si>
    <t>ac control</t>
  </si>
  <si>
    <t>Olishna72</t>
  </si>
  <si>
    <t>АЛОЭ</t>
  </si>
  <si>
    <t>тоник</t>
  </si>
  <si>
    <t>улитка</t>
  </si>
  <si>
    <t xml:space="preserve">5-ая позиция мульти 85 наз-ся </t>
  </si>
  <si>
    <t>Arizona</t>
  </si>
  <si>
    <t>масло</t>
  </si>
  <si>
    <t>cacao pack</t>
  </si>
  <si>
    <t xml:space="preserve">пилинг </t>
  </si>
  <si>
    <t>rainie</t>
  </si>
  <si>
    <t>блеск</t>
  </si>
  <si>
    <t>olive oli</t>
  </si>
  <si>
    <t>тушь</t>
  </si>
  <si>
    <t>лак</t>
  </si>
  <si>
    <t>гамомелис + роза АКЦИЯ!!! 1+1, если не будет, 2 др.</t>
  </si>
  <si>
    <t>Медведица</t>
  </si>
  <si>
    <t>масло мизон</t>
  </si>
  <si>
    <t>zolotkat</t>
  </si>
  <si>
    <t>паста</t>
  </si>
  <si>
    <t>~Rosette~</t>
  </si>
  <si>
    <t>фантазия1</t>
  </si>
  <si>
    <t>Olga_Kir</t>
  </si>
  <si>
    <t>НИК</t>
  </si>
  <si>
    <t>В каждой закладке представлены расчеты стоимости заказов</t>
  </si>
  <si>
    <t>2, 3, 4</t>
  </si>
  <si>
    <t>2, 3</t>
  </si>
  <si>
    <t>3, 4</t>
  </si>
  <si>
    <t>1-3 СП в долларах расчеты, 4 и далее - в вонах, смотрите подписи колонок</t>
  </si>
  <si>
    <t>баланс: 
долг (-), депозит
РУБ</t>
  </si>
  <si>
    <t>закладки с расчетами
(номер СП)</t>
  </si>
  <si>
    <t>100 р. перекинуто на лаки8</t>
  </si>
  <si>
    <t>luddy</t>
  </si>
  <si>
    <t>Aussie</t>
  </si>
  <si>
    <t>нашка</t>
  </si>
  <si>
    <t>скатка тело</t>
  </si>
  <si>
    <t>Светлаяна</t>
  </si>
  <si>
    <t>ETUDE HOUSE Precious Mineral BB Cream  W13 и W24</t>
  </si>
  <si>
    <t>очиститель кистей</t>
  </si>
  <si>
    <t>Crazydaisy</t>
  </si>
  <si>
    <t>вв крем</t>
  </si>
  <si>
    <t xml:space="preserve">№98 (или там сверху вместе с иероглифами указан №2)
№3 (№99) </t>
  </si>
  <si>
    <t>Di_na</t>
  </si>
  <si>
    <t>Olga_kir</t>
  </si>
  <si>
    <t>пудра</t>
  </si>
  <si>
    <t>sewa11</t>
  </si>
  <si>
    <t>заказ 2 шт вместе с zannoza</t>
  </si>
  <si>
    <t>скраб</t>
  </si>
  <si>
    <t>33 тон</t>
  </si>
  <si>
    <t>румяна</t>
  </si>
  <si>
    <t>блеск для губ  2 шт, тон 32 и 13.</t>
  </si>
  <si>
    <t>печать для маникюра</t>
  </si>
  <si>
    <t>пластина для печати</t>
  </si>
  <si>
    <t>4, 5</t>
  </si>
  <si>
    <t>aussie</t>
  </si>
  <si>
    <t>3, 5</t>
  </si>
  <si>
    <t>не пришел, сумма в счет оплаты заказа из наличия ушла 05.08.13</t>
  </si>
  <si>
    <t>26 р . Ушло в счет оплаты заказа 05.08.13</t>
  </si>
  <si>
    <t>Курс воны, факт</t>
  </si>
  <si>
    <t>Доставка факт, вон за кг</t>
  </si>
  <si>
    <t>ДАТА первой сверки</t>
  </si>
  <si>
    <t>отдала 482 р. 11.08.13</t>
  </si>
  <si>
    <t>127 р. Перекинула на оплату лаки 10</t>
  </si>
  <si>
    <t>410 р вернула за скатку 17.08.13</t>
  </si>
  <si>
    <t>доставка будет уточнена после отправки посылки к нам</t>
  </si>
  <si>
    <t>курс будет уточнен после списания банком</t>
  </si>
  <si>
    <t>katyonash</t>
  </si>
  <si>
    <t>Tony nail glitter # 23</t>
  </si>
  <si>
    <t>color fix lip crayon # 343 и 7 days tatoo eyebrow # 3</t>
  </si>
  <si>
    <t>компактная пудра</t>
  </si>
  <si>
    <t>тени</t>
  </si>
  <si>
    <t>медведица</t>
  </si>
  <si>
    <t>велька</t>
  </si>
  <si>
    <t>№5 multi -85</t>
  </si>
  <si>
    <t>BB Cream</t>
  </si>
  <si>
    <t>2, 3, 4,5, 6</t>
  </si>
  <si>
    <t>22 р перенесла в счет долга по лакам</t>
  </si>
  <si>
    <t>не прислали!</t>
  </si>
  <si>
    <t>170 р вычла за наличие 10.09</t>
  </si>
  <si>
    <t>продавец не отправил и вернул деньги</t>
  </si>
  <si>
    <t>Доставка расчет, вон за кг</t>
  </si>
  <si>
    <t>Курс воны, расчет</t>
  </si>
  <si>
    <t>ампулы</t>
  </si>
  <si>
    <t>maxaON</t>
  </si>
  <si>
    <t>для волос</t>
  </si>
  <si>
    <t>1 умывалка</t>
  </si>
  <si>
    <t>5 умывалок</t>
  </si>
  <si>
    <t>6 умывалок</t>
  </si>
  <si>
    <t>YULIA81</t>
  </si>
  <si>
    <t>розовая улитка</t>
  </si>
  <si>
    <t>54iren83</t>
  </si>
  <si>
    <t>подводка коричневая</t>
  </si>
  <si>
    <t>Марфушенька</t>
  </si>
  <si>
    <t>Крем для рук с оливковым маслом и медом</t>
  </si>
  <si>
    <t>Улиточный крем вокруг глаз</t>
  </si>
  <si>
    <t>Sorok-i</t>
  </si>
  <si>
    <t>сыворотка с эффектом осветления с арбутином (белая)</t>
  </si>
  <si>
    <t>умывалка</t>
  </si>
  <si>
    <t>основа св.беж 21 (нижняя)</t>
  </si>
  <si>
    <t>масло д/умывания</t>
  </si>
  <si>
    <t>пудра компактная</t>
  </si>
  <si>
    <t>Акуна Матата</t>
  </si>
  <si>
    <t>пенка</t>
  </si>
  <si>
    <t>стартер</t>
  </si>
  <si>
    <t>ВВ-крем</t>
  </si>
  <si>
    <t>минипарфюм</t>
  </si>
  <si>
    <t>маска для ног</t>
  </si>
  <si>
    <t>ВВ КРЕМ #2</t>
  </si>
  <si>
    <t>Mgnovenie</t>
  </si>
  <si>
    <t>Вера Гомзова</t>
  </si>
  <si>
    <t>2, 7</t>
  </si>
  <si>
    <t>2, 3, 7</t>
  </si>
  <si>
    <t>priezeva</t>
  </si>
  <si>
    <t xml:space="preserve">алоэ гель </t>
  </si>
  <si>
    <t>крем для рук</t>
  </si>
  <si>
    <t>спонжи</t>
  </si>
  <si>
    <t>Серум</t>
  </si>
  <si>
    <t>Умывалка</t>
  </si>
  <si>
    <t>крем для глаз</t>
  </si>
  <si>
    <t xml:space="preserve">красну и желтую </t>
  </si>
  <si>
    <t xml:space="preserve">для волос </t>
  </si>
  <si>
    <t>330 депозит</t>
  </si>
  <si>
    <t>ДАТА сверки</t>
  </si>
  <si>
    <t xml:space="preserve"> апельсиновую и яичную</t>
  </si>
  <si>
    <t>кондиционер</t>
  </si>
  <si>
    <t>для волос терапия</t>
  </si>
  <si>
    <t>замена шампуню</t>
  </si>
  <si>
    <t>кератин большой</t>
  </si>
  <si>
    <t xml:space="preserve">ламинат для волос бесцвет </t>
  </si>
  <si>
    <t>sergienkovasg</t>
  </si>
  <si>
    <t>змея3</t>
  </si>
  <si>
    <t>крем  для глаз2</t>
  </si>
  <si>
    <t>пенка3</t>
  </si>
  <si>
    <t>пилинг2</t>
  </si>
  <si>
    <t>zina30-78</t>
  </si>
  <si>
    <t>yulia_olimpia</t>
  </si>
  <si>
    <t>sulwhasoo</t>
  </si>
  <si>
    <t>Улий</t>
  </si>
  <si>
    <t>Norusha</t>
  </si>
  <si>
    <t>крем3</t>
  </si>
  <si>
    <t>скатка2</t>
  </si>
  <si>
    <t>крем улиточный</t>
  </si>
  <si>
    <t>крем пептидный</t>
  </si>
  <si>
    <t>RaccoonCoon</t>
  </si>
  <si>
    <t>пенка и пробники</t>
  </si>
  <si>
    <t>пенка и пробники для глаз</t>
  </si>
  <si>
    <t>пенка и пробники эссенции</t>
  </si>
  <si>
    <t>balancer</t>
  </si>
  <si>
    <t>lotion</t>
  </si>
  <si>
    <t>оранж шампунь+кондер (3 и 4)</t>
  </si>
  <si>
    <t>пилинг  Холика</t>
  </si>
  <si>
    <t>патчи</t>
  </si>
  <si>
    <t>Анэстас</t>
  </si>
  <si>
    <t>оранж.набор 1+1 шамп и кондер</t>
  </si>
  <si>
    <t>2, 9</t>
  </si>
  <si>
    <t>Зайцы</t>
  </si>
  <si>
    <t>torokova123</t>
  </si>
  <si>
    <t>1.коллаген</t>
  </si>
  <si>
    <t xml:space="preserve">3.плацента </t>
  </si>
  <si>
    <t xml:space="preserve">4.пептиды </t>
  </si>
  <si>
    <t>7.пилинг персик</t>
  </si>
  <si>
    <t>алое</t>
  </si>
  <si>
    <t>посветлее 1шт или любой</t>
  </si>
  <si>
    <t>Natarik</t>
  </si>
  <si>
    <t>пилинг стоп</t>
  </si>
  <si>
    <t>крем для рук 5 шт</t>
  </si>
  <si>
    <t>Rosочка</t>
  </si>
  <si>
    <t>Skinfood Peach Sake Pore serum</t>
  </si>
  <si>
    <t>шампунь</t>
  </si>
  <si>
    <t>крем с коллагеном для рук, пробники №139</t>
  </si>
  <si>
    <t>по акции</t>
  </si>
  <si>
    <t>37 р убрала на саса 14</t>
  </si>
  <si>
    <t>shsh</t>
  </si>
  <si>
    <t>маски упаковка</t>
  </si>
  <si>
    <t>Пенка с подарком</t>
  </si>
  <si>
    <t>пенка 2 шт лот</t>
  </si>
  <si>
    <t>пенка 3 шт лот</t>
  </si>
  <si>
    <t>_aida_</t>
  </si>
  <si>
    <t>3шт геля с улиткой</t>
  </si>
  <si>
    <t>1 крем Wrinkle eye creаm (бежевый)</t>
  </si>
  <si>
    <t>beatrix</t>
  </si>
  <si>
    <t>janey</t>
  </si>
  <si>
    <t>5N</t>
  </si>
  <si>
    <t xml:space="preserve">5 тон. </t>
  </si>
  <si>
    <t>набор nature republic</t>
  </si>
  <si>
    <t>tnm1980</t>
  </si>
  <si>
    <t xml:space="preserve">Nastay </t>
  </si>
  <si>
    <t>Жекин</t>
  </si>
  <si>
    <t>Missa для волос</t>
  </si>
  <si>
    <t>цена / шт,
вон</t>
  </si>
  <si>
    <t>орг % (5%), вон</t>
  </si>
  <si>
    <t>Доставка по Корее, вон</t>
  </si>
  <si>
    <t>Итого за дост. В РФ, вон</t>
  </si>
  <si>
    <t>9, 10, 12</t>
  </si>
  <si>
    <t>5, 8, 12</t>
  </si>
  <si>
    <t>Nastay</t>
  </si>
  <si>
    <t>пенка1 шт из 3</t>
  </si>
  <si>
    <t>112 вернула на сбер 07.03</t>
  </si>
  <si>
    <t>344 перенесла депозит с фарма 7</t>
  </si>
  <si>
    <t>алоэ 1 шт из лота</t>
  </si>
  <si>
    <t>Beatrix</t>
  </si>
  <si>
    <t>гель</t>
  </si>
  <si>
    <t>рис</t>
  </si>
  <si>
    <t>крема</t>
  </si>
  <si>
    <t>алоэ лот3</t>
  </si>
  <si>
    <t>zannoza</t>
  </si>
  <si>
    <t>щетка</t>
  </si>
  <si>
    <t>маска + подарок</t>
  </si>
  <si>
    <t>12, 13</t>
  </si>
  <si>
    <t>100 р с наличия переплата (март 2014)</t>
  </si>
  <si>
    <t>2, 3, 4, 5, 13</t>
  </si>
  <si>
    <t>праймер для глаз</t>
  </si>
  <si>
    <t>bleackhead off sheets</t>
  </si>
  <si>
    <t xml:space="preserve">sunny_julianna  </t>
  </si>
  <si>
    <t>trumea</t>
  </si>
  <si>
    <t>шампунь из лота 1+1</t>
  </si>
  <si>
    <t xml:space="preserve">ETUDE HOUSE Precious Mineral BB Cream W24- 1 шт. </t>
  </si>
  <si>
    <t>крем 1+1</t>
  </si>
  <si>
    <t>Elenushka</t>
  </si>
  <si>
    <t xml:space="preserve">увлажнялка розовая </t>
  </si>
  <si>
    <t>аргановое масло 1 шт из лота</t>
  </si>
  <si>
    <t xml:space="preserve">сыворотки и маски </t>
  </si>
  <si>
    <t>пенки</t>
  </si>
  <si>
    <t>Zhannusya</t>
  </si>
  <si>
    <t>hair terapy</t>
  </si>
  <si>
    <t>varvara2010</t>
  </si>
  <si>
    <t>Оля Зайцева</t>
  </si>
  <si>
    <t>сраб, 1 шт. </t>
  </si>
  <si>
    <t>крем с улиткой1шт.</t>
  </si>
  <si>
    <t>крем д кожи вокруг глаз с улиткой </t>
  </si>
  <si>
    <t>бб крем </t>
  </si>
  <si>
    <t>сыворотка</t>
  </si>
  <si>
    <t>Ксенка</t>
  </si>
  <si>
    <t>номер 02 Шампунь Daeng Gi Meo Ri 10 ml*100 шт. 9,76 долл. </t>
  </si>
  <si>
    <t>номер 04 Vitalasing shampoo 100 шт = 14,73 долл. </t>
  </si>
  <si>
    <t>умывалку 1 шт. </t>
  </si>
  <si>
    <t>скатку 1 шт. </t>
  </si>
  <si>
    <t>Шампунь Daeng Gi Meo Ri и кондиционер по 20 шт. каждого (1 и 2)</t>
  </si>
  <si>
    <r>
      <t xml:space="preserve">body mist </t>
    </r>
    <r>
      <rPr>
        <i/>
        <sz val="11"/>
        <color theme="1"/>
        <rFont val="Calibri"/>
        <family val="2"/>
        <charset val="204"/>
        <scheme val="minor"/>
      </rPr>
      <t>(замена)</t>
    </r>
  </si>
  <si>
    <t>ксенка</t>
  </si>
  <si>
    <t>YLIA81</t>
  </si>
  <si>
    <t>2, 4, 5, 14</t>
  </si>
  <si>
    <t>орг % (10%), вон</t>
  </si>
  <si>
    <t>магазин не отправил заказ и сделал возврат денег</t>
  </si>
  <si>
    <t>не заказана из-за большого расчетного веса</t>
  </si>
  <si>
    <t>15 р. Перенесла с депозита кокон 32</t>
  </si>
  <si>
    <t>524 р вернула 05.05.14</t>
  </si>
  <si>
    <t> № 1 (их 94 штуки) </t>
  </si>
  <si>
    <t>Moi</t>
  </si>
  <si>
    <t>Ajuna</t>
  </si>
  <si>
    <t>парафиновая маска </t>
  </si>
  <si>
    <t>extra</t>
  </si>
  <si>
    <t>золотой набор</t>
  </si>
  <si>
    <t>unamela</t>
  </si>
  <si>
    <t>nose pack</t>
  </si>
  <si>
    <t>блески № 28 и 39 и дополнительно ножницы № 88</t>
  </si>
  <si>
    <t>блески 50 и 42</t>
  </si>
  <si>
    <t>3 штуки wrinkle collagen cream, все мне </t>
  </si>
  <si>
    <t>Lash Serum</t>
  </si>
  <si>
    <t>санблок</t>
  </si>
  <si>
    <t>290 р. Убрала за наличие 04.03.2014</t>
  </si>
  <si>
    <t>убрала 71 р в счет долга по доставке посредника</t>
  </si>
  <si>
    <t>набор</t>
  </si>
  <si>
    <t>цвета №2 и № 27</t>
  </si>
  <si>
    <t>цвет 01 розовый</t>
  </si>
  <si>
    <t>шампунь и бальзам</t>
  </si>
  <si>
    <t xml:space="preserve">tnm1980  </t>
  </si>
  <si>
    <t>3 крема Бордо</t>
  </si>
  <si>
    <t>nastay</t>
  </si>
  <si>
    <t>скраб 2 шт</t>
  </si>
  <si>
    <t>Госпожа УДАЧА</t>
  </si>
  <si>
    <t>улитка лицо</t>
  </si>
  <si>
    <t>улитка тело</t>
  </si>
  <si>
    <t>C skin</t>
  </si>
  <si>
    <t>C skin lotion</t>
  </si>
  <si>
    <t>C skin cream</t>
  </si>
  <si>
    <t>789 р перенесла с тестеркорея</t>
  </si>
  <si>
    <t>12, 14, 15, 17</t>
  </si>
  <si>
    <t>скатка</t>
  </si>
  <si>
    <t>тушь 2 шт роз и зеленая</t>
  </si>
  <si>
    <t>innisfree Pore Double Serum</t>
  </si>
  <si>
    <t>innisfree sleeping pack </t>
  </si>
  <si>
    <t>catberry</t>
  </si>
  <si>
    <t>носки-пилинги TONY MOLY</t>
  </si>
  <si>
    <t>ЛенаЗЗЗ</t>
  </si>
  <si>
    <t>носки холика</t>
  </si>
  <si>
    <t>зайцы</t>
  </si>
  <si>
    <t>масло лот</t>
  </si>
  <si>
    <t>Дресскод</t>
  </si>
  <si>
    <t>1 шт из лота</t>
  </si>
  <si>
    <t xml:space="preserve"> =Тата=</t>
  </si>
  <si>
    <t>улитки лот</t>
  </si>
  <si>
    <t>17, 18</t>
  </si>
  <si>
    <t>10, 18</t>
  </si>
  <si>
    <t>убрала 59 р депозит в счет наличия</t>
  </si>
  <si>
    <t>ВВ крем 23 тон</t>
  </si>
  <si>
    <t>Миляева</t>
  </si>
  <si>
    <t>Welcos Lotus blossom therapy color change blemish balm / 50 ml / SPF25 PA++ / make up base /</t>
  </si>
  <si>
    <t>5N обе позиции </t>
  </si>
  <si>
    <t>Велька</t>
  </si>
  <si>
    <t xml:space="preserve">Dr.Tony AC Control Pink Dip Spot Serum </t>
  </si>
  <si>
    <t>TanyaSonya</t>
  </si>
  <si>
    <t>скраб пенка</t>
  </si>
  <si>
    <t>№156+мыло№4 </t>
  </si>
  <si>
    <t>№158+маска№9</t>
  </si>
  <si>
    <t>Extra</t>
  </si>
  <si>
    <t>щетки</t>
  </si>
  <si>
    <t>Solushka</t>
  </si>
  <si>
    <t>крем для век</t>
  </si>
  <si>
    <t>2, 3, 4, 5, 8, 9, 11, 20</t>
  </si>
  <si>
    <t>1, 20</t>
  </si>
  <si>
    <t>2, 4, 7, 15, 16</t>
  </si>
  <si>
    <t>набор крема</t>
  </si>
  <si>
    <t>4, 5, 13, 17,18, 19</t>
  </si>
  <si>
    <t>полоски 5 уп</t>
  </si>
  <si>
    <t>крем 1 из лота</t>
  </si>
  <si>
    <t>масло 1+1</t>
  </si>
  <si>
    <t>черное с улиткой мыло</t>
  </si>
  <si>
    <t>яичное мыло</t>
  </si>
  <si>
    <t>подводка</t>
  </si>
  <si>
    <t>Бабочка717</t>
  </si>
  <si>
    <t>Мама Ита</t>
  </si>
  <si>
    <t>сменный блок очищающего масла зеленый чай</t>
  </si>
  <si>
    <t>ШерХан</t>
  </si>
  <si>
    <t>бальзам персик</t>
  </si>
  <si>
    <t>смывка</t>
  </si>
  <si>
    <t>2, 3, 4,21</t>
  </si>
  <si>
    <t>20, 21</t>
  </si>
  <si>
    <t>Rainie</t>
  </si>
  <si>
    <t>крема лот</t>
  </si>
  <si>
    <t>ламинат</t>
  </si>
  <si>
    <t>damage protector</t>
  </si>
  <si>
    <t xml:space="preserve">расческа № 01 (оранжево-жёлтая) </t>
  </si>
  <si>
    <t>Yana_7</t>
  </si>
  <si>
    <t>EnotOxx</t>
  </si>
  <si>
    <t>тон 21</t>
  </si>
  <si>
    <t>2 набора wrinkle collagen cream </t>
  </si>
  <si>
    <t>Tony Moly Dear Me Petit Cotton bb cream </t>
  </si>
  <si>
    <t>essence</t>
  </si>
  <si>
    <t>расческа черная номер4</t>
  </si>
  <si>
    <t>ВВ-крем Etude House Precious Mineral BB Cream Bright Fit SPF30, 60 мл.W13</t>
  </si>
  <si>
    <t>Афаня</t>
  </si>
  <si>
    <t>3,4, 5, 8, 9, 15,22</t>
  </si>
  <si>
    <t>7, 9,22</t>
  </si>
  <si>
    <t>убрала 38 в счет наличия 22.10.14</t>
  </si>
  <si>
    <t>блузка вино</t>
  </si>
  <si>
    <t>кофта номер Т594 СЕРАЯ</t>
  </si>
  <si>
    <t>мизон крем с гиалуронкой 3</t>
  </si>
  <si>
    <t>все разные крема 4</t>
  </si>
  <si>
    <t>f.irina</t>
  </si>
  <si>
    <t>масло аргана</t>
  </si>
  <si>
    <t>tony moly milk 1+1</t>
  </si>
  <si>
    <t xml:space="preserve"> крема 3</t>
  </si>
  <si>
    <t>прозрачный (3)</t>
  </si>
  <si>
    <t>Vlada_13</t>
  </si>
  <si>
    <t>Snail Moisture Hand Cream</t>
  </si>
  <si>
    <t>katyonash </t>
  </si>
  <si>
    <t>АняБ </t>
  </si>
  <si>
    <t>Helen_D </t>
  </si>
  <si>
    <t>gloriya1 </t>
  </si>
  <si>
    <t>Bast </t>
  </si>
  <si>
    <t>Stacy </t>
  </si>
  <si>
    <t>ряд Ciracle, Pimple Solution Pink Powder </t>
  </si>
  <si>
    <t>Any0318 </t>
  </si>
  <si>
    <t>ряд Ciracle,Blackhead off sheet</t>
  </si>
  <si>
    <t>Morrigan</t>
  </si>
  <si>
    <t>Я-Лена</t>
  </si>
  <si>
    <t>3, 4, 9, 12, 13,14, 23</t>
  </si>
  <si>
    <t>6, 7, 8, 23</t>
  </si>
  <si>
    <t>2, 3, 5, 6, 12, 14, 17, 19,22,23</t>
  </si>
  <si>
    <t xml:space="preserve">zannoza  </t>
  </si>
  <si>
    <t>The Skin House Wrinkle Snail System Cream Replenishing and Nourishing, а то их там два. </t>
  </si>
  <si>
    <t>помазок и крем</t>
  </si>
  <si>
    <t>патчи для глаз</t>
  </si>
  <si>
    <t>патчи 3 из 10</t>
  </si>
  <si>
    <t>Fruittella</t>
  </si>
  <si>
    <t>патчи 2 из 10</t>
  </si>
  <si>
    <t>Unamela</t>
  </si>
  <si>
    <t>GalunjaP</t>
  </si>
  <si>
    <t>Laina</t>
  </si>
  <si>
    <t>улиточный крем</t>
  </si>
  <si>
    <t>пудра для умывания</t>
  </si>
  <si>
    <t>более 3 шт сайт не дает купить</t>
  </si>
  <si>
    <t>2 пептидных крема</t>
  </si>
  <si>
    <t>3 крема + крем для глаз </t>
  </si>
  <si>
    <t>15, 25</t>
  </si>
  <si>
    <t>3, 4, 22, 23, 25</t>
  </si>
  <si>
    <t>UltraViolettt</t>
  </si>
  <si>
    <t>скатка 1+1</t>
  </si>
  <si>
    <t>пенка 1+1</t>
  </si>
  <si>
    <t>dm_zonov</t>
  </si>
  <si>
    <t xml:space="preserve"> Etude House Precious Mineral BB Cream Bright Fit SPF30, 60 мл. Цвет: Natural Beige W13</t>
  </si>
  <si>
    <t>jelly softner</t>
  </si>
  <si>
    <t>Худышка</t>
  </si>
  <si>
    <t>HOLIKAHOLIKA 3 seconds starter Hyaluronic Acid 150ml </t>
  </si>
  <si>
    <t>Missha M Signature Radiance Pore Primer</t>
  </si>
  <si>
    <t>3 крема лицо + 1 глаза</t>
  </si>
  <si>
    <t>3 крема лицо</t>
  </si>
  <si>
    <t xml:space="preserve">Бальзам </t>
  </si>
  <si>
    <t>Елена Скорик</t>
  </si>
  <si>
    <t>2 набора масла (итого 4 бутылька) </t>
  </si>
  <si>
    <t>LilGlavbuh</t>
  </si>
  <si>
    <t>консилер тон1</t>
  </si>
  <si>
    <t>martat</t>
  </si>
  <si>
    <t>набор скаток</t>
  </si>
  <si>
    <t>набор кремов</t>
  </si>
  <si>
    <t>3 пенки + кисть</t>
  </si>
  <si>
    <t>MISSHA M perfect cover BB cream SPF42 PA+++ 50ml тон 23</t>
  </si>
  <si>
    <t>55 р вернула 01.02.2015 на карту</t>
  </si>
  <si>
    <t>перенесла +100 р с переплаты + 60 р с iherb и - 23 р в счет наличия 03.02.15</t>
  </si>
  <si>
    <t>Argan oil</t>
  </si>
  <si>
    <t>пробники 6ml*8</t>
  </si>
  <si>
    <t>пробники 35</t>
  </si>
  <si>
    <t>lip top coat</t>
  </si>
  <si>
    <t>aloe</t>
  </si>
  <si>
    <t>tatoo eyebrow</t>
  </si>
  <si>
    <t>3 крема под номером 4, wrinkle collagen creme </t>
  </si>
  <si>
    <t>крем с спф</t>
  </si>
  <si>
    <t>3 крема для глаз</t>
  </si>
  <si>
    <t>9, 10, 28</t>
  </si>
  <si>
    <t>вернула 91 р 01.03.15</t>
  </si>
  <si>
    <t>вернула 437 р 03.03.15</t>
  </si>
  <si>
    <t>вернула 56 р 01.03.15</t>
  </si>
  <si>
    <t>расческа фиолет</t>
  </si>
  <si>
    <t xml:space="preserve">shsh  </t>
  </si>
  <si>
    <t>201 лот</t>
  </si>
  <si>
    <t>Маринка-малинка</t>
  </si>
  <si>
    <t>Tony Moly Egg pore</t>
  </si>
  <si>
    <t>22, 29</t>
  </si>
  <si>
    <t>Гарлем</t>
  </si>
  <si>
    <t>14 р перенесла на iherb  323</t>
  </si>
  <si>
    <t>Tony Moly Dear Me Petite Cotton BB Cream </t>
  </si>
  <si>
    <r>
      <t>Holika Holika Petit BB </t>
    </r>
    <r>
      <rPr>
        <b/>
        <sz val="9"/>
        <color rgb="FF000000"/>
        <rFont val="Verdana"/>
        <family val="2"/>
        <charset val="204"/>
      </rPr>
      <t>Watery</t>
    </r>
    <r>
      <rPr>
        <sz val="9"/>
        <color rgb="FF000000"/>
        <rFont val="Verdana"/>
        <family val="2"/>
        <charset val="204"/>
      </rPr>
      <t> </t>
    </r>
  </si>
  <si>
    <t>TONYMOLY Egg Pore Yolk Primer 25 ml </t>
  </si>
  <si>
    <t>Missha M perfect cover BB cream 50 ml -23</t>
  </si>
  <si>
    <t>Etude House Goodbye Pore Ever </t>
  </si>
  <si>
    <t>Hyaluronic acid сыворотка </t>
  </si>
  <si>
    <t>крем с витамином К</t>
  </si>
  <si>
    <t>ciracle black head</t>
  </si>
  <si>
    <t>3 крема aloe</t>
  </si>
  <si>
    <t>плацентарный крем</t>
  </si>
  <si>
    <t>пенки 3</t>
  </si>
  <si>
    <t>3 улитки для глаз</t>
  </si>
  <si>
    <t>Не было</t>
  </si>
  <si>
    <t>http://item2.gmarket.co.kr/English/detailview/item.aspx?goodscode=341810899</t>
  </si>
  <si>
    <t xml:space="preserve">UltraViolettt </t>
  </si>
  <si>
    <t>Galactomyces Eye Cream + The Skin House Real Snail Eye Cream</t>
  </si>
  <si>
    <t>миниатюра маски</t>
  </si>
  <si>
    <t>пептидный серум </t>
  </si>
  <si>
    <t>230 лот, flawless cream 56</t>
  </si>
  <si>
    <t>valensa</t>
  </si>
  <si>
    <t xml:space="preserve">из лота Anti-wrinkle Eye Cream </t>
  </si>
  <si>
    <t>marsG</t>
  </si>
  <si>
    <t>коллаген+витамин+аква</t>
  </si>
  <si>
    <t>Анюточка8605</t>
  </si>
  <si>
    <t>бета</t>
  </si>
  <si>
    <t> маска</t>
  </si>
  <si>
    <t>Nastie Miller</t>
  </si>
  <si>
    <t>IVera2901</t>
  </si>
  <si>
    <t>светлая пудра</t>
  </si>
  <si>
    <t>бурулька</t>
  </si>
  <si>
    <t>карандаш для бровей</t>
  </si>
  <si>
    <t>http://item2.gmarket.co.kr/English/detailview/item.aspx?goodscode=428396067</t>
  </si>
  <si>
    <t>http://item2.gmarket.co.kr/English/detailview/item.aspx?goodscode=651805315 - 1шт </t>
  </si>
  <si>
    <t>магазин сделал возврат по нему.</t>
  </si>
  <si>
    <t>нет доставки в РФ</t>
  </si>
  <si>
    <t>29, 30</t>
  </si>
  <si>
    <t>9, 11, 13, 26, 30</t>
  </si>
  <si>
    <t>Бета</t>
  </si>
  <si>
    <t>15, 30</t>
  </si>
  <si>
    <t>Не вошло из-за сильно завышенного веса сайта</t>
  </si>
  <si>
    <t>http://item2.gmarket.co.kr/English/detailview/item.aspx?goodscode=555762514</t>
  </si>
  <si>
    <t>крем 120 мл</t>
  </si>
  <si>
    <t>минимаска</t>
  </si>
  <si>
    <t>Mizon Multi UV Sun Block Mela Defense White</t>
  </si>
  <si>
    <t>лот 232 flawless essence </t>
  </si>
  <si>
    <t>лот 236 luminous treatment </t>
  </si>
  <si>
    <t>ламинат бесцветный</t>
  </si>
  <si>
    <t>28mes</t>
  </si>
  <si>
    <t>мизон серум</t>
  </si>
  <si>
    <t>CALMIA масло 1+1</t>
  </si>
  <si>
    <t>мизон гоммаж</t>
  </si>
  <si>
    <t>Морула</t>
  </si>
  <si>
    <t>томатокс</t>
  </si>
  <si>
    <t>скатки</t>
  </si>
  <si>
    <t>Nailya_Y</t>
  </si>
  <si>
    <t xml:space="preserve">цвет Natural brown </t>
  </si>
  <si>
    <t>крема для век 3</t>
  </si>
  <si>
    <t xml:space="preserve">В сверке был небольшой сбой формул (доставка по корее и вес сайта были смешены в соседние ячейки), </t>
  </si>
  <si>
    <t>поэтому скорректировала в окончательной все как надо.</t>
  </si>
  <si>
    <t>30, 31</t>
  </si>
  <si>
    <t>21, 31</t>
  </si>
  <si>
    <t>возврат пришел</t>
  </si>
  <si>
    <t>22 р вернула на карту 06.05.15</t>
  </si>
  <si>
    <t>25 р отдала лично</t>
  </si>
  <si>
    <t>вернула на карту 12.05.15</t>
  </si>
  <si>
    <t>ibakutis</t>
  </si>
  <si>
    <t>sleeping pack</t>
  </si>
  <si>
    <t>gloriya1</t>
  </si>
  <si>
    <t>скатка 1 из лота</t>
  </si>
  <si>
    <t>Юл83</t>
  </si>
  <si>
    <t>Серенити</t>
  </si>
  <si>
    <t>SvetOchey</t>
  </si>
  <si>
    <t>ранец P01 синий (верх)</t>
  </si>
  <si>
    <t>Мадам Диванова</t>
  </si>
  <si>
    <t>сумка серый 389</t>
  </si>
  <si>
    <t>крема для глаз лот3</t>
  </si>
  <si>
    <t>wrinkle collagen cream лот3</t>
  </si>
  <si>
    <t xml:space="preserve">LilGlavbuh  </t>
  </si>
  <si>
    <t>патчи еноты</t>
  </si>
  <si>
    <t xml:space="preserve">черный лайнер </t>
  </si>
  <si>
    <t>лот 416, 417 флаулесс скин и лосьен 
лот 421, 422 увлажняющая серия скин и лосьон </t>
  </si>
  <si>
    <t>щетки лот4</t>
  </si>
  <si>
    <t>крема лот3 разные+1</t>
  </si>
  <si>
    <t>губка белая</t>
  </si>
  <si>
    <t>мыло яичное (9)1+1</t>
  </si>
  <si>
    <t>Akiko</t>
  </si>
  <si>
    <t>1 удл, 1 объем</t>
  </si>
  <si>
    <t>эссенция для волос</t>
  </si>
  <si>
    <t>23, 32</t>
  </si>
  <si>
    <t>27, 32</t>
  </si>
  <si>
    <t>Tanitta2009</t>
  </si>
  <si>
    <t>набор миниатюр иннисфри</t>
  </si>
  <si>
    <t>Freylin</t>
  </si>
  <si>
    <t>1 лот</t>
  </si>
  <si>
    <t>улитка гель</t>
  </si>
  <si>
    <t>ламинат коричневый light brown</t>
  </si>
  <si>
    <t>позиция (skin laser) 1+1+2</t>
  </si>
  <si>
    <t>гиалуронка</t>
  </si>
  <si>
    <t>iri4ka</t>
  </si>
  <si>
    <t>лот 804 (30 шт)</t>
  </si>
  <si>
    <t>лот 305 (25 шт)</t>
  </si>
  <si>
    <t>пептидный крем 1+1 </t>
  </si>
  <si>
    <t>iope cream</t>
  </si>
  <si>
    <t>Стюардесса</t>
  </si>
  <si>
    <t>Hera № 001 cell essence 6.5*10 </t>
  </si>
  <si>
    <t>Hera № 903 Purifying Cleansing Foam 4*20 </t>
  </si>
  <si>
    <t>Hera № 302 Age Away Intensive Emulsion 5*10 </t>
  </si>
  <si>
    <t>Hera № 303 Age Away Modifier 1*25 </t>
  </si>
  <si>
    <t>набор миниатюр 2 уп. и крем для рук улитка</t>
  </si>
  <si>
    <t>4, 12, 21,22, 33</t>
  </si>
  <si>
    <r>
      <t xml:space="preserve">позиции: 201-1 </t>
    </r>
    <r>
      <rPr>
        <b/>
        <sz val="9"/>
        <color rgb="FFFF0000"/>
        <rFont val="Verdana"/>
        <family val="2"/>
        <charset val="204"/>
      </rPr>
      <t>(не было)</t>
    </r>
    <r>
      <rPr>
        <sz val="9"/>
        <color rgb="FF000000"/>
        <rFont val="Verdana"/>
        <family val="2"/>
        <charset val="204"/>
      </rPr>
      <t>; 206-1 (7 шт);1002 (10шт)</t>
    </r>
  </si>
  <si>
    <t>346 р перенесла на фарма 29</t>
  </si>
  <si>
    <t>пенка лот3 ОТМЕНИЛ МАГАЗИН!</t>
  </si>
  <si>
    <t>2 конд-ра , и 1 шампунь (не прислали!!) по 2000 мл</t>
  </si>
  <si>
    <t>курс уточню после прихода</t>
  </si>
  <si>
    <t>*Galina222*</t>
  </si>
  <si>
    <t>алоэ гель 1+1</t>
  </si>
  <si>
    <t>Настяка</t>
  </si>
  <si>
    <t>мист для волос 1+1 и 5 пробников</t>
  </si>
  <si>
    <t>Solange</t>
  </si>
  <si>
    <t>лот 201-1 sulwhasoo first care serum  4 ml*6</t>
  </si>
  <si>
    <t>mone</t>
  </si>
  <si>
    <t>пептидный крем 1+1</t>
  </si>
  <si>
    <t>лот 239 сум пузырьковая маска 4 мл*18 шт</t>
  </si>
  <si>
    <r>
      <t xml:space="preserve">лот 259 youth </t>
    </r>
    <r>
      <rPr>
        <b/>
        <sz val="9"/>
        <color rgb="FF000000"/>
        <rFont val="Verdana"/>
        <family val="2"/>
        <charset val="204"/>
      </rPr>
      <t>spot</t>
    </r>
    <r>
      <rPr>
        <sz val="9"/>
        <color rgb="FF000000"/>
        <rFont val="Verdana"/>
        <family val="2"/>
        <charset val="204"/>
      </rPr>
      <t xml:space="preserve"> крем 1 мл * 30 шт</t>
    </r>
  </si>
  <si>
    <t>сум37 пилинг</t>
  </si>
  <si>
    <t>крем +10 маско</t>
  </si>
  <si>
    <t>мист для тела вишня и цитрус</t>
  </si>
  <si>
    <t xml:space="preserve">Афаня  </t>
  </si>
  <si>
    <t>черный лайнер коричневый</t>
  </si>
  <si>
    <t xml:space="preserve"> Su:m37˚ Youth Activator Recharging cream 10 m</t>
  </si>
  <si>
    <t>32, 34</t>
  </si>
  <si>
    <t xml:space="preserve">черный лайнер 3 шт </t>
  </si>
  <si>
    <t>тарифы на доставку подняли с июля</t>
  </si>
  <si>
    <t>доставку утончю по приходу</t>
  </si>
  <si>
    <t xml:space="preserve">ряд ciracle </t>
  </si>
  <si>
    <t>Rima585</t>
  </si>
  <si>
    <t>Uliana13</t>
  </si>
  <si>
    <t>Настойчивая</t>
  </si>
  <si>
    <t>neMaska</t>
  </si>
  <si>
    <t>Котя84</t>
  </si>
  <si>
    <t>Евгения-ЕВА</t>
  </si>
  <si>
    <t>таня-с</t>
  </si>
  <si>
    <t>пенки лот 3 шт</t>
  </si>
  <si>
    <t>сыворотка  coollagen и seed</t>
  </si>
  <si>
    <t>лайнер 24 часа tatoo, черный (лот1)</t>
  </si>
  <si>
    <t>Elenn</t>
  </si>
  <si>
    <t>Betavik</t>
  </si>
  <si>
    <t>не вошло в выкуп:</t>
  </si>
  <si>
    <t>сайт не дает включить в корзину. Пишет, что ддя России недоступно</t>
  </si>
  <si>
    <t>http://item2.gmarket.co.kr/English/detailview/item.aspx?goodscode=346997384 </t>
  </si>
  <si>
    <t>http://item2.gmarket.co.kr/English/detailview/item.aspx?goodscode=233056303</t>
  </si>
  <si>
    <t>http://item2.gmarket.co.kr/English/detailview/item.aspx?goodscode=674988968</t>
  </si>
  <si>
    <t>не указано, что именно выкупать со страницы товаров</t>
  </si>
  <si>
    <t>26, 30, 32, 35</t>
  </si>
  <si>
    <t>3, 7, 14, 35</t>
  </si>
  <si>
    <t>4, 5, 6, 10, 34, 35</t>
  </si>
  <si>
    <t>6, 19, 23,32, 35</t>
  </si>
  <si>
    <t xml:space="preserve">RomanenkoOA  </t>
  </si>
  <si>
    <t>набор тони моли</t>
  </si>
  <si>
    <t>MamaLizo4ki</t>
  </si>
  <si>
    <t>12, 13, 17,23, 32, 35</t>
  </si>
  <si>
    <t>30 р перенесла с депозита кокон 74</t>
  </si>
  <si>
    <t>тоник с алоэ</t>
  </si>
  <si>
    <t>3 крема wrinkle collagen cream</t>
  </si>
  <si>
    <t>Разведка2004</t>
  </si>
  <si>
    <t>маски</t>
  </si>
  <si>
    <t>submax  </t>
  </si>
  <si>
    <t xml:space="preserve">Пилинг скатка SIDMOOL </t>
  </si>
  <si>
    <t>elena! </t>
  </si>
  <si>
    <t>сыворотка для ресниц</t>
  </si>
  <si>
    <t>гидрофильное масло</t>
  </si>
  <si>
    <t>конняку</t>
  </si>
  <si>
    <t>Shev55</t>
  </si>
  <si>
    <t>зеленая пенка</t>
  </si>
  <si>
    <t>35, 36</t>
  </si>
  <si>
    <t>Tanusik_</t>
  </si>
  <si>
    <t>Аня-N</t>
  </si>
  <si>
    <t>синяя тушь</t>
  </si>
  <si>
    <t>RomanenkoOA</t>
  </si>
  <si>
    <t>тинт в оттенке OR201 </t>
  </si>
  <si>
    <t>алоэ холика 1+1</t>
  </si>
  <si>
    <t>скатка персик</t>
  </si>
  <si>
    <t xml:space="preserve">Su:m37˚ Youth Activator Recharging  cream </t>
  </si>
  <si>
    <t>34, 37</t>
  </si>
  <si>
    <t>АняN</t>
  </si>
  <si>
    <t>12р убрала в счет наличия 07.10.15</t>
  </si>
  <si>
    <t>89 р урала депозит в счет долга по англия 5</t>
  </si>
  <si>
    <t>Victoria-R</t>
  </si>
  <si>
    <t>силиконовая щёточка</t>
  </si>
  <si>
    <t>Настя Пух</t>
  </si>
  <si>
    <t>Eule</t>
  </si>
  <si>
    <t>Missha Creamy Latte шоколад</t>
  </si>
  <si>
    <t>Настяка  </t>
  </si>
  <si>
    <t>селфетки миша</t>
  </si>
  <si>
    <t>Missha spf cream</t>
  </si>
  <si>
    <t>М@ма</t>
  </si>
  <si>
    <t>черные патчи, каплевидные патчи</t>
  </si>
  <si>
    <t>маска для волос 1+1</t>
  </si>
  <si>
    <t>Secret Key V-line lift Up CC cream</t>
  </si>
  <si>
    <t>innisfree cream</t>
  </si>
  <si>
    <t>коллагеновую маску </t>
  </si>
  <si>
    <r>
      <t>Isa Knox очищающий крем</t>
    </r>
    <r>
      <rPr>
        <sz val="11"/>
        <color rgb="FFFF0000"/>
        <rFont val="Calibri"/>
        <family val="2"/>
        <charset val="204"/>
        <scheme val="minor"/>
      </rPr>
      <t xml:space="preserve"> (+ допник меньшего объема???)</t>
    </r>
  </si>
  <si>
    <t>пудра и рефил тон 21, в серебристой коробочке, вторая картинка</t>
  </si>
  <si>
    <t>маски по 15 шт (увлажняющая+икорная) </t>
  </si>
  <si>
    <t>лот 0801 пробники - компактная основа IOPE 15 шт (черные)</t>
  </si>
  <si>
    <t>4 крема нужно 3w clinic(2 с улиткой, 2 с оливой). </t>
  </si>
  <si>
    <t>smoother</t>
  </si>
  <si>
    <t>Holika Holika cleansing oil</t>
  </si>
  <si>
    <t>Missha concealer</t>
  </si>
  <si>
    <t>the face shop oil control cream</t>
  </si>
  <si>
    <t>№012 SulWhaSoo Rejuvenating Eye cream 20 шт </t>
  </si>
  <si>
    <t>№607 Hera collagen Eye-up cream 30 шт </t>
  </si>
  <si>
    <t>№501 Sum37 Secret Repair Concentrated cream 27 шт</t>
  </si>
  <si>
    <t xml:space="preserve">Пептидный крем Mizon 1+1 </t>
  </si>
  <si>
    <t>33,34, 38</t>
  </si>
  <si>
    <t>22, 25, 28, 29, 32, 33, 34, 35, 38</t>
  </si>
  <si>
    <t>37, 38</t>
  </si>
  <si>
    <t>33, 38</t>
  </si>
  <si>
    <t>не прислали</t>
  </si>
  <si>
    <t>Аннушка1984</t>
  </si>
  <si>
    <t>Missha M Perfect Cover BB Cream 50ml  №23</t>
  </si>
  <si>
    <t>coraolive</t>
  </si>
  <si>
    <t>упаковки по 15 шт, номер 5 томат </t>
  </si>
  <si>
    <t>Tony Moly Double Needs Pang Pang Mascara (объем)</t>
  </si>
  <si>
    <t>2, 3, 4, 21, 39</t>
  </si>
  <si>
    <r>
      <rPr>
        <b/>
        <i/>
        <sz val="16"/>
        <color indexed="10"/>
        <rFont val="Calibri"/>
        <family val="2"/>
        <charset val="204"/>
      </rPr>
      <t>красным</t>
    </r>
    <r>
      <rPr>
        <i/>
        <sz val="16"/>
        <color indexed="8"/>
        <rFont val="Calibri"/>
        <family val="2"/>
        <charset val="204"/>
      </rPr>
      <t xml:space="preserve"> выделены закладки, посылки по которым уже получены</t>
    </r>
  </si>
  <si>
    <t>не прислали, вернула 23.12.</t>
  </si>
  <si>
    <t>208 hwa hyun essence 20шт</t>
  </si>
  <si>
    <t>218 nok yong mask 11шт</t>
  </si>
  <si>
    <t>220 soon hwan essence 18шт</t>
  </si>
  <si>
    <t xml:space="preserve">пенка с зеленым чаем </t>
  </si>
  <si>
    <t>пенка с алоэ</t>
  </si>
  <si>
    <t>Оливковый реальный крем для лица</t>
  </si>
  <si>
    <t>крем для лица №3</t>
  </si>
  <si>
    <t>Tarico</t>
  </si>
  <si>
    <t>крем с спф 1+1</t>
  </si>
  <si>
    <t>Cream</t>
  </si>
  <si>
    <t xml:space="preserve">V.T.R Stretching Patch (4piece) </t>
  </si>
  <si>
    <t>Di Na</t>
  </si>
  <si>
    <t>Мамулечка–симпапулечка</t>
  </si>
  <si>
    <t>3 разных крема</t>
  </si>
  <si>
    <t>вариант 06 (Wrinkle Collagen Cream 50 ml+ Water Block Balm 50 ml + Hydro Papaya Moisture Cream 30 ml</t>
  </si>
  <si>
    <t>38, 40</t>
  </si>
  <si>
    <t>3, 5, 40</t>
  </si>
  <si>
    <t>5, 6, 14, 40</t>
  </si>
  <si>
    <t>вернула 42 р. 25.02</t>
  </si>
  <si>
    <t>3 р убрала в счет наличия 24.02.16</t>
  </si>
  <si>
    <t>Peeling gel 180 ml Acai Berry</t>
  </si>
  <si>
    <t>блеск- цвет 1 호 베리레드와 - в строке выбора первый </t>
  </si>
  <si>
    <t>missha m perfect cover spf 42 no.21.</t>
  </si>
  <si>
    <t>Йожи</t>
  </si>
  <si>
    <t>cushon # 23 и блеск розовый</t>
  </si>
  <si>
    <t>крема 3 шт wrinkle collagen cream (№4) </t>
  </si>
  <si>
    <t>под цифрой 1, три разных крема для век</t>
  </si>
  <si>
    <t>средство для волос (зелен.банка)*2 + 5 пробников</t>
  </si>
  <si>
    <t>vis555</t>
  </si>
  <si>
    <t>шарики  №1 в селекте</t>
  </si>
  <si>
    <t>407 essence jinyul *17шт</t>
  </si>
  <si>
    <t>516 inyang sleeping repair *10шт</t>
  </si>
  <si>
    <t>o hui набор</t>
  </si>
  <si>
    <t>Nature Republic  ALOE</t>
  </si>
  <si>
    <t>14, 40, 41</t>
  </si>
  <si>
    <t>40, 41</t>
  </si>
  <si>
    <t>2, 8, 41</t>
  </si>
  <si>
    <t>51 р перенесла в счет долга кокон93</t>
  </si>
  <si>
    <t>Зеленая</t>
  </si>
  <si>
    <t>крем для глаз 1*50шт</t>
  </si>
  <si>
    <t xml:space="preserve">крем и серум </t>
  </si>
  <si>
    <t>01 рыже коричневый</t>
  </si>
  <si>
    <t>Гидрофилка</t>
  </si>
  <si>
    <t>Fijore</t>
  </si>
  <si>
    <t>мыло</t>
  </si>
  <si>
    <t>руф</t>
  </si>
  <si>
    <t>патчи черные</t>
  </si>
  <si>
    <t xml:space="preserve">knowhow  </t>
  </si>
  <si>
    <t>SCINIC Snail All in One Ampoule</t>
  </si>
  <si>
    <t>серо коричн. 02 тон</t>
  </si>
  <si>
    <t>smeli</t>
  </si>
  <si>
    <t>золотое яйцо</t>
  </si>
  <si>
    <t>Клубок</t>
  </si>
  <si>
    <t>LANEIGE Perfect Renew Firming Eye Cream 20ml </t>
  </si>
  <si>
    <t>МАГниТА</t>
  </si>
  <si>
    <t>тон 21 кушон</t>
  </si>
  <si>
    <t>Итого за дост. в РФ, вон</t>
  </si>
  <si>
    <t>38, 42</t>
  </si>
  <si>
    <t>knowhow</t>
  </si>
  <si>
    <t>LenaSnegurka</t>
  </si>
  <si>
    <t xml:space="preserve">karat_moon </t>
  </si>
  <si>
    <t xml:space="preserve">Виктория Бирюкова </t>
  </si>
  <si>
    <t>40, 41, 42</t>
  </si>
  <si>
    <t>18, 21, 42</t>
  </si>
  <si>
    <t>wrinkle collagen</t>
  </si>
  <si>
    <t>вернула на карту 26.04.2016</t>
  </si>
  <si>
    <t>кремики под номером 5. три разных крема+пробники</t>
  </si>
  <si>
    <t>3 wrinkle collagen cream + пробники (под цифрой 4)</t>
  </si>
  <si>
    <t>первая позиция, пилинг-скатка,150 мл </t>
  </si>
  <si>
    <t>Manula</t>
  </si>
  <si>
    <t>Tess</t>
  </si>
  <si>
    <t>Shalyo</t>
  </si>
  <si>
    <t>050 sum37 peeling *16шт</t>
  </si>
  <si>
    <t>066, 067 sum37 skin 15шт +lotion 16шт (на замену 021, 022)</t>
  </si>
  <si>
    <t>pigamaVpolosku</t>
  </si>
  <si>
    <t>Светёна</t>
  </si>
  <si>
    <t>крем для лица +умывалка</t>
  </si>
  <si>
    <t>маска обезьянка (голубая упаковка)</t>
  </si>
  <si>
    <t>2, 3,4, 5, 6, 8, 10, 12, 15, 17, 21, 24, 28, 31, 32, 33, 35, 36, 43</t>
  </si>
  <si>
    <t>14, 15, 19,22, 23, 24, 25, 28, 30, 32, 33, 34, 36, 41, 43</t>
  </si>
  <si>
    <t>33, 36, 38, 40, 43</t>
  </si>
  <si>
    <t>12, 13, 14, 17, 18, 21,22, 23, 27, 29, 30, 31, 32, 34, 38, 40, 41, 43</t>
  </si>
  <si>
    <t>35, 37, 43</t>
  </si>
  <si>
    <t>sIrэna</t>
  </si>
  <si>
    <t>лак акция по 2 шт</t>
  </si>
  <si>
    <t>компакт</t>
  </si>
  <si>
    <t>праймер для век</t>
  </si>
  <si>
    <t>пенка ацерола, голубика</t>
  </si>
  <si>
    <t>31, 44</t>
  </si>
  <si>
    <t>N_AT_A</t>
  </si>
  <si>
    <t>парфюм</t>
  </si>
  <si>
    <t>лосьон</t>
  </si>
  <si>
    <t>крем гель для рук</t>
  </si>
  <si>
    <t>скатки 1+1</t>
  </si>
  <si>
    <t>Каждого вида по 1 штуке. Маски</t>
  </si>
  <si>
    <t>пенка 300мл (вместо нее 2 по 150, так дешевле)</t>
  </si>
  <si>
    <t>Цвяточег</t>
  </si>
  <si>
    <t>крем гель</t>
  </si>
  <si>
    <t>кушон Цвет N21 </t>
  </si>
  <si>
    <t>30, 41, 45</t>
  </si>
  <si>
    <t>маска НЕ ПРИСЛАЛИ</t>
  </si>
  <si>
    <t>Руф</t>
  </si>
  <si>
    <t>2 пенки Шисейдо из лота</t>
  </si>
  <si>
    <t>маски 4 шт подбородок</t>
  </si>
  <si>
    <t>крем с улиткой</t>
  </si>
  <si>
    <t>гель с улиткой</t>
  </si>
  <si>
    <t>рукавичка</t>
  </si>
  <si>
    <t>вв крем тон 2</t>
  </si>
  <si>
    <t>гель огурец</t>
  </si>
  <si>
    <t>Анна Коваленко</t>
  </si>
  <si>
    <t>крем для лица</t>
  </si>
  <si>
    <t>42, 46</t>
  </si>
  <si>
    <t>40, 46</t>
  </si>
  <si>
    <t>Ольга2408</t>
  </si>
  <si>
    <t>маска арома и маска коллаген</t>
  </si>
  <si>
    <t>Mango Fish</t>
  </si>
  <si>
    <t>Mizon Correct Combo Pact, оттенок 21</t>
  </si>
  <si>
    <t>Солнечная</t>
  </si>
  <si>
    <t>маска на нос</t>
  </si>
  <si>
    <t>набор масел</t>
  </si>
  <si>
    <t>№ 03 - Крем для лица Enprani, 50 мл</t>
  </si>
  <si>
    <t>№ 07 - маски Enprani, 23 мл, 20 шт</t>
  </si>
  <si>
    <t>Тушь для ресниц TONY MOLY Double needs pang mascara синяя</t>
  </si>
  <si>
    <t>тушь вово 4 тон голубой</t>
  </si>
  <si>
    <t xml:space="preserve">Тонер мизон </t>
  </si>
  <si>
    <t>крем для рук лот1+1</t>
  </si>
  <si>
    <t>ножнички</t>
  </si>
  <si>
    <t>спонж</t>
  </si>
  <si>
    <t>27, 47</t>
  </si>
  <si>
    <t>37, 47</t>
  </si>
  <si>
    <t>13,21, 23, 24, 26, 46, 47</t>
  </si>
  <si>
    <t>продавец вложил миску, лопатку, мерную ложку и средство для разведения маски</t>
  </si>
  <si>
    <t>продавец вложил крем для рук</t>
  </si>
  <si>
    <t>продавец вложил пробники</t>
  </si>
  <si>
    <t>LANEIGE Perfect Renew Firming Eye Cream</t>
  </si>
  <si>
    <t>маска лот</t>
  </si>
  <si>
    <t>ДашаrМИР</t>
  </si>
  <si>
    <t>крем для век лот 2 шт</t>
  </si>
  <si>
    <t>Ольга2804</t>
  </si>
  <si>
    <t>маска 1ши из лота</t>
  </si>
  <si>
    <t>Teardrop</t>
  </si>
  <si>
    <t>2- 5 штук </t>
  </si>
  <si>
    <t>3- 4 штуки </t>
  </si>
  <si>
    <t>5- 4 штуки </t>
  </si>
  <si>
    <t>7- 3 штуки </t>
  </si>
  <si>
    <t>крем для лица лот из 2 шт</t>
  </si>
  <si>
    <t>41, 46, 48</t>
  </si>
  <si>
    <t>21, 38, 42, 48</t>
  </si>
  <si>
    <t>47, 48</t>
  </si>
  <si>
    <t>Аня</t>
  </si>
  <si>
    <t>вв</t>
  </si>
  <si>
    <t>ночной крем</t>
  </si>
  <si>
    <t>консилеры  № 12, 13, 14  (1+1)</t>
  </si>
  <si>
    <t xml:space="preserve"> №10 помада</t>
  </si>
  <si>
    <t>№ 2, 3, 5, 7 по 5 шт и № 1 и 4 по 1 шт, итого 22 карандаша) </t>
  </si>
  <si>
    <t>карандашики: [Auto Eyeliner]10.Noir и [Auto Eyeliner]40.Angel </t>
  </si>
  <si>
    <t>Olik1000</t>
  </si>
  <si>
    <t>сыворотка и подарки</t>
  </si>
  <si>
    <t>limonnka</t>
  </si>
  <si>
    <t>палетка VDL</t>
  </si>
  <si>
    <t>оливка пенка</t>
  </si>
  <si>
    <t>пАННАчка</t>
  </si>
  <si>
    <t>крем для век 1+1</t>
  </si>
  <si>
    <t>Yulchikk</t>
  </si>
  <si>
    <t>Missha Signature Real Complete bb cream 45 гр. 23 тон - 15900 </t>
  </si>
  <si>
    <t>5+5 маски  (Клубника, биджи, киви, алое)</t>
  </si>
  <si>
    <t>innisfree Super volcanic pore clay mask: </t>
  </si>
  <si>
    <t>innisfree orchid massage cream </t>
  </si>
  <si>
    <t>Anyunya</t>
  </si>
  <si>
    <t> третий вариант крем для глаз+ коллагеновый </t>
  </si>
  <si>
    <t>крем для лица 1+1</t>
  </si>
  <si>
    <t>ВВ крем</t>
  </si>
  <si>
    <t>02 natural беж</t>
  </si>
  <si>
    <t>02 blossom беж </t>
  </si>
  <si>
    <t>ledyru</t>
  </si>
  <si>
    <t>Biore uv</t>
  </si>
  <si>
    <t>Biore очищение</t>
  </si>
  <si>
    <t>обьъемная </t>
  </si>
  <si>
    <t>34, 38, 41, 50</t>
  </si>
  <si>
    <t>12, 17,18, 25, 26, 28, 50</t>
  </si>
  <si>
    <t>42, 50</t>
  </si>
  <si>
    <t>12, 13, 14, 17, 18, 21,22, 23, 27, 29, 30, 31, 32, 34, 38, 40, 41, 43, 50</t>
  </si>
  <si>
    <t>36, 38, 44, 46, 50</t>
  </si>
  <si>
    <t>33, 36, 38, 40, 43, 47, 50</t>
  </si>
  <si>
    <t>ВЕС факт</t>
  </si>
  <si>
    <t>357р депозита вернула 12.02</t>
  </si>
  <si>
    <t>SMUZZI</t>
  </si>
  <si>
    <t xml:space="preserve"> тон 02 серо-коричневый - 2 шт. </t>
  </si>
  <si>
    <t xml:space="preserve">валериЯ80 </t>
  </si>
  <si>
    <t>Анна-В</t>
  </si>
  <si>
    <t>ZAliM</t>
  </si>
  <si>
    <t>lizakaty</t>
  </si>
  <si>
    <t>1 лот шампуни</t>
  </si>
  <si>
    <t xml:space="preserve">Медведица  </t>
  </si>
  <si>
    <t>для бровей тон 02 и 03</t>
  </si>
  <si>
    <t>49, 50</t>
  </si>
  <si>
    <t>2, 14, 30, 45, 46, 50</t>
  </si>
  <si>
    <t>30, 42, 50</t>
  </si>
  <si>
    <t>4, 5, 6, 14, 22, 40, 50</t>
  </si>
  <si>
    <t>23 р вернула на сотовый 21.03</t>
  </si>
  <si>
    <t>серум</t>
  </si>
  <si>
    <t>Enprani крем для рук 1+1</t>
  </si>
  <si>
    <t>пенка с вулканической золой</t>
  </si>
  <si>
    <t>Lolly</t>
  </si>
  <si>
    <t>тон CR01 soft </t>
  </si>
  <si>
    <t>peach pink</t>
  </si>
  <si>
    <t>лот масло 1+1</t>
  </si>
  <si>
    <t>берлинка</t>
  </si>
  <si>
    <t xml:space="preserve">1шт из лота алоэ гель </t>
  </si>
  <si>
    <t>Onlinekate</t>
  </si>
  <si>
    <t>Снегурка</t>
  </si>
  <si>
    <t>МаленькаяПтичка</t>
  </si>
  <si>
    <t>крем коллагеновый  1+1</t>
  </si>
  <si>
    <t>klairs гидрофлка</t>
  </si>
  <si>
    <t>ночной</t>
  </si>
  <si>
    <t>klairs тоник с салфетками</t>
  </si>
  <si>
    <t>klairs вв крем</t>
  </si>
  <si>
    <t>klairs кушон со сменным блоком</t>
  </si>
  <si>
    <t>Norka87</t>
  </si>
  <si>
    <t>mizon тоник wichhazel</t>
  </si>
  <si>
    <t>яйцо</t>
  </si>
  <si>
    <t>гиалуронка 1шт из лота</t>
  </si>
  <si>
    <t>Рина-Марина</t>
  </si>
  <si>
    <t>№1 - 5 шт и №2 - 5 шт (НЕТ)</t>
  </si>
  <si>
    <t>02+04 крема</t>
  </si>
  <si>
    <t>43, 44, 47, 51</t>
  </si>
  <si>
    <t>47, 51</t>
  </si>
  <si>
    <t>21, 51</t>
  </si>
  <si>
    <t>37, 50, 51</t>
  </si>
  <si>
    <t>48, 50, 51</t>
  </si>
  <si>
    <t>10р с айхерба перенесла</t>
  </si>
  <si>
    <t>убрала 550руб на оплату крема из наличия</t>
  </si>
  <si>
    <t>Яшеничка</t>
  </si>
  <si>
    <t>кушон</t>
  </si>
  <si>
    <t>Маша и Полина</t>
  </si>
  <si>
    <t>23 тон, самый темный который</t>
  </si>
  <si>
    <t>Olix</t>
  </si>
  <si>
    <t>сыворотка для век</t>
  </si>
  <si>
    <t>эссенция для волос 120мл</t>
  </si>
  <si>
    <t>42, 48, 52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</si>
</sst>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b/>
      <i/>
      <sz val="14"/>
      <color rgb="FF3333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sz val="11"/>
      <color rgb="FF3333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b/>
      <i/>
      <sz val="11"/>
      <color rgb="FF3333FF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i/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20"/>
      <color rgb="FFFF0000"/>
      <name val="Calibri"/>
      <family val="2"/>
      <charset val="204"/>
      <scheme val="minor"/>
    </font>
    <font>
      <b/>
      <sz val="24"/>
      <color rgb="FF000000"/>
      <name val="Calibri"/>
      <family val="2"/>
      <charset val="204"/>
    </font>
    <font>
      <i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6"/>
      <color rgb="FF3333F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color rgb="FFFF0000"/>
      <name val="Verdana"/>
      <family val="2"/>
      <charset val="204"/>
    </font>
    <font>
      <i/>
      <sz val="16"/>
      <color theme="1"/>
      <name val="Calibri"/>
      <family val="2"/>
      <charset val="204"/>
      <scheme val="minor"/>
    </font>
    <font>
      <b/>
      <i/>
      <sz val="16"/>
      <color indexed="10"/>
      <name val="Calibri"/>
      <family val="2"/>
      <charset val="204"/>
    </font>
    <font>
      <i/>
      <sz val="16"/>
      <color indexed="8"/>
      <name val="Calibri"/>
      <family val="2"/>
      <charset val="204"/>
    </font>
    <font>
      <sz val="6"/>
      <color rgb="FF000000"/>
      <name val="Verdan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4FFD7"/>
      </patternFill>
    </fill>
    <fill>
      <patternFill patternType="solid">
        <fgColor theme="0"/>
        <bgColor rgb="FFF4FFD7"/>
      </patternFill>
    </fill>
    <fill>
      <patternFill patternType="solid">
        <fgColor theme="0"/>
        <bgColor rgb="FFFF9900"/>
      </patternFill>
    </fill>
    <fill>
      <patternFill patternType="solid">
        <fgColor rgb="FF00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4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3" fillId="0" borderId="1" xfId="1" applyBorder="1" applyAlignment="1" applyProtection="1"/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1" fontId="0" fillId="0" borderId="1" xfId="0" applyNumberFormat="1" applyBorder="1"/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4" fillId="0" borderId="1" xfId="0" applyFont="1" applyBorder="1"/>
    <xf numFmtId="0" fontId="5" fillId="0" borderId="2" xfId="0" applyFont="1" applyFill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0" fillId="4" borderId="1" xfId="0" applyFill="1" applyBorder="1"/>
    <xf numFmtId="0" fontId="8" fillId="0" borderId="0" xfId="0" applyFont="1"/>
    <xf numFmtId="0" fontId="5" fillId="0" borderId="1" xfId="0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wrapText="1"/>
    </xf>
    <xf numFmtId="0" fontId="9" fillId="0" borderId="1" xfId="0" applyFont="1" applyBorder="1"/>
    <xf numFmtId="0" fontId="9" fillId="3" borderId="1" xfId="0" applyFont="1" applyFill="1" applyBorder="1"/>
    <xf numFmtId="1" fontId="9" fillId="0" borderId="1" xfId="0" applyNumberFormat="1" applyFont="1" applyBorder="1"/>
    <xf numFmtId="1" fontId="10" fillId="2" borderId="1" xfId="0" applyNumberFormat="1" applyFont="1" applyFill="1" applyBorder="1"/>
    <xf numFmtId="0" fontId="9" fillId="0" borderId="0" xfId="0" applyFont="1"/>
    <xf numFmtId="0" fontId="11" fillId="3" borderId="1" xfId="0" applyFont="1" applyFill="1" applyBorder="1"/>
    <xf numFmtId="0" fontId="12" fillId="0" borderId="0" xfId="0" applyFont="1"/>
    <xf numFmtId="0" fontId="13" fillId="0" borderId="0" xfId="0" applyFont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0" fillId="3" borderId="3" xfId="0" applyFill="1" applyBorder="1"/>
    <xf numFmtId="0" fontId="3" fillId="3" borderId="0" xfId="1" applyFill="1" applyAlignment="1" applyProtection="1"/>
    <xf numFmtId="0" fontId="0" fillId="3" borderId="0" xfId="0" applyFill="1"/>
    <xf numFmtId="0" fontId="3" fillId="0" borderId="0" xfId="1" applyAlignment="1" applyProtection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0" borderId="0" xfId="0" applyFont="1"/>
    <xf numFmtId="0" fontId="0" fillId="0" borderId="7" xfId="0" applyBorder="1"/>
    <xf numFmtId="0" fontId="0" fillId="0" borderId="3" xfId="0" applyBorder="1" applyAlignment="1">
      <alignment wrapText="1"/>
    </xf>
    <xf numFmtId="0" fontId="0" fillId="0" borderId="8" xfId="0" applyBorder="1"/>
    <xf numFmtId="0" fontId="3" fillId="0" borderId="8" xfId="1" applyBorder="1" applyAlignment="1" applyProtection="1"/>
    <xf numFmtId="0" fontId="0" fillId="3" borderId="9" xfId="0" applyFill="1" applyBorder="1"/>
    <xf numFmtId="0" fontId="0" fillId="5" borderId="1" xfId="0" applyFill="1" applyBorder="1"/>
    <xf numFmtId="0" fontId="15" fillId="0" borderId="3" xfId="0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wrapText="1"/>
    </xf>
    <xf numFmtId="0" fontId="16" fillId="0" borderId="0" xfId="0" applyFont="1"/>
    <xf numFmtId="0" fontId="18" fillId="0" borderId="1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7" fillId="2" borderId="1" xfId="0" applyFont="1" applyFill="1" applyBorder="1"/>
    <xf numFmtId="164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15" fillId="0" borderId="1" xfId="0" applyFont="1" applyBorder="1"/>
    <xf numFmtId="0" fontId="0" fillId="0" borderId="3" xfId="0" applyFill="1" applyBorder="1"/>
    <xf numFmtId="0" fontId="15" fillId="0" borderId="10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6" borderId="1" xfId="0" applyFill="1" applyBorder="1"/>
    <xf numFmtId="0" fontId="15" fillId="0" borderId="1" xfId="0" applyFont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9" fillId="0" borderId="0" xfId="0" applyFont="1"/>
    <xf numFmtId="0" fontId="0" fillId="8" borderId="1" xfId="0" applyFill="1" applyBorder="1" applyAlignment="1">
      <alignment horizontal="center" wrapText="1"/>
    </xf>
    <xf numFmtId="0" fontId="0" fillId="9" borderId="1" xfId="0" applyFill="1" applyBorder="1"/>
    <xf numFmtId="1" fontId="2" fillId="2" borderId="3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" fontId="0" fillId="0" borderId="0" xfId="0" applyNumberFormat="1" applyBorder="1" applyAlignment="1">
      <alignment horizontal="center"/>
    </xf>
    <xf numFmtId="164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1" fontId="0" fillId="4" borderId="1" xfId="0" applyNumberFormat="1" applyFill="1" applyBorder="1" applyAlignment="1">
      <alignment horizontal="center"/>
    </xf>
    <xf numFmtId="0" fontId="21" fillId="0" borderId="0" xfId="1" applyFont="1" applyAlignment="1" applyProtection="1"/>
    <xf numFmtId="0" fontId="0" fillId="4" borderId="1" xfId="0" applyFill="1" applyBorder="1" applyAlignment="1">
      <alignment wrapText="1"/>
    </xf>
    <xf numFmtId="0" fontId="22" fillId="9" borderId="1" xfId="0" applyFont="1" applyFill="1" applyBorder="1"/>
    <xf numFmtId="0" fontId="23" fillId="0" borderId="0" xfId="0" applyFont="1"/>
    <xf numFmtId="0" fontId="0" fillId="4" borderId="0" xfId="0" applyFill="1"/>
    <xf numFmtId="0" fontId="0" fillId="0" borderId="1" xfId="0" applyBorder="1" applyAlignment="1"/>
    <xf numFmtId="0" fontId="2" fillId="2" borderId="1" xfId="0" applyFont="1" applyFill="1" applyBorder="1" applyAlignment="1"/>
    <xf numFmtId="0" fontId="3" fillId="3" borderId="1" xfId="1" applyFill="1" applyBorder="1" applyAlignment="1" applyProtection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0" fillId="10" borderId="1" xfId="0" applyFill="1" applyBorder="1"/>
    <xf numFmtId="0" fontId="24" fillId="0" borderId="0" xfId="0" applyFont="1"/>
    <xf numFmtId="0" fontId="1" fillId="0" borderId="5" xfId="0" applyFont="1" applyBorder="1" applyAlignment="1">
      <alignment horizontal="center" wrapText="1"/>
    </xf>
    <xf numFmtId="0" fontId="2" fillId="2" borderId="5" xfId="0" applyFont="1" applyFill="1" applyBorder="1"/>
    <xf numFmtId="0" fontId="1" fillId="0" borderId="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2" borderId="13" xfId="0" applyFont="1" applyFill="1" applyBorder="1"/>
    <xf numFmtId="0" fontId="2" fillId="2" borderId="14" xfId="0" applyFont="1" applyFill="1" applyBorder="1"/>
    <xf numFmtId="0" fontId="0" fillId="0" borderId="13" xfId="0" applyBorder="1"/>
    <xf numFmtId="0" fontId="0" fillId="0" borderId="14" xfId="0" applyBorder="1"/>
    <xf numFmtId="0" fontId="2" fillId="2" borderId="15" xfId="0" applyFont="1" applyFill="1" applyBorder="1"/>
    <xf numFmtId="0" fontId="2" fillId="2" borderId="16" xfId="0" applyFont="1" applyFill="1" applyBorder="1"/>
    <xf numFmtId="0" fontId="0" fillId="0" borderId="17" xfId="0" applyBorder="1"/>
    <xf numFmtId="0" fontId="0" fillId="0" borderId="18" xfId="0" applyBorder="1"/>
    <xf numFmtId="0" fontId="2" fillId="2" borderId="5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3" borderId="5" xfId="0" applyFill="1" applyBorder="1"/>
    <xf numFmtId="0" fontId="0" fillId="11" borderId="13" xfId="0" applyFill="1" applyBorder="1"/>
    <xf numFmtId="0" fontId="25" fillId="2" borderId="13" xfId="0" applyFont="1" applyFill="1" applyBorder="1"/>
    <xf numFmtId="2" fontId="0" fillId="0" borderId="14" xfId="0" applyNumberFormat="1" applyBorder="1"/>
    <xf numFmtId="1" fontId="0" fillId="0" borderId="8" xfId="0" applyNumberFormat="1" applyBorder="1" applyAlignment="1">
      <alignment horizontal="center"/>
    </xf>
    <xf numFmtId="0" fontId="0" fillId="8" borderId="8" xfId="0" applyFill="1" applyBorder="1" applyAlignment="1">
      <alignment horizontal="center" wrapText="1"/>
    </xf>
    <xf numFmtId="0" fontId="0" fillId="4" borderId="5" xfId="0" applyFill="1" applyBorder="1"/>
    <xf numFmtId="0" fontId="17" fillId="2" borderId="5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17" fillId="2" borderId="13" xfId="0" applyFont="1" applyFill="1" applyBorder="1"/>
    <xf numFmtId="0" fontId="17" fillId="2" borderId="14" xfId="0" applyFont="1" applyFill="1" applyBorder="1"/>
    <xf numFmtId="0" fontId="0" fillId="4" borderId="13" xfId="0" applyFill="1" applyBorder="1"/>
    <xf numFmtId="0" fontId="7" fillId="4" borderId="0" xfId="0" applyFont="1" applyFill="1"/>
    <xf numFmtId="0" fontId="1" fillId="3" borderId="13" xfId="0" applyFont="1" applyFill="1" applyBorder="1"/>
    <xf numFmtId="0" fontId="0" fillId="0" borderId="5" xfId="0" applyBorder="1" applyAlignment="1">
      <alignment wrapText="1"/>
    </xf>
    <xf numFmtId="0" fontId="0" fillId="0" borderId="20" xfId="0" applyFill="1" applyBorder="1" applyAlignment="1">
      <alignment wrapText="1"/>
    </xf>
    <xf numFmtId="0" fontId="26" fillId="12" borderId="13" xfId="0" applyFont="1" applyFill="1" applyBorder="1"/>
    <xf numFmtId="0" fontId="26" fillId="12" borderId="14" xfId="0" applyFont="1" applyFill="1" applyBorder="1"/>
    <xf numFmtId="0" fontId="0" fillId="9" borderId="13" xfId="0" applyFill="1" applyBorder="1"/>
    <xf numFmtId="1" fontId="0" fillId="0" borderId="7" xfId="0" applyNumberFormat="1" applyBorder="1" applyAlignment="1">
      <alignment horizontal="center"/>
    </xf>
    <xf numFmtId="0" fontId="0" fillId="8" borderId="7" xfId="0" applyFill="1" applyBorder="1" applyAlignment="1">
      <alignment horizontal="center" wrapText="1"/>
    </xf>
    <xf numFmtId="0" fontId="22" fillId="0" borderId="3" xfId="0" applyFont="1" applyBorder="1"/>
    <xf numFmtId="0" fontId="26" fillId="12" borderId="5" xfId="0" applyFont="1" applyFill="1" applyBorder="1" applyAlignment="1">
      <alignment wrapText="1"/>
    </xf>
    <xf numFmtId="0" fontId="7" fillId="0" borderId="5" xfId="0" applyFont="1" applyBorder="1"/>
    <xf numFmtId="0" fontId="0" fillId="4" borderId="14" xfId="0" applyFill="1" applyBorder="1"/>
    <xf numFmtId="0" fontId="22" fillId="0" borderId="0" xfId="0" applyFont="1"/>
    <xf numFmtId="0" fontId="27" fillId="0" borderId="0" xfId="0" applyFont="1"/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3" xfId="0" applyFont="1" applyBorder="1"/>
    <xf numFmtId="0" fontId="7" fillId="0" borderId="14" xfId="0" applyFont="1" applyBorder="1"/>
    <xf numFmtId="0" fontId="7" fillId="0" borderId="17" xfId="0" applyFont="1" applyBorder="1"/>
    <xf numFmtId="0" fontId="7" fillId="0" borderId="18" xfId="0" applyFont="1" applyBorder="1"/>
    <xf numFmtId="0" fontId="0" fillId="3" borderId="17" xfId="0" applyFill="1" applyBorder="1"/>
    <xf numFmtId="2" fontId="0" fillId="0" borderId="3" xfId="0" applyNumberFormat="1" applyBorder="1"/>
    <xf numFmtId="0" fontId="26" fillId="12" borderId="5" xfId="0" applyFont="1" applyFill="1" applyBorder="1" applyAlignment="1"/>
    <xf numFmtId="2" fontId="0" fillId="4" borderId="14" xfId="0" applyNumberFormat="1" applyFill="1" applyBorder="1"/>
    <xf numFmtId="2" fontId="0" fillId="4" borderId="3" xfId="0" applyNumberFormat="1" applyFill="1" applyBorder="1"/>
    <xf numFmtId="0" fontId="7" fillId="9" borderId="13" xfId="0" applyFont="1" applyFill="1" applyBorder="1"/>
    <xf numFmtId="0" fontId="26" fillId="12" borderId="15" xfId="0" applyFont="1" applyFill="1" applyBorder="1"/>
    <xf numFmtId="0" fontId="26" fillId="12" borderId="16" xfId="0" applyFont="1" applyFill="1" applyBorder="1"/>
    <xf numFmtId="2" fontId="0" fillId="3" borderId="18" xfId="0" applyNumberFormat="1" applyFill="1" applyBorder="1"/>
    <xf numFmtId="2" fontId="0" fillId="3" borderId="5" xfId="0" applyNumberFormat="1" applyFill="1" applyBorder="1"/>
    <xf numFmtId="0" fontId="26" fillId="12" borderId="1" xfId="0" applyFont="1" applyFill="1" applyBorder="1" applyAlignment="1">
      <alignment wrapText="1"/>
    </xf>
    <xf numFmtId="0" fontId="26" fillId="12" borderId="1" xfId="0" applyFont="1" applyFill="1" applyBorder="1"/>
    <xf numFmtId="0" fontId="26" fillId="12" borderId="1" xfId="0" applyFont="1" applyFill="1" applyBorder="1" applyAlignment="1"/>
    <xf numFmtId="0" fontId="0" fillId="13" borderId="1" xfId="0" applyFill="1" applyBorder="1"/>
    <xf numFmtId="0" fontId="26" fillId="12" borderId="19" xfId="0" applyFont="1" applyFill="1" applyBorder="1" applyAlignment="1"/>
    <xf numFmtId="0" fontId="26" fillId="12" borderId="10" xfId="0" applyFont="1" applyFill="1" applyBorder="1"/>
    <xf numFmtId="0" fontId="26" fillId="12" borderId="3" xfId="0" applyFont="1" applyFill="1" applyBorder="1"/>
    <xf numFmtId="0" fontId="0" fillId="10" borderId="13" xfId="0" applyFill="1" applyBorder="1"/>
    <xf numFmtId="0" fontId="28" fillId="0" borderId="1" xfId="0" applyFont="1" applyBorder="1"/>
    <xf numFmtId="0" fontId="29" fillId="0" borderId="1" xfId="0" applyFont="1" applyBorder="1"/>
    <xf numFmtId="0" fontId="0" fillId="0" borderId="0" xfId="0" applyAlignment="1">
      <alignment horizontal="center"/>
    </xf>
    <xf numFmtId="0" fontId="0" fillId="14" borderId="1" xfId="0" applyFill="1" applyBorder="1"/>
    <xf numFmtId="0" fontId="0" fillId="14" borderId="14" xfId="0" applyFill="1" applyBorder="1"/>
    <xf numFmtId="0" fontId="0" fillId="9" borderId="14" xfId="0" applyFill="1" applyBorder="1"/>
    <xf numFmtId="0" fontId="0" fillId="0" borderId="5" xfId="0" applyFill="1" applyBorder="1"/>
    <xf numFmtId="0" fontId="31" fillId="12" borderId="13" xfId="0" applyFont="1" applyFill="1" applyBorder="1"/>
    <xf numFmtId="2" fontId="26" fillId="12" borderId="1" xfId="0" applyNumberFormat="1" applyFont="1" applyFill="1" applyBorder="1"/>
    <xf numFmtId="2" fontId="0" fillId="3" borderId="1" xfId="0" applyNumberFormat="1" applyFill="1" applyBorder="1"/>
    <xf numFmtId="2" fontId="0" fillId="0" borderId="1" xfId="0" applyNumberFormat="1" applyBorder="1"/>
    <xf numFmtId="0" fontId="7" fillId="3" borderId="1" xfId="0" applyFont="1" applyFill="1" applyBorder="1"/>
    <xf numFmtId="0" fontId="32" fillId="0" borderId="1" xfId="0" applyFont="1" applyBorder="1" applyAlignment="1">
      <alignment horizontal="center"/>
    </xf>
    <xf numFmtId="1" fontId="2" fillId="4" borderId="1" xfId="0" applyNumberFormat="1" applyFont="1" applyFill="1" applyBorder="1"/>
    <xf numFmtId="0" fontId="0" fillId="0" borderId="0" xfId="0" applyBorder="1"/>
    <xf numFmtId="2" fontId="0" fillId="0" borderId="0" xfId="0" applyNumberFormat="1" applyBorder="1"/>
    <xf numFmtId="0" fontId="3" fillId="0" borderId="0" xfId="1" applyBorder="1" applyAlignment="1" applyProtection="1"/>
    <xf numFmtId="0" fontId="7" fillId="0" borderId="0" xfId="0" applyFont="1" applyBorder="1"/>
    <xf numFmtId="0" fontId="25" fillId="0" borderId="0" xfId="0" applyFont="1"/>
    <xf numFmtId="2" fontId="26" fillId="12" borderId="13" xfId="0" applyNumberFormat="1" applyFont="1" applyFill="1" applyBorder="1"/>
    <xf numFmtId="0" fontId="7" fillId="0" borderId="5" xfId="0" applyFont="1" applyFill="1" applyBorder="1"/>
    <xf numFmtId="0" fontId="0" fillId="0" borderId="21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4" fillId="0" borderId="0" xfId="0" applyFont="1"/>
    <xf numFmtId="0" fontId="35" fillId="0" borderId="1" xfId="0" applyFont="1" applyBorder="1" applyAlignment="1">
      <alignment horizontal="center"/>
    </xf>
    <xf numFmtId="0" fontId="22" fillId="0" borderId="13" xfId="0" applyFont="1" applyBorder="1"/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14" fontId="30" fillId="0" borderId="26" xfId="0" applyNumberFormat="1" applyFont="1" applyBorder="1" applyAlignment="1">
      <alignment horizontal="center"/>
    </xf>
    <xf numFmtId="0" fontId="3" fillId="12" borderId="1" xfId="1" applyFill="1" applyBorder="1" applyAlignment="1" applyProtection="1"/>
    <xf numFmtId="0" fontId="7" fillId="0" borderId="1" xfId="0" applyFont="1" applyFill="1" applyBorder="1"/>
    <xf numFmtId="0" fontId="0" fillId="4" borderId="3" xfId="0" applyFill="1" applyBorder="1"/>
    <xf numFmtId="0" fontId="26" fillId="12" borderId="5" xfId="0" applyFont="1" applyFill="1" applyBorder="1" applyAlignment="1">
      <alignment horizontal="left"/>
    </xf>
    <xf numFmtId="0" fontId="0" fillId="15" borderId="5" xfId="0" applyFill="1" applyBorder="1" applyAlignment="1">
      <alignment wrapText="1"/>
    </xf>
    <xf numFmtId="0" fontId="0" fillId="0" borderId="27" xfId="0" applyFill="1" applyBorder="1"/>
    <xf numFmtId="0" fontId="3" fillId="12" borderId="13" xfId="1" applyFill="1" applyBorder="1" applyAlignment="1" applyProtection="1"/>
    <xf numFmtId="0" fontId="0" fillId="15" borderId="13" xfId="0" applyFont="1" applyFill="1" applyBorder="1"/>
    <xf numFmtId="0" fontId="0" fillId="15" borderId="17" xfId="0" applyFont="1" applyFill="1" applyBorder="1"/>
    <xf numFmtId="0" fontId="0" fillId="14" borderId="18" xfId="0" applyFill="1" applyBorder="1"/>
    <xf numFmtId="0" fontId="0" fillId="3" borderId="18" xfId="0" applyFill="1" applyBorder="1"/>
    <xf numFmtId="0" fontId="0" fillId="0" borderId="13" xfId="0" applyFill="1" applyBorder="1"/>
    <xf numFmtId="0" fontId="0" fillId="0" borderId="14" xfId="0" applyFill="1" applyBorder="1"/>
    <xf numFmtId="0" fontId="26" fillId="12" borderId="8" xfId="0" applyFont="1" applyFill="1" applyBorder="1" applyAlignment="1"/>
    <xf numFmtId="0" fontId="26" fillId="12" borderId="8" xfId="0" applyFont="1" applyFill="1" applyBorder="1"/>
    <xf numFmtId="0" fontId="12" fillId="0" borderId="1" xfId="0" applyFont="1" applyBorder="1"/>
    <xf numFmtId="164" fontId="26" fillId="12" borderId="1" xfId="0" applyNumberFormat="1" applyFont="1" applyFill="1" applyBorder="1"/>
    <xf numFmtId="164" fontId="26" fillId="12" borderId="13" xfId="0" applyNumberFormat="1" applyFont="1" applyFill="1" applyBorder="1"/>
    <xf numFmtId="164" fontId="0" fillId="4" borderId="1" xfId="0" applyNumberFormat="1" applyFill="1" applyBorder="1"/>
    <xf numFmtId="0" fontId="3" fillId="4" borderId="1" xfId="1" applyFill="1" applyBorder="1" applyAlignment="1" applyProtection="1"/>
    <xf numFmtId="0" fontId="7" fillId="4" borderId="1" xfId="0" applyFont="1" applyFill="1" applyBorder="1"/>
    <xf numFmtId="0" fontId="0" fillId="14" borderId="2" xfId="0" applyFill="1" applyBorder="1"/>
    <xf numFmtId="0" fontId="37" fillId="0" borderId="0" xfId="0" applyFont="1"/>
    <xf numFmtId="0" fontId="0" fillId="16" borderId="1" xfId="0" applyFill="1" applyBorder="1"/>
    <xf numFmtId="0" fontId="0" fillId="14" borderId="1" xfId="0" applyFont="1" applyFill="1" applyBorder="1"/>
    <xf numFmtId="2" fontId="0" fillId="0" borderId="13" xfId="0" applyNumberFormat="1" applyBorder="1"/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1" fontId="1" fillId="0" borderId="28" xfId="0" applyNumberFormat="1" applyFont="1" applyBorder="1" applyAlignment="1">
      <alignment horizontal="center" wrapText="1"/>
    </xf>
    <xf numFmtId="0" fontId="26" fillId="12" borderId="13" xfId="0" applyFont="1" applyFill="1" applyBorder="1" applyAlignment="1"/>
    <xf numFmtId="1" fontId="2" fillId="2" borderId="14" xfId="0" applyNumberFormat="1" applyFont="1" applyFill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1" fontId="0" fillId="0" borderId="31" xfId="0" applyNumberFormat="1" applyBorder="1" applyAlignment="1">
      <alignment horizontal="center"/>
    </xf>
    <xf numFmtId="0" fontId="3" fillId="0" borderId="31" xfId="1" applyBorder="1" applyAlignment="1" applyProtection="1"/>
    <xf numFmtId="2" fontId="0" fillId="0" borderId="5" xfId="0" applyNumberFormat="1" applyBorder="1"/>
    <xf numFmtId="164" fontId="26" fillId="12" borderId="3" xfId="0" applyNumberFormat="1" applyFont="1" applyFill="1" applyBorder="1"/>
    <xf numFmtId="2" fontId="26" fillId="12" borderId="3" xfId="0" applyNumberFormat="1" applyFont="1" applyFill="1" applyBorder="1"/>
    <xf numFmtId="0" fontId="0" fillId="0" borderId="13" xfId="0" applyBorder="1" applyAlignment="1">
      <alignment wrapText="1"/>
    </xf>
    <xf numFmtId="0" fontId="26" fillId="12" borderId="5" xfId="0" applyFont="1" applyFill="1" applyBorder="1"/>
    <xf numFmtId="0" fontId="11" fillId="0" borderId="1" xfId="0" applyFont="1" applyBorder="1" applyAlignment="1">
      <alignment horizontal="center"/>
    </xf>
    <xf numFmtId="1" fontId="0" fillId="0" borderId="0" xfId="0" applyNumberFormat="1"/>
    <xf numFmtId="0" fontId="0" fillId="3" borderId="1" xfId="0" applyFont="1" applyFill="1" applyBorder="1"/>
    <xf numFmtId="0" fontId="40" fillId="0" borderId="1" xfId="0" applyFont="1" applyBorder="1"/>
    <xf numFmtId="0" fontId="1" fillId="7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0" fontId="0" fillId="0" borderId="1" xfId="0" applyFont="1" applyBorder="1"/>
    <xf numFmtId="0" fontId="0" fillId="0" borderId="7" xfId="0" applyFont="1" applyBorder="1"/>
    <xf numFmtId="0" fontId="0" fillId="3" borderId="8" xfId="0" applyFont="1" applyFill="1" applyBorder="1" applyAlignment="1">
      <alignment wrapText="1"/>
    </xf>
    <xf numFmtId="0" fontId="0" fillId="0" borderId="8" xfId="0" applyFont="1" applyBorder="1"/>
    <xf numFmtId="0" fontId="0" fillId="0" borderId="0" xfId="0" applyFont="1"/>
    <xf numFmtId="1" fontId="26" fillId="12" borderId="1" xfId="0" applyNumberFormat="1" applyFont="1" applyFill="1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FF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2;@&#1084;&#1072;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An@stasia" TargetMode="External"/><Relationship Id="rId1" Type="http://schemas.openxmlformats.org/officeDocument/2006/relationships/hyperlink" Target="http://item2.gmarket.co.kr/English/detailview/item.aspx?goodscode=20862136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01104920" TargetMode="External"/><Relationship Id="rId2" Type="http://schemas.openxmlformats.org/officeDocument/2006/relationships/hyperlink" Target="http://item2.gmarket.co.kr/English/detailview/item.aspx?goodscode=223288272" TargetMode="External"/><Relationship Id="rId1" Type="http://schemas.openxmlformats.org/officeDocument/2006/relationships/hyperlink" Target="http://item2.gmarket.co.kr/English/detailview/item.aspx?goodscode=410739572" TargetMode="External"/><Relationship Id="rId5" Type="http://schemas.openxmlformats.org/officeDocument/2006/relationships/hyperlink" Target="http://forum.sibmama.ru/viewtopic.php?p=45223226" TargetMode="External"/><Relationship Id="rId4" Type="http://schemas.openxmlformats.org/officeDocument/2006/relationships/hyperlink" Target="http://item2.gmarket.co.kr/English/detailview/item.aspx?goodscode=19032731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@stasia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12375&amp;sid=dcb6e6a85eed2880dc184add35c1923b" TargetMode="External"/><Relationship Id="rId1" Type="http://schemas.openxmlformats.org/officeDocument/2006/relationships/hyperlink" Target="http://forum.sibmama.ru/viewtopic.php?t=715424&amp;start=12315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@stasia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651805315" TargetMode="External"/><Relationship Id="rId2" Type="http://schemas.openxmlformats.org/officeDocument/2006/relationships/hyperlink" Target="http://item2.gmarket.co.kr/English/detailview/item.aspx?goodscode=428396067" TargetMode="External"/><Relationship Id="rId1" Type="http://schemas.openxmlformats.org/officeDocument/2006/relationships/hyperlink" Target="http://item2.gmarket.co.kr/English/detailview/item.aspx?goodscode=341810899" TargetMode="External"/><Relationship Id="rId4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item2.gmarket.co.kr/English/detailview/item.aspx?goodscode=555762514" TargetMode="External"/><Relationship Id="rId1" Type="http://schemas.openxmlformats.org/officeDocument/2006/relationships/hyperlink" Target="http://item2.gmarket.co.kr/English/detailview/item.aspx?goodscode=555762514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p=63072629" TargetMode="External"/><Relationship Id="rId1" Type="http://schemas.openxmlformats.org/officeDocument/2006/relationships/hyperlink" Target="http://forum.sibmama.ru/showfull.php?pic=157583_800x467_2.png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346997384" TargetMode="External"/><Relationship Id="rId2" Type="http://schemas.openxmlformats.org/officeDocument/2006/relationships/hyperlink" Target="http://forum.sibmama.ru/viewtopic.php?p=63531625" TargetMode="External"/><Relationship Id="rId1" Type="http://schemas.openxmlformats.org/officeDocument/2006/relationships/hyperlink" Target="http://forum.sibmama.ru/viewtopic.php?p=63531625" TargetMode="External"/><Relationship Id="rId5" Type="http://schemas.openxmlformats.org/officeDocument/2006/relationships/hyperlink" Target="http://item2.gmarket.co.kr/English/detailview/item.aspx?goodscode=674988968" TargetMode="External"/><Relationship Id="rId4" Type="http://schemas.openxmlformats.org/officeDocument/2006/relationships/hyperlink" Target="http://item2.gmarket.co.kr/English/detailview/item.aspx?goodscode=233056303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0880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hyperlink" Target="mailto:&#1052;@&#1084;&#1072;" TargetMode="External"/><Relationship Id="rId1" Type="http://schemas.openxmlformats.org/officeDocument/2006/relationships/hyperlink" Target="http://forum.sibmama.ru/viewtopic.php?t=715424&amp;start=2178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23565&amp;sid=370e2006eb6399aebce92f4dbdde2f06" TargetMode="External"/><Relationship Id="rId2" Type="http://schemas.openxmlformats.org/officeDocument/2006/relationships/hyperlink" Target="http://mg.gmarket.co.kr/Item?goodscode=412197761" TargetMode="External"/><Relationship Id="rId1" Type="http://schemas.openxmlformats.org/officeDocument/2006/relationships/hyperlink" Target="http://forum.sibmama.ru/viewtopic.php?t=715424&amp;start=22980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forum.sibmama.ru/viewtopic.php?t=715424&amp;start=23265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10477678" TargetMode="External"/><Relationship Id="rId2" Type="http://schemas.openxmlformats.org/officeDocument/2006/relationships/hyperlink" Target="http://forum.sibmama.ru/viewtopic.php?t=715424&amp;start=23715" TargetMode="External"/><Relationship Id="rId1" Type="http://schemas.openxmlformats.org/officeDocument/2006/relationships/hyperlink" Target="http://forum.sibmama.ru/viewtopic.php?t=715424&amp;start=23565&amp;sid=370e2006eb6399aebce92f4dbdde2f06" TargetMode="External"/><Relationship Id="rId4" Type="http://schemas.openxmlformats.org/officeDocument/2006/relationships/printerSettings" Target="../printerSettings/printerSettings1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4645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25350" TargetMode="External"/><Relationship Id="rId2" Type="http://schemas.openxmlformats.org/officeDocument/2006/relationships/hyperlink" Target="http://forum.sibmama.ru/viewtopic.php?t=715424&amp;start=25320" TargetMode="External"/><Relationship Id="rId1" Type="http://schemas.openxmlformats.org/officeDocument/2006/relationships/hyperlink" Target="http://item2.gmarket.co.kr/English/detailview/item.aspx?goodscode=412197761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p=78007979" TargetMode="External"/><Relationship Id="rId2" Type="http://schemas.openxmlformats.org/officeDocument/2006/relationships/hyperlink" Target="http://forum.sibmama.ru/viewtopic.php?p=77935251" TargetMode="External"/><Relationship Id="rId1" Type="http://schemas.openxmlformats.org/officeDocument/2006/relationships/hyperlink" Target="http://forum.sibmama.ru/viewtopic.php?t=715424&amp;start=26430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28875" TargetMode="External"/><Relationship Id="rId1" Type="http://schemas.openxmlformats.org/officeDocument/2006/relationships/hyperlink" Target="http://forum.sibmama.ru/viewtopic.php?t=715424&amp;skw=%CA%EB%F3%E1%EE%EA&amp;sko=0" TargetMode="Externa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28875" TargetMode="External"/><Relationship Id="rId1" Type="http://schemas.openxmlformats.org/officeDocument/2006/relationships/hyperlink" Target="http://forum.sibmama.ru/viewtopic.php?t=715424&amp;skw=%CA%EB%F3%E1%EE%EA&amp;sko=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item2.gmarket.co.kr/English/detailview/Item.aspx?goodscode=250825657" TargetMode="Externa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9325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30195" TargetMode="External"/><Relationship Id="rId2" Type="http://schemas.openxmlformats.org/officeDocument/2006/relationships/hyperlink" Target="http://forum.sibmama.ru/viewtopic.php?p=85624875" TargetMode="External"/><Relationship Id="rId1" Type="http://schemas.openxmlformats.org/officeDocument/2006/relationships/hyperlink" Target="http://forum.sibmama.ru/viewtopic.php?t=715424&amp;start=30090" TargetMode="External"/><Relationship Id="rId4" Type="http://schemas.openxmlformats.org/officeDocument/2006/relationships/hyperlink" Target="http://forum.sibmama.ru/viewtopic.php?p=86111005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2"/>
  <sheetViews>
    <sheetView topLeftCell="A70" zoomScale="80" zoomScaleNormal="80" workbookViewId="0">
      <selection activeCell="B94" sqref="B94"/>
    </sheetView>
  </sheetViews>
  <sheetFormatPr defaultRowHeight="15" x14ac:dyDescent="0.25"/>
  <cols>
    <col min="1" max="1" width="28" style="242" customWidth="1"/>
    <col min="2" max="2" width="16.7109375" style="160" customWidth="1"/>
    <col min="3" max="3" width="31.85546875" customWidth="1"/>
  </cols>
  <sheetData>
    <row r="1" spans="1:4" ht="61.5" x14ac:dyDescent="0.35">
      <c r="A1" s="236" t="s">
        <v>182</v>
      </c>
      <c r="B1" s="68" t="s">
        <v>188</v>
      </c>
      <c r="C1" s="68" t="s">
        <v>189</v>
      </c>
      <c r="D1" s="212" t="s">
        <v>183</v>
      </c>
    </row>
    <row r="2" spans="1:4" ht="21" x14ac:dyDescent="0.35">
      <c r="A2" s="237">
        <v>51150</v>
      </c>
      <c r="B2" s="51">
        <f>'34'!L12</f>
        <v>-0.38751000000002023</v>
      </c>
      <c r="C2" s="70">
        <v>35</v>
      </c>
      <c r="D2" s="212" t="s">
        <v>187</v>
      </c>
    </row>
    <row r="3" spans="1:4" ht="21" x14ac:dyDescent="0.35">
      <c r="A3" s="65" t="s">
        <v>449</v>
      </c>
      <c r="B3" s="51">
        <f>'17'!L27</f>
        <v>0.17795000000000982</v>
      </c>
      <c r="C3" s="70">
        <v>18</v>
      </c>
      <c r="D3" s="212" t="s">
        <v>816</v>
      </c>
    </row>
    <row r="4" spans="1:4" ht="21" x14ac:dyDescent="0.35">
      <c r="A4" s="65" t="s">
        <v>705</v>
      </c>
      <c r="B4" s="51">
        <f>'33'!L6</f>
        <v>0.1591200000000299</v>
      </c>
      <c r="C4" s="70">
        <v>34</v>
      </c>
      <c r="D4" s="212"/>
    </row>
    <row r="5" spans="1:4" x14ac:dyDescent="0.25">
      <c r="A5" s="65" t="s">
        <v>121</v>
      </c>
      <c r="B5" s="51">
        <f>'3'!L90</f>
        <v>0.43039999999996326</v>
      </c>
      <c r="C5" s="70">
        <v>3</v>
      </c>
      <c r="D5" s="69"/>
    </row>
    <row r="6" spans="1:4" x14ac:dyDescent="0.25">
      <c r="A6" s="65" t="s">
        <v>336</v>
      </c>
      <c r="B6" s="51">
        <f>'12'!L17+'13'!L20</f>
        <v>3.954810000000009</v>
      </c>
      <c r="C6" s="70" t="s">
        <v>367</v>
      </c>
      <c r="D6" s="69"/>
    </row>
    <row r="7" spans="1:4" x14ac:dyDescent="0.25">
      <c r="A7" s="65" t="s">
        <v>179</v>
      </c>
      <c r="B7" s="51">
        <f>'4'!L25</f>
        <v>6.0853999999999928</v>
      </c>
      <c r="C7" s="70">
        <v>4</v>
      </c>
    </row>
    <row r="8" spans="1:4" x14ac:dyDescent="0.25">
      <c r="A8" s="65" t="s">
        <v>637</v>
      </c>
      <c r="B8" s="51">
        <f>'30'!L21</f>
        <v>16.747600000000148</v>
      </c>
      <c r="C8" s="70">
        <v>31</v>
      </c>
    </row>
    <row r="9" spans="1:4" x14ac:dyDescent="0.25">
      <c r="A9" s="65" t="s">
        <v>249</v>
      </c>
      <c r="B9" s="51">
        <f>'7'!L20</f>
        <v>-31.68433333333337</v>
      </c>
      <c r="C9" s="70">
        <v>7</v>
      </c>
      <c r="D9" s="69"/>
    </row>
    <row r="10" spans="1:4" x14ac:dyDescent="0.25">
      <c r="A10" s="65" t="s">
        <v>408</v>
      </c>
      <c r="B10" s="51">
        <f>'15'!L12</f>
        <v>3.9373199999999997</v>
      </c>
      <c r="C10" s="70">
        <v>15</v>
      </c>
      <c r="D10" s="69"/>
    </row>
    <row r="11" spans="1:4" x14ac:dyDescent="0.25">
      <c r="A11" s="65" t="s">
        <v>675</v>
      </c>
      <c r="B11" s="51">
        <f>'31'!L41+'33'!L24</f>
        <v>-0.44236000000000786</v>
      </c>
      <c r="C11" s="70" t="s">
        <v>721</v>
      </c>
      <c r="D11" s="69"/>
    </row>
    <row r="12" spans="1:4" x14ac:dyDescent="0.25">
      <c r="A12" s="65" t="s">
        <v>25</v>
      </c>
      <c r="B12" s="74">
        <f>'2итог'!L40+'9'!L23</f>
        <v>5.4230799999999988</v>
      </c>
      <c r="C12" s="70" t="s">
        <v>313</v>
      </c>
    </row>
    <row r="13" spans="1:4" x14ac:dyDescent="0.25">
      <c r="A13" s="65" t="s">
        <v>31</v>
      </c>
      <c r="B13" s="51">
        <f>'2итог'!L68+'8'!L6+'40'!L12</f>
        <v>8.3399999999983265E-2</v>
      </c>
      <c r="C13" s="70" t="s">
        <v>854</v>
      </c>
    </row>
    <row r="14" spans="1:4" x14ac:dyDescent="0.25">
      <c r="A14" s="238" t="s">
        <v>522</v>
      </c>
      <c r="B14" s="51">
        <f>'22'!L43</f>
        <v>5.7899999999904139E-2</v>
      </c>
      <c r="C14" s="70">
        <v>23</v>
      </c>
    </row>
    <row r="15" spans="1:4" x14ac:dyDescent="0.25">
      <c r="A15" s="238" t="s">
        <v>986</v>
      </c>
      <c r="B15" s="51">
        <f>'49'!L35</f>
        <v>-0.12899999999990541</v>
      </c>
      <c r="C15" s="70">
        <v>50</v>
      </c>
    </row>
    <row r="16" spans="1:4" x14ac:dyDescent="0.25">
      <c r="A16" s="65" t="s">
        <v>165</v>
      </c>
      <c r="B16" s="51">
        <f>'4'!L49+'5'!L60+'13'!L18+'16'!L6+'17'!L17+'19'!L19</f>
        <v>59.122805666666864</v>
      </c>
      <c r="C16" s="70" t="s">
        <v>472</v>
      </c>
    </row>
    <row r="17" spans="1:3" x14ac:dyDescent="0.25">
      <c r="A17" s="65" t="s">
        <v>130</v>
      </c>
      <c r="B17" s="51">
        <f>'3'!L12+'4'!L8</f>
        <v>4.0525399999999649</v>
      </c>
      <c r="C17" s="70">
        <v>3.4</v>
      </c>
    </row>
    <row r="18" spans="1:3" x14ac:dyDescent="0.25">
      <c r="A18" s="65" t="s">
        <v>213</v>
      </c>
      <c r="B18" s="51">
        <f>'5'!L12</f>
        <v>-2.7871300000000048</v>
      </c>
      <c r="C18" s="70">
        <v>5</v>
      </c>
    </row>
    <row r="19" spans="1:3" x14ac:dyDescent="0.25">
      <c r="A19" s="238" t="s">
        <v>519</v>
      </c>
      <c r="B19" s="51">
        <f>'22'!L39</f>
        <v>5.7899999999904139E-2</v>
      </c>
      <c r="C19" s="70">
        <v>23</v>
      </c>
    </row>
    <row r="20" spans="1:3" x14ac:dyDescent="0.25">
      <c r="A20" s="65" t="s">
        <v>339</v>
      </c>
      <c r="B20" s="51">
        <f>'12'!L23+'13'!L13</f>
        <v>7.8253999999999451</v>
      </c>
      <c r="C20" s="70" t="s">
        <v>367</v>
      </c>
    </row>
    <row r="21" spans="1:3" x14ac:dyDescent="0.25">
      <c r="A21" s="65" t="s">
        <v>21</v>
      </c>
      <c r="B21" s="51">
        <f>'2итог'!L20+'7'!L16</f>
        <v>-10.683320000000094</v>
      </c>
      <c r="C21" s="70" t="s">
        <v>269</v>
      </c>
    </row>
    <row r="22" spans="1:3" x14ac:dyDescent="0.25">
      <c r="A22" s="65" t="s">
        <v>737</v>
      </c>
      <c r="B22" s="51">
        <f>'34'!L38</f>
        <v>0.43110000000001492</v>
      </c>
      <c r="C22" s="70">
        <v>35</v>
      </c>
    </row>
    <row r="23" spans="1:3" x14ac:dyDescent="0.25">
      <c r="A23" s="65" t="s">
        <v>441</v>
      </c>
      <c r="B23" s="51">
        <f>'17'!L19</f>
        <v>1.4999999999872671E-2</v>
      </c>
      <c r="C23" s="70">
        <v>18</v>
      </c>
    </row>
    <row r="24" spans="1:3" x14ac:dyDescent="0.25">
      <c r="A24" s="65" t="s">
        <v>812</v>
      </c>
      <c r="B24" s="51">
        <f>'38'!L8</f>
        <v>0.47559999999975844</v>
      </c>
      <c r="C24" s="70">
        <v>39</v>
      </c>
    </row>
    <row r="25" spans="1:3" x14ac:dyDescent="0.25">
      <c r="A25" s="65" t="s">
        <v>198</v>
      </c>
      <c r="B25" s="51">
        <f>'5'!L20</f>
        <v>0.12885999999997466</v>
      </c>
      <c r="C25" s="70">
        <v>5</v>
      </c>
    </row>
    <row r="26" spans="1:3" x14ac:dyDescent="0.25">
      <c r="A26" s="65" t="s">
        <v>827</v>
      </c>
      <c r="B26" s="51">
        <f>'39'!L20+'45'!L8</f>
        <v>4.8746580000000677</v>
      </c>
      <c r="C26" s="70" t="s">
        <v>930</v>
      </c>
    </row>
    <row r="27" spans="1:3" x14ac:dyDescent="0.25">
      <c r="A27" s="65" t="s">
        <v>123</v>
      </c>
      <c r="B27" s="51">
        <f>'3'!L82+'5'!L27+'39'!L22</f>
        <v>0.44867999999995334</v>
      </c>
      <c r="C27" s="70" t="s">
        <v>834</v>
      </c>
    </row>
    <row r="28" spans="1:3" x14ac:dyDescent="0.25">
      <c r="A28" s="65" t="s">
        <v>38</v>
      </c>
      <c r="B28" s="51">
        <f>'2итог'!L76</f>
        <v>3.6608099999999695</v>
      </c>
      <c r="C28" s="70">
        <v>2</v>
      </c>
    </row>
    <row r="29" spans="1:3" x14ac:dyDescent="0.25">
      <c r="A29" s="65" t="s">
        <v>549</v>
      </c>
      <c r="B29" s="51">
        <f>'26'!L6</f>
        <v>-873.08860000000004</v>
      </c>
      <c r="C29" s="70">
        <v>27</v>
      </c>
    </row>
    <row r="30" spans="1:3" x14ac:dyDescent="0.25">
      <c r="A30" s="65" t="s">
        <v>759</v>
      </c>
      <c r="B30" s="51">
        <f>'35'!L14</f>
        <v>0.46999999999997044</v>
      </c>
      <c r="C30" s="70">
        <v>36</v>
      </c>
    </row>
    <row r="31" spans="1:3" x14ac:dyDescent="0.25">
      <c r="A31" s="65" t="s">
        <v>736</v>
      </c>
      <c r="B31" s="51">
        <f>'34'!L36</f>
        <v>0.43110000000001492</v>
      </c>
      <c r="C31" s="70">
        <v>35</v>
      </c>
    </row>
    <row r="32" spans="1:3" x14ac:dyDescent="0.25">
      <c r="A32" s="65" t="s">
        <v>377</v>
      </c>
      <c r="B32" s="51">
        <f>'14'!L45</f>
        <v>-0.11673999999999296</v>
      </c>
      <c r="C32" s="70">
        <v>14</v>
      </c>
    </row>
    <row r="33" spans="1:3" x14ac:dyDescent="0.25">
      <c r="A33" s="65" t="s">
        <v>493</v>
      </c>
      <c r="B33" s="51">
        <f>'21'!L16</f>
        <v>-6.2821500000000015</v>
      </c>
      <c r="C33" s="70">
        <v>22</v>
      </c>
    </row>
    <row r="34" spans="1:3" x14ac:dyDescent="0.25">
      <c r="A34" s="65" t="s">
        <v>781</v>
      </c>
      <c r="B34" s="51">
        <f>'37'!L10</f>
        <v>-0.39253366666667944</v>
      </c>
      <c r="C34" s="70">
        <v>38</v>
      </c>
    </row>
    <row r="35" spans="1:3" x14ac:dyDescent="0.25">
      <c r="A35" s="65" t="s">
        <v>410</v>
      </c>
      <c r="B35" s="51">
        <f>'15'!L14+'19'!L12</f>
        <v>-9.8799999999528154E-3</v>
      </c>
      <c r="C35" s="70" t="s">
        <v>469</v>
      </c>
    </row>
    <row r="36" spans="1:3" x14ac:dyDescent="0.25">
      <c r="A36" s="238" t="s">
        <v>508</v>
      </c>
      <c r="B36" s="51">
        <f>'22'!L14</f>
        <v>-0.39499999999998181</v>
      </c>
      <c r="C36" s="70">
        <v>23</v>
      </c>
    </row>
    <row r="37" spans="1:3" x14ac:dyDescent="0.25">
      <c r="A37" s="238" t="s">
        <v>861</v>
      </c>
      <c r="B37" s="51">
        <f>'41'!L12</f>
        <v>0.26933000000008178</v>
      </c>
      <c r="C37" s="70">
        <v>42</v>
      </c>
    </row>
    <row r="38" spans="1:3" x14ac:dyDescent="0.25">
      <c r="A38" s="238" t="s">
        <v>682</v>
      </c>
      <c r="B38" s="51">
        <f>'32'!L12+'33'!L12+'37'!L14</f>
        <v>-5.8059100000001536</v>
      </c>
      <c r="C38" s="70" t="s">
        <v>805</v>
      </c>
    </row>
    <row r="39" spans="1:3" x14ac:dyDescent="0.25">
      <c r="A39" s="238" t="s">
        <v>534</v>
      </c>
      <c r="B39" s="51">
        <f>'23'!L14</f>
        <v>0.17160000000001219</v>
      </c>
      <c r="C39" s="70">
        <v>24</v>
      </c>
    </row>
    <row r="40" spans="1:3" x14ac:dyDescent="0.25">
      <c r="A40" s="238" t="s">
        <v>537</v>
      </c>
      <c r="B40" s="51">
        <f>'24'!L8</f>
        <v>3.8900000000012369E-2</v>
      </c>
      <c r="C40" s="70">
        <v>25</v>
      </c>
    </row>
    <row r="41" spans="1:3" x14ac:dyDescent="0.25">
      <c r="A41" s="65" t="s">
        <v>28</v>
      </c>
      <c r="B41" s="51">
        <f>'2итог'!L55+'3'!L8+'4'!L86+'20'!L15</f>
        <v>-0.3080000000002201</v>
      </c>
      <c r="C41" s="70" t="s">
        <v>485</v>
      </c>
    </row>
    <row r="42" spans="1:3" x14ac:dyDescent="0.25">
      <c r="A42" s="238" t="s">
        <v>518</v>
      </c>
      <c r="B42" s="51">
        <f>'22'!L37+'31'!L10</f>
        <v>2.7462333333332367</v>
      </c>
      <c r="C42" s="70" t="s">
        <v>678</v>
      </c>
    </row>
    <row r="43" spans="1:3" x14ac:dyDescent="0.25">
      <c r="A43" s="238" t="s">
        <v>517</v>
      </c>
      <c r="B43" s="51">
        <f>'22'!L35</f>
        <v>5.7899999999904139E-2</v>
      </c>
      <c r="C43" s="70">
        <v>23</v>
      </c>
    </row>
    <row r="44" spans="1:3" x14ac:dyDescent="0.25">
      <c r="A44" s="65" t="s">
        <v>133</v>
      </c>
      <c r="B44" s="51">
        <f>'3'!L76+'4'!L72</f>
        <v>34.322133333333426</v>
      </c>
      <c r="C44" s="70" t="s">
        <v>186</v>
      </c>
    </row>
    <row r="45" spans="1:3" x14ac:dyDescent="0.25">
      <c r="A45" s="65" t="s">
        <v>655</v>
      </c>
      <c r="B45" s="51">
        <f>'31'!L6</f>
        <v>3.1850000000000023</v>
      </c>
      <c r="C45" s="70">
        <v>32</v>
      </c>
    </row>
    <row r="46" spans="1:3" x14ac:dyDescent="0.25">
      <c r="A46" s="65" t="s">
        <v>40</v>
      </c>
      <c r="B46" s="51">
        <f>'2итог'!L80+'3'!L88+'4'!L44+'5'!L18+'6'!L18</f>
        <v>-13.151913333333596</v>
      </c>
      <c r="C46" s="70" t="s">
        <v>234</v>
      </c>
    </row>
    <row r="47" spans="1:3" x14ac:dyDescent="0.25">
      <c r="A47" s="65" t="s">
        <v>688</v>
      </c>
      <c r="B47" s="51">
        <f>'32'!L21+'37'!L40</f>
        <v>-0.57717700000011973</v>
      </c>
      <c r="C47" s="70" t="s">
        <v>808</v>
      </c>
    </row>
    <row r="48" spans="1:3" x14ac:dyDescent="0.25">
      <c r="A48" s="65" t="s">
        <v>617</v>
      </c>
      <c r="B48" s="51">
        <f>'29'!L40</f>
        <v>0.34900000000004638</v>
      </c>
      <c r="C48" s="70">
        <v>30</v>
      </c>
    </row>
    <row r="49" spans="1:3" x14ac:dyDescent="0.25">
      <c r="A49" s="65" t="s">
        <v>30</v>
      </c>
      <c r="B49" s="51">
        <f>'2итог'!L65+'3'!L67+'4'!L14</f>
        <v>6.1778753333333043</v>
      </c>
      <c r="C49" s="70" t="s">
        <v>184</v>
      </c>
    </row>
    <row r="50" spans="1:3" x14ac:dyDescent="0.25">
      <c r="A50" s="238" t="s">
        <v>39</v>
      </c>
      <c r="B50" s="51">
        <f>'2итог'!L78+'3'!L20+'3'!L23+'5'!L48+'6'!L6+'12'!L29+'14'!L47+'16'!L12+'18'!L11+'21'!L12+'22'!L45</f>
        <v>0.2988050000000726</v>
      </c>
      <c r="C50" s="70" t="s">
        <v>528</v>
      </c>
    </row>
    <row r="51" spans="1:3" ht="30" x14ac:dyDescent="0.25">
      <c r="A51" s="238" t="s">
        <v>2</v>
      </c>
      <c r="B51" s="51">
        <f>'2итог'!L45+'3'!L30+'4'!L55+'5'!L44+'6'!L14+'8'!L12+'10'!L21+'12'!L34+'15'!L8+'16'!L10+'20'!L11+'22'!L6+'23'!L8+'27'!L13+'30'!L31+'31'!L37+'32'!L18+'34'!L16+'35'!L18+'42'!L6</f>
        <v>11.22031416666573</v>
      </c>
      <c r="C51" s="70" t="s">
        <v>896</v>
      </c>
    </row>
    <row r="52" spans="1:3" x14ac:dyDescent="0.25">
      <c r="A52" s="238" t="s">
        <v>878</v>
      </c>
      <c r="B52" s="51">
        <f>'41'!L33</f>
        <v>1.3550000000009277E-2</v>
      </c>
      <c r="C52" s="70">
        <v>42</v>
      </c>
    </row>
    <row r="53" spans="1:3" x14ac:dyDescent="0.25">
      <c r="A53" s="238" t="s">
        <v>515</v>
      </c>
      <c r="B53" s="51">
        <f>'6'!L8+'7'!L6+'17'!L23</f>
        <v>-0.17543333333333067</v>
      </c>
      <c r="C53" s="70" t="s">
        <v>527</v>
      </c>
    </row>
    <row r="54" spans="1:3" x14ac:dyDescent="0.25">
      <c r="A54" s="238" t="s">
        <v>515</v>
      </c>
      <c r="B54" s="51">
        <f>'22'!L31</f>
        <v>5.7899999999904139E-2</v>
      </c>
      <c r="C54" s="70">
        <v>23</v>
      </c>
    </row>
    <row r="55" spans="1:3" x14ac:dyDescent="0.25">
      <c r="A55" s="238" t="s">
        <v>876</v>
      </c>
      <c r="B55" s="51">
        <f>'41'!L25</f>
        <v>-10.476200000000063</v>
      </c>
      <c r="C55" s="70">
        <v>42</v>
      </c>
    </row>
    <row r="56" spans="1:3" x14ac:dyDescent="0.25">
      <c r="A56" s="65" t="s">
        <v>124</v>
      </c>
      <c r="B56" s="51">
        <f>'3'!L71+'5'!L30</f>
        <v>-13.888610000000085</v>
      </c>
      <c r="C56" s="70" t="s">
        <v>214</v>
      </c>
    </row>
    <row r="57" spans="1:3" x14ac:dyDescent="0.25">
      <c r="A57" s="65" t="s">
        <v>24</v>
      </c>
      <c r="B57" s="51">
        <f>'2итог'!L33+'3'!L33+'7'!L29</f>
        <v>-18.222000000000207</v>
      </c>
      <c r="C57" s="70" t="s">
        <v>270</v>
      </c>
    </row>
    <row r="58" spans="1:3" x14ac:dyDescent="0.25">
      <c r="A58" s="65" t="s">
        <v>538</v>
      </c>
      <c r="B58" s="51">
        <f>'24'!L10</f>
        <v>5.4800000000000182E-2</v>
      </c>
      <c r="C58" s="70">
        <v>25</v>
      </c>
    </row>
    <row r="59" spans="1:3" x14ac:dyDescent="0.25">
      <c r="A59" s="65" t="s">
        <v>20</v>
      </c>
      <c r="B59" s="51">
        <f>'2итог'!L15+'4'!L88+'7'!L14+'15'!L6+'19'!L17</f>
        <v>0.1099366666660444</v>
      </c>
      <c r="C59" s="70" t="s">
        <v>470</v>
      </c>
    </row>
    <row r="60" spans="1:3" x14ac:dyDescent="0.25">
      <c r="A60" s="238" t="s">
        <v>992</v>
      </c>
      <c r="B60" s="51">
        <f>'49'!L42+'50'!L18</f>
        <v>-6.0069999999882384E-2</v>
      </c>
      <c r="C60" s="70" t="s">
        <v>1013</v>
      </c>
    </row>
    <row r="61" spans="1:3" x14ac:dyDescent="0.25">
      <c r="A61" s="65" t="s">
        <v>42</v>
      </c>
      <c r="B61" s="51">
        <f>'2итог'!L84+'3'!L96</f>
        <v>3.2574099999999362</v>
      </c>
      <c r="C61" s="70" t="s">
        <v>185</v>
      </c>
    </row>
    <row r="62" spans="1:3" x14ac:dyDescent="0.25">
      <c r="A62" s="65" t="s">
        <v>877</v>
      </c>
      <c r="B62" s="51" t="e">
        <f>'41'!#REF!</f>
        <v>#REF!</v>
      </c>
      <c r="C62" s="70">
        <v>42</v>
      </c>
    </row>
    <row r="63" spans="1:3" x14ac:dyDescent="0.25">
      <c r="A63" s="65" t="s">
        <v>560</v>
      </c>
      <c r="B63" s="51">
        <f>'26'!L22+'31'!L25</f>
        <v>0.30173333333345909</v>
      </c>
      <c r="C63" s="70" t="s">
        <v>679</v>
      </c>
    </row>
    <row r="64" spans="1:3" x14ac:dyDescent="0.25">
      <c r="A64" s="238" t="s">
        <v>976</v>
      </c>
      <c r="B64" s="51">
        <f>'49'!L20</f>
        <v>-5.5000000000291038E-2</v>
      </c>
      <c r="C64" s="70">
        <v>49</v>
      </c>
    </row>
    <row r="65" spans="1:3" x14ac:dyDescent="0.25">
      <c r="A65" s="238" t="s">
        <v>1009</v>
      </c>
      <c r="B65" s="51">
        <f>'50'!L20</f>
        <v>0.44139999999993051</v>
      </c>
      <c r="C65" s="70">
        <v>50</v>
      </c>
    </row>
    <row r="66" spans="1:3" x14ac:dyDescent="0.25">
      <c r="A66" s="238" t="s">
        <v>1021</v>
      </c>
      <c r="B66" s="51">
        <f>'51'!L19</f>
        <v>-0.33796266666649899</v>
      </c>
      <c r="C66" s="70">
        <v>51</v>
      </c>
    </row>
    <row r="67" spans="1:3" x14ac:dyDescent="0.25">
      <c r="A67" s="65" t="s">
        <v>191</v>
      </c>
      <c r="B67" s="51">
        <f>'5'!L8+'8'!L8+'12'!L32</f>
        <v>-1.2971199999999641</v>
      </c>
      <c r="C67" s="70" t="s">
        <v>353</v>
      </c>
    </row>
    <row r="68" spans="1:3" x14ac:dyDescent="0.25">
      <c r="A68" s="65" t="s">
        <v>0</v>
      </c>
      <c r="B68" s="51">
        <f>'2итог'!L23+'4'!L22</f>
        <v>16.694627999999966</v>
      </c>
      <c r="C68" s="70">
        <v>2.4</v>
      </c>
    </row>
    <row r="69" spans="1:3" x14ac:dyDescent="0.25">
      <c r="A69" s="65" t="s">
        <v>750</v>
      </c>
      <c r="B69" s="51">
        <f>'34'!L32+'36'!L15+'42'!L21</f>
        <v>-12.330452166666532</v>
      </c>
      <c r="C69" s="70" t="s">
        <v>900</v>
      </c>
    </row>
    <row r="70" spans="1:3" x14ac:dyDescent="0.25">
      <c r="A70" s="65" t="s">
        <v>933</v>
      </c>
      <c r="B70" s="51">
        <f>'46'!L8</f>
        <v>-9.2895999999996093E-2</v>
      </c>
      <c r="C70" s="70">
        <v>47</v>
      </c>
    </row>
    <row r="71" spans="1:3" x14ac:dyDescent="0.25">
      <c r="A71" s="65" t="s">
        <v>887</v>
      </c>
      <c r="B71" s="51">
        <f>'42'!L13</f>
        <v>0.45487199999979566</v>
      </c>
      <c r="C71" s="70">
        <v>43</v>
      </c>
    </row>
    <row r="72" spans="1:3" x14ac:dyDescent="0.25">
      <c r="A72" s="65" t="s">
        <v>611</v>
      </c>
      <c r="B72" s="51">
        <f>'29'!L32+'30'!L6</f>
        <v>319.11960000000045</v>
      </c>
      <c r="C72" s="70" t="s">
        <v>649</v>
      </c>
    </row>
    <row r="73" spans="1:3" x14ac:dyDescent="0.25">
      <c r="A73" s="65" t="s">
        <v>562</v>
      </c>
      <c r="B73" s="51">
        <f>'26'!L24</f>
        <v>-0.12247999999999593</v>
      </c>
      <c r="C73" s="70">
        <v>27</v>
      </c>
    </row>
    <row r="74" spans="1:3" x14ac:dyDescent="0.25">
      <c r="A74" s="65" t="s">
        <v>32</v>
      </c>
      <c r="B74" s="51">
        <f>'2итог'!L70+'3'!L57+'4'!L33+'5'!L51+'13'!L16</f>
        <v>-8.3208633333331932</v>
      </c>
      <c r="C74" s="70" t="s">
        <v>369</v>
      </c>
    </row>
    <row r="75" spans="1:3" x14ac:dyDescent="0.25">
      <c r="A75" s="65" t="s">
        <v>242</v>
      </c>
      <c r="B75" s="51">
        <f>'7'!L10</f>
        <v>0.34850000000000136</v>
      </c>
      <c r="C75" s="70">
        <v>7</v>
      </c>
    </row>
    <row r="76" spans="1:3" x14ac:dyDescent="0.25">
      <c r="A76" s="65" t="s">
        <v>151</v>
      </c>
      <c r="B76" s="51">
        <f>'4'!L84</f>
        <v>15.043000000000006</v>
      </c>
      <c r="C76" s="70">
        <v>4</v>
      </c>
    </row>
    <row r="77" spans="1:3" x14ac:dyDescent="0.25">
      <c r="A77" s="238" t="s">
        <v>267</v>
      </c>
      <c r="B77" s="51">
        <f>'7'!L37</f>
        <v>-38.592800000000352</v>
      </c>
      <c r="C77" s="70">
        <v>7</v>
      </c>
    </row>
    <row r="78" spans="1:3" x14ac:dyDescent="0.25">
      <c r="A78" s="238" t="s">
        <v>407</v>
      </c>
      <c r="B78" s="51">
        <f>'15'!L10+'29'!L42</f>
        <v>10.796320000000094</v>
      </c>
      <c r="C78" s="70" t="s">
        <v>628</v>
      </c>
    </row>
    <row r="79" spans="1:3" x14ac:dyDescent="0.25">
      <c r="A79" s="238" t="s">
        <v>711</v>
      </c>
      <c r="B79" s="51">
        <f>'33'!L14+'36'!L8</f>
        <v>7.4962400000000571</v>
      </c>
      <c r="C79" s="70" t="s">
        <v>774</v>
      </c>
    </row>
    <row r="80" spans="1:3" x14ac:dyDescent="0.25">
      <c r="A80" s="238" t="s">
        <v>524</v>
      </c>
      <c r="B80" s="51">
        <f>'22'!L49</f>
        <v>0.36810000000002674</v>
      </c>
      <c r="C80" s="70">
        <v>23</v>
      </c>
    </row>
    <row r="81" spans="1:3" x14ac:dyDescent="0.25">
      <c r="A81" s="65" t="s">
        <v>41</v>
      </c>
      <c r="B81" s="51">
        <f>'2итог'!L82+'4'!L16</f>
        <v>6.7462099999999623</v>
      </c>
      <c r="C81" s="70">
        <v>2.4</v>
      </c>
    </row>
    <row r="82" spans="1:3" x14ac:dyDescent="0.25">
      <c r="A82" s="65" t="s">
        <v>907</v>
      </c>
      <c r="B82" s="51">
        <f>'44'!L6</f>
        <v>1.6312500000000227</v>
      </c>
      <c r="C82" s="70">
        <v>45</v>
      </c>
    </row>
    <row r="83" spans="1:3" x14ac:dyDescent="0.25">
      <c r="A83" s="65" t="s">
        <v>644</v>
      </c>
      <c r="B83" s="51">
        <f>'30'!L28+'43'!L6</f>
        <v>-0.20776000000000749</v>
      </c>
      <c r="C83" s="70" t="s">
        <v>906</v>
      </c>
    </row>
    <row r="84" spans="1:3" x14ac:dyDescent="0.25">
      <c r="A84" s="238" t="s">
        <v>354</v>
      </c>
      <c r="B84" s="51">
        <f>'12'!L38+'13'!L22+'16'!L16+'22'!L11+'31'!L34+'34'!L44</f>
        <v>0.30054599999994025</v>
      </c>
      <c r="C84" s="70" t="s">
        <v>751</v>
      </c>
    </row>
    <row r="85" spans="1:3" x14ac:dyDescent="0.25">
      <c r="A85" s="238" t="s">
        <v>616</v>
      </c>
      <c r="B85" s="51">
        <f>'29'!L38+'40'!L31+'44'!L12</f>
        <v>-5003.02405</v>
      </c>
      <c r="C85" s="70" t="s">
        <v>917</v>
      </c>
    </row>
    <row r="86" spans="1:3" x14ac:dyDescent="0.25">
      <c r="A86" s="65" t="s">
        <v>322</v>
      </c>
      <c r="B86" s="51">
        <f>'10'!L8</f>
        <v>-0.73066666666665014</v>
      </c>
      <c r="C86" s="70">
        <v>10</v>
      </c>
    </row>
    <row r="87" spans="1:3" x14ac:dyDescent="0.25">
      <c r="A87" s="65" t="s">
        <v>729</v>
      </c>
      <c r="B87" s="51">
        <f>'34'!L20</f>
        <v>-0.38751000000002023</v>
      </c>
      <c r="C87" s="70">
        <v>35</v>
      </c>
    </row>
    <row r="88" spans="1:3" x14ac:dyDescent="0.25">
      <c r="A88" s="65" t="s">
        <v>1036</v>
      </c>
      <c r="B88" s="51">
        <f>'51'!L33</f>
        <v>6.5792000000044482E-2</v>
      </c>
      <c r="C88" s="70">
        <v>51</v>
      </c>
    </row>
    <row r="89" spans="1:3" x14ac:dyDescent="0.25">
      <c r="A89" s="65" t="s">
        <v>297</v>
      </c>
      <c r="B89" s="51">
        <f>'9'!L17+'10'!L17+'12'!L26</f>
        <v>0.41207499999973152</v>
      </c>
      <c r="C89" s="70" t="s">
        <v>352</v>
      </c>
    </row>
    <row r="90" spans="1:3" x14ac:dyDescent="0.25">
      <c r="A90" s="65" t="s">
        <v>181</v>
      </c>
      <c r="B90" s="51">
        <f>'4'!L12+'5'!L34+'6'!L21+'10'!L17+'33'!L18+'34'!L22</f>
        <v>0.28793000000018765</v>
      </c>
      <c r="C90" s="70" t="s">
        <v>746</v>
      </c>
    </row>
    <row r="91" spans="1:3" x14ac:dyDescent="0.25">
      <c r="A91" s="238" t="s">
        <v>974</v>
      </c>
      <c r="B91" s="51">
        <f>'49'!L16</f>
        <v>30.736899999999991</v>
      </c>
      <c r="C91" s="70">
        <v>50</v>
      </c>
    </row>
    <row r="92" spans="1:3" x14ac:dyDescent="0.25">
      <c r="A92" s="238" t="s">
        <v>160</v>
      </c>
      <c r="B92" s="51">
        <f>'3'!L92+'4'!L60+'21'!L10+'22'!L24+'24'!L16</f>
        <v>0.14769999999964512</v>
      </c>
      <c r="C92" s="70" t="s">
        <v>545</v>
      </c>
    </row>
    <row r="93" spans="1:3" x14ac:dyDescent="0.25">
      <c r="A93" s="238" t="s">
        <v>1054</v>
      </c>
      <c r="B93" s="51">
        <f>'52'!L17</f>
        <v>-10.876000000000204</v>
      </c>
      <c r="C93" s="70">
        <v>52</v>
      </c>
    </row>
    <row r="94" spans="1:3" x14ac:dyDescent="0.25">
      <c r="A94" s="238" t="s">
        <v>1027</v>
      </c>
      <c r="B94" s="51">
        <f>'51'!L27</f>
        <v>-0.40679199999999582</v>
      </c>
      <c r="C94" s="70">
        <v>51</v>
      </c>
    </row>
    <row r="95" spans="1:3" x14ac:dyDescent="0.25">
      <c r="A95" s="238" t="s">
        <v>892</v>
      </c>
      <c r="B95" s="51">
        <f>'42'!L26+'43'!L8+'46'!L24+'51'!L12</f>
        <v>-0.75860699999986991</v>
      </c>
      <c r="C95" s="70" t="s">
        <v>1043</v>
      </c>
    </row>
    <row r="96" spans="1:3" x14ac:dyDescent="0.25">
      <c r="A96" s="65" t="s">
        <v>271</v>
      </c>
      <c r="B96" s="51">
        <f>'8'!L10</f>
        <v>-513.98759999999993</v>
      </c>
      <c r="C96" s="70">
        <v>8</v>
      </c>
    </row>
    <row r="97" spans="1:3" x14ac:dyDescent="0.25">
      <c r="A97" s="65" t="s">
        <v>302</v>
      </c>
      <c r="B97" s="51">
        <f>'9'!L10+'10'!L10+'27'!L10</f>
        <v>-0.39733333333361998</v>
      </c>
      <c r="C97" s="70" t="s">
        <v>578</v>
      </c>
    </row>
    <row r="98" spans="1:3" x14ac:dyDescent="0.25">
      <c r="A98" s="65" t="s">
        <v>169</v>
      </c>
      <c r="B98" s="51">
        <f>'4'!L40+'12'!L13+'20'!L32+'21'!L6+'32'!L15</f>
        <v>2.4106666666625642E-2</v>
      </c>
      <c r="C98" s="70" t="s">
        <v>699</v>
      </c>
    </row>
    <row r="99" spans="1:3" x14ac:dyDescent="0.25">
      <c r="A99" s="65" t="s">
        <v>726</v>
      </c>
      <c r="B99" s="51">
        <f>'34'!L10</f>
        <v>-0.38751000000002023</v>
      </c>
      <c r="C99" s="70">
        <v>35</v>
      </c>
    </row>
    <row r="100" spans="1:3" x14ac:dyDescent="0.25">
      <c r="A100" s="65" t="s">
        <v>769</v>
      </c>
      <c r="B100" s="51">
        <f>'36'!L12+'37'!L32</f>
        <v>21.110982666666587</v>
      </c>
      <c r="C100" s="70" t="s">
        <v>807</v>
      </c>
    </row>
    <row r="101" spans="1:3" x14ac:dyDescent="0.25">
      <c r="A101" s="65" t="s">
        <v>19</v>
      </c>
      <c r="B101" s="51">
        <f>'2итог'!L10+'3'!L26</f>
        <v>0.39273999999977605</v>
      </c>
      <c r="C101" s="70" t="s">
        <v>185</v>
      </c>
    </row>
    <row r="102" spans="1:3" x14ac:dyDescent="0.25">
      <c r="A102" s="65" t="s">
        <v>325</v>
      </c>
      <c r="B102" s="51">
        <f>'11'!L15</f>
        <v>-26.911399999999958</v>
      </c>
      <c r="C102" s="70">
        <v>11</v>
      </c>
    </row>
    <row r="103" spans="1:3" x14ac:dyDescent="0.25">
      <c r="A103" s="65" t="s">
        <v>288</v>
      </c>
      <c r="B103" s="51">
        <f>'9'!L35+'11'!L6+'13'!L24+'25'!L8+'29'!L19</f>
        <v>235.05027000000041</v>
      </c>
      <c r="C103" s="70" t="s">
        <v>626</v>
      </c>
    </row>
    <row r="104" spans="1:3" x14ac:dyDescent="0.25">
      <c r="A104" s="65" t="s">
        <v>204</v>
      </c>
      <c r="B104" s="51">
        <f>'5'!L38</f>
        <v>-0.15830500000015491</v>
      </c>
      <c r="C104" s="70">
        <v>5</v>
      </c>
    </row>
    <row r="105" spans="1:3" x14ac:dyDescent="0.25">
      <c r="A105" s="65" t="s">
        <v>889</v>
      </c>
      <c r="B105" s="51">
        <f>'42'!L19</f>
        <v>-0.23391800000001695</v>
      </c>
      <c r="C105" s="70">
        <v>43</v>
      </c>
    </row>
    <row r="106" spans="1:3" x14ac:dyDescent="0.25">
      <c r="A106" s="238" t="s">
        <v>763</v>
      </c>
      <c r="B106" s="51">
        <f>'35'!L21+'37'!L36+'43'!L13+'45'!L20+'49'!L38</f>
        <v>60.982155999999577</v>
      </c>
      <c r="C106" s="70" t="s">
        <v>1000</v>
      </c>
    </row>
    <row r="107" spans="1:3" ht="30" x14ac:dyDescent="0.25">
      <c r="A107" s="238" t="s">
        <v>331</v>
      </c>
      <c r="B107" s="51">
        <f>'12'!L6+'13'!L6+'14'!L17+'16'!L21+'17'!L13+'20'!L24+'21'!L22+'22'!L27+'26'!L8+'28'!L10+'29'!L27+'30'!L17+'31'!L31+'33'!L20+'37'!L24+'39'!L6+'40'!L27+'42'!L23+'49'!L32</f>
        <v>1.59678333334341E-2</v>
      </c>
      <c r="C107" s="70" t="s">
        <v>999</v>
      </c>
    </row>
    <row r="108" spans="1:3" x14ac:dyDescent="0.25">
      <c r="A108" s="239" t="s">
        <v>901</v>
      </c>
      <c r="B108" s="126">
        <f>'43'!L11</f>
        <v>-0.25829399999997804</v>
      </c>
      <c r="C108" s="127">
        <v>44</v>
      </c>
    </row>
    <row r="109" spans="1:3" x14ac:dyDescent="0.25">
      <c r="A109" s="239" t="s">
        <v>868</v>
      </c>
      <c r="B109" s="126">
        <f>'41'!L18+'49'!L46</f>
        <v>52.627929999999651</v>
      </c>
      <c r="C109" s="127" t="s">
        <v>998</v>
      </c>
    </row>
    <row r="110" spans="1:3" x14ac:dyDescent="0.25">
      <c r="A110" s="239" t="s">
        <v>1004</v>
      </c>
      <c r="B110" s="126">
        <f>'50'!L6</f>
        <v>22.172085714285686</v>
      </c>
      <c r="C110" s="127">
        <v>50</v>
      </c>
    </row>
    <row r="111" spans="1:3" x14ac:dyDescent="0.25">
      <c r="A111" s="239" t="s">
        <v>709</v>
      </c>
      <c r="B111" s="126">
        <f>'33'!L10</f>
        <v>-0.37227999999993244</v>
      </c>
      <c r="C111" s="127">
        <v>34</v>
      </c>
    </row>
    <row r="112" spans="1:3" x14ac:dyDescent="0.25">
      <c r="A112" s="65" t="s">
        <v>466</v>
      </c>
      <c r="B112" s="51">
        <f>'19'!L15</f>
        <v>-0.17499999999995453</v>
      </c>
      <c r="C112" s="70">
        <v>20</v>
      </c>
    </row>
    <row r="113" spans="1:3" x14ac:dyDescent="0.25">
      <c r="A113" s="240" t="s">
        <v>29</v>
      </c>
      <c r="B113" s="110">
        <f>'2итог'!L61+'3'!L47+'4'!L70+'5'!L10+'7'!L25+'8'!L16+'9'!L45+'11'!L11+'19'!L9</f>
        <v>-0.18192700000054174</v>
      </c>
      <c r="C113" s="111" t="s">
        <v>468</v>
      </c>
    </row>
    <row r="114" spans="1:3" x14ac:dyDescent="0.25">
      <c r="A114" s="241" t="s">
        <v>520</v>
      </c>
      <c r="B114" s="110">
        <f>'22'!L41</f>
        <v>5.7899999999904139E-2</v>
      </c>
      <c r="C114" s="111">
        <v>23</v>
      </c>
    </row>
    <row r="115" spans="1:3" x14ac:dyDescent="0.25">
      <c r="A115" s="241" t="s">
        <v>757</v>
      </c>
      <c r="B115" s="110">
        <f>'35'!L12</f>
        <v>-1.0000000000331966E-3</v>
      </c>
      <c r="C115" s="111">
        <v>36</v>
      </c>
    </row>
    <row r="116" spans="1:3" x14ac:dyDescent="0.25">
      <c r="A116" s="238" t="s">
        <v>22</v>
      </c>
      <c r="B116" s="51">
        <f>'2итог'!L26+'14'!L37+'29'!L13+'44'!L10+'45'!L12+'50'!L16</f>
        <v>2.9222799999998017</v>
      </c>
      <c r="C116" s="70" t="s">
        <v>1014</v>
      </c>
    </row>
    <row r="117" spans="1:3" x14ac:dyDescent="0.25">
      <c r="A117" s="238" t="s">
        <v>661</v>
      </c>
      <c r="B117" s="51">
        <f>'31'!L16</f>
        <v>134.9849999999999</v>
      </c>
      <c r="C117" s="70">
        <v>32</v>
      </c>
    </row>
    <row r="118" spans="1:3" x14ac:dyDescent="0.25">
      <c r="A118" s="65" t="s">
        <v>680</v>
      </c>
      <c r="B118" s="51">
        <f>'32'!L8+'35'!L16+'37'!L28+'39'!L13+'42'!L11+'46'!L18+'49'!L18</f>
        <v>0.19355599999994411</v>
      </c>
      <c r="C118" s="70" t="s">
        <v>1001</v>
      </c>
    </row>
    <row r="119" spans="1:3" x14ac:dyDescent="0.25">
      <c r="A119" s="238" t="s">
        <v>766</v>
      </c>
      <c r="B119" s="51">
        <f>'36'!L6+'49'!L22+'51'!L35</f>
        <v>-10.27467466666667</v>
      </c>
      <c r="C119" s="70" t="s">
        <v>1046</v>
      </c>
    </row>
    <row r="120" spans="1:3" x14ac:dyDescent="0.25">
      <c r="A120" s="65" t="s">
        <v>145</v>
      </c>
      <c r="B120" s="51">
        <f>'4'!L100</f>
        <v>7.1284999999999741</v>
      </c>
      <c r="C120" s="70">
        <v>4</v>
      </c>
    </row>
    <row r="121" spans="1:3" x14ac:dyDescent="0.25">
      <c r="A121" s="65" t="s">
        <v>460</v>
      </c>
      <c r="B121" s="51">
        <f>'19'!L6+'20'!L22</f>
        <v>0.45680000000004384</v>
      </c>
      <c r="C121" s="70" t="s">
        <v>486</v>
      </c>
    </row>
    <row r="122" spans="1:3" x14ac:dyDescent="0.25">
      <c r="A122" s="65" t="s">
        <v>825</v>
      </c>
      <c r="B122" s="51">
        <f>'39'!L18+'40'!L10+'41'!L37</f>
        <v>-13.193450000000041</v>
      </c>
      <c r="C122" s="70" t="s">
        <v>880</v>
      </c>
    </row>
    <row r="123" spans="1:3" x14ac:dyDescent="0.25">
      <c r="A123" s="65" t="s">
        <v>958</v>
      </c>
      <c r="B123" s="51">
        <f>'47'!L17+'49'!L10+'51'!L41</f>
        <v>659.19285999999988</v>
      </c>
      <c r="C123" s="70" t="s">
        <v>1047</v>
      </c>
    </row>
    <row r="124" spans="1:3" x14ac:dyDescent="0.25">
      <c r="A124" s="65" t="s">
        <v>888</v>
      </c>
      <c r="B124" s="51">
        <f>'42'!L16</f>
        <v>158.62328600000001</v>
      </c>
      <c r="C124" s="70">
        <v>43</v>
      </c>
    </row>
    <row r="125" spans="1:3" x14ac:dyDescent="0.25">
      <c r="A125" s="238" t="s">
        <v>344</v>
      </c>
      <c r="B125" s="51">
        <f>'12'!L36+'16'!L14+'17'!L7+'24'!L14+'25'!L11+'27'!L8+'49'!L26</f>
        <v>3.7127519999999095</v>
      </c>
      <c r="C125" s="70" t="s">
        <v>997</v>
      </c>
    </row>
    <row r="126" spans="1:3" x14ac:dyDescent="0.25">
      <c r="A126" s="65" t="s">
        <v>315</v>
      </c>
      <c r="B126" s="51">
        <f>'10'!L12</f>
        <v>-0.33226666666632809</v>
      </c>
      <c r="C126" s="70">
        <v>10</v>
      </c>
    </row>
    <row r="127" spans="1:3" x14ac:dyDescent="0.25">
      <c r="A127" s="65" t="s">
        <v>373</v>
      </c>
      <c r="B127" s="51">
        <f>'3'!L98+'7'!L12+'14'!L39+'34'!L8</f>
        <v>-3.236686666666742</v>
      </c>
      <c r="C127" s="70" t="s">
        <v>745</v>
      </c>
    </row>
    <row r="128" spans="1:3" x14ac:dyDescent="0.25">
      <c r="A128" s="65" t="s">
        <v>727</v>
      </c>
      <c r="B128" s="51">
        <f>'34'!L14</f>
        <v>-0.38751000000002023</v>
      </c>
      <c r="C128" s="70">
        <v>35</v>
      </c>
    </row>
    <row r="129" spans="1:3" x14ac:dyDescent="0.25">
      <c r="A129" s="65" t="s">
        <v>546</v>
      </c>
      <c r="B129" s="51">
        <f>'25'!L6+'29'!L23+'31'!L20+'34'!L6</f>
        <v>-2.8495100000000093</v>
      </c>
      <c r="C129" s="70" t="s">
        <v>744</v>
      </c>
    </row>
    <row r="130" spans="1:3" x14ac:dyDescent="0.25">
      <c r="A130" s="65" t="s">
        <v>412</v>
      </c>
      <c r="B130" s="51">
        <f>'15'!L16+'24'!L6</f>
        <v>-0.16707999999994172</v>
      </c>
      <c r="C130" s="70" t="s">
        <v>544</v>
      </c>
    </row>
    <row r="131" spans="1:3" x14ac:dyDescent="0.25">
      <c r="A131" s="65" t="s">
        <v>609</v>
      </c>
      <c r="B131" s="51">
        <f>'29'!L30</f>
        <v>-0.12299999999999045</v>
      </c>
      <c r="C131" s="70">
        <v>30</v>
      </c>
    </row>
    <row r="132" spans="1:3" x14ac:dyDescent="0.25">
      <c r="A132" s="65" t="s">
        <v>384</v>
      </c>
      <c r="B132" s="51">
        <f>'14'!L26</f>
        <v>0.30554000000006454</v>
      </c>
      <c r="C132" s="70">
        <v>14</v>
      </c>
    </row>
    <row r="133" spans="1:3" x14ac:dyDescent="0.25">
      <c r="A133" s="65" t="s">
        <v>778</v>
      </c>
      <c r="B133" s="51">
        <f>'37'!L6+'39'!L16</f>
        <v>-0.42564666666675066</v>
      </c>
      <c r="C133" s="70" t="s">
        <v>833</v>
      </c>
    </row>
    <row r="134" spans="1:3" x14ac:dyDescent="0.25">
      <c r="A134" s="65" t="s">
        <v>846</v>
      </c>
      <c r="B134" s="51">
        <f>'40'!L24</f>
        <v>-4.4399999999995998E-2</v>
      </c>
      <c r="C134" s="70">
        <v>41</v>
      </c>
    </row>
    <row r="135" spans="1:3" x14ac:dyDescent="0.25">
      <c r="A135" s="238" t="s">
        <v>513</v>
      </c>
      <c r="B135" s="51">
        <f>'22'!L29</f>
        <v>-0.1440000000000623</v>
      </c>
      <c r="C135" s="70">
        <v>23</v>
      </c>
    </row>
    <row r="136" spans="1:3" x14ac:dyDescent="0.25">
      <c r="A136" s="65" t="s">
        <v>492</v>
      </c>
      <c r="B136" s="51">
        <f>'21'!L14+'28'!L6</f>
        <v>-4.7300000000063847E-2</v>
      </c>
      <c r="C136" s="70" t="s">
        <v>587</v>
      </c>
    </row>
    <row r="137" spans="1:3" x14ac:dyDescent="0.25">
      <c r="A137" s="65" t="s">
        <v>399</v>
      </c>
      <c r="B137" s="51">
        <f>'7'!L18</f>
        <v>-1.4548666666666747</v>
      </c>
      <c r="C137" s="70">
        <v>7</v>
      </c>
    </row>
    <row r="138" spans="1:3" x14ac:dyDescent="0.25">
      <c r="A138" s="65" t="s">
        <v>119</v>
      </c>
      <c r="B138" s="51">
        <f>'3'!L86</f>
        <v>0.19479999999995812</v>
      </c>
      <c r="C138" s="70">
        <v>3</v>
      </c>
    </row>
    <row r="139" spans="1:3" x14ac:dyDescent="0.25">
      <c r="A139" s="238" t="s">
        <v>981</v>
      </c>
      <c r="B139" s="51">
        <f>'49'!L28</f>
        <v>7.8715999999998303</v>
      </c>
      <c r="C139" s="70">
        <v>50</v>
      </c>
    </row>
    <row r="140" spans="1:3" x14ac:dyDescent="0.25">
      <c r="A140" s="65" t="s">
        <v>294</v>
      </c>
      <c r="B140" s="51">
        <f>'9'!L30</f>
        <v>-464.01600000000002</v>
      </c>
      <c r="C140" s="70">
        <v>9</v>
      </c>
    </row>
    <row r="141" spans="1:3" x14ac:dyDescent="0.25">
      <c r="A141" s="238" t="s">
        <v>1008</v>
      </c>
      <c r="B141" s="51">
        <f>'50'!L14</f>
        <v>-3.4265200000000391</v>
      </c>
      <c r="C141" s="70">
        <v>50</v>
      </c>
    </row>
    <row r="142" spans="1:3" x14ac:dyDescent="0.25">
      <c r="A142" s="238" t="s">
        <v>364</v>
      </c>
      <c r="B142" s="51">
        <f>'13'!L26+'20'!L30+'22'!L47+'23'!L6+'25'!L13+'45'!L14+'46'!L27</f>
        <v>18.869788600000106</v>
      </c>
      <c r="C142" s="70" t="s">
        <v>948</v>
      </c>
    </row>
    <row r="143" spans="1:3" ht="30" x14ac:dyDescent="0.25">
      <c r="A143" s="238" t="s">
        <v>382</v>
      </c>
      <c r="B143" s="51">
        <f>'14'!L22+'15'!L24+'18'!L6+'21'!L18+'22'!L20+'23'!L12+'24'!L18+'27'!L17+'29'!L16+'31'!L22+'32'!L6+'33'!L16+'35'!L8+'40'!L18+'42'!L8</f>
        <v>0.3627319999993972</v>
      </c>
      <c r="C143" s="70" t="s">
        <v>897</v>
      </c>
    </row>
    <row r="144" spans="1:3" x14ac:dyDescent="0.25">
      <c r="A144" s="238" t="s">
        <v>131</v>
      </c>
      <c r="B144" s="51">
        <f>'3'!L80+'4'!L91+'9'!L32+'12'!L20+'13'!L10+'14'!L43+'22'!L22</f>
        <v>-0.45483333333339715</v>
      </c>
      <c r="C144" s="70" t="s">
        <v>526</v>
      </c>
    </row>
    <row r="145" spans="1:3" x14ac:dyDescent="0.25">
      <c r="A145" s="65" t="s">
        <v>177</v>
      </c>
      <c r="B145" s="51">
        <f>'4'!L27+'5'!L55</f>
        <v>-6.702649999999835</v>
      </c>
      <c r="C145" s="70" t="s">
        <v>212</v>
      </c>
    </row>
    <row r="146" spans="1:3" x14ac:dyDescent="0.25">
      <c r="A146" s="65" t="s">
        <v>260</v>
      </c>
      <c r="B146" s="51">
        <f>'7'!L33+'9'!L42+'21'!L26</f>
        <v>-1.8000000002302841E-3</v>
      </c>
      <c r="C146" s="70" t="s">
        <v>502</v>
      </c>
    </row>
    <row r="147" spans="1:3" x14ac:dyDescent="0.25">
      <c r="A147" s="65" t="s">
        <v>927</v>
      </c>
      <c r="B147" s="51">
        <f>'45'!L23</f>
        <v>0.32263499999999112</v>
      </c>
      <c r="C147" s="70">
        <v>46</v>
      </c>
    </row>
    <row r="148" spans="1:3" x14ac:dyDescent="0.25">
      <c r="A148" s="238" t="s">
        <v>1007</v>
      </c>
      <c r="B148" s="51">
        <f>'50'!L12</f>
        <v>-0.42652000000003909</v>
      </c>
      <c r="C148" s="70">
        <v>50</v>
      </c>
    </row>
    <row r="149" spans="1:3" x14ac:dyDescent="0.25">
      <c r="A149" s="65" t="s">
        <v>810</v>
      </c>
      <c r="B149" s="51">
        <f>'38'!L6</f>
        <v>0.24300000000005184</v>
      </c>
      <c r="C149" s="70">
        <v>39</v>
      </c>
    </row>
    <row r="150" spans="1:3" x14ac:dyDescent="0.25">
      <c r="A150" s="65" t="s">
        <v>311</v>
      </c>
      <c r="B150" s="51">
        <f>'9'!L26</f>
        <v>30.248000000000047</v>
      </c>
      <c r="C150" s="70">
        <v>9</v>
      </c>
    </row>
    <row r="151" spans="1:3" x14ac:dyDescent="0.25">
      <c r="A151" s="65" t="s">
        <v>26</v>
      </c>
      <c r="B151" s="51">
        <f>'2итог'!L42+'4'!L20+'5'!L24+'14'!L33</f>
        <v>1.8727999999999554</v>
      </c>
      <c r="C151" s="70" t="s">
        <v>400</v>
      </c>
    </row>
    <row r="152" spans="1:3" x14ac:dyDescent="0.25">
      <c r="A152" s="65" t="s">
        <v>613</v>
      </c>
      <c r="B152" s="51">
        <f>'29'!L34</f>
        <v>7.6499999999999773</v>
      </c>
      <c r="C152" s="70">
        <v>30</v>
      </c>
    </row>
    <row r="153" spans="1:3" x14ac:dyDescent="0.25">
      <c r="A153" s="238" t="s">
        <v>775</v>
      </c>
      <c r="B153" s="51">
        <f>'36'!L10+'46'!L21</f>
        <v>-2.2423786666666956</v>
      </c>
      <c r="C153" s="70" t="s">
        <v>947</v>
      </c>
    </row>
    <row r="154" spans="1:3" x14ac:dyDescent="0.25">
      <c r="A154" s="238" t="s">
        <v>516</v>
      </c>
      <c r="B154" s="51">
        <f>'22'!L33</f>
        <v>5.7899999999904139E-2</v>
      </c>
      <c r="C154" s="70">
        <v>23</v>
      </c>
    </row>
    <row r="155" spans="1:3" x14ac:dyDescent="0.25">
      <c r="A155" s="65" t="s">
        <v>500</v>
      </c>
      <c r="B155" s="51">
        <f>'21'!L28+'24'!L12+'27'!L6+'28'!L8+'31'!L28+'32'!L10+'33'!L27+'34'!L34+'37'!L21</f>
        <v>-129.20393700000136</v>
      </c>
      <c r="C155" s="70" t="s">
        <v>806</v>
      </c>
    </row>
    <row r="156" spans="1:3" x14ac:dyDescent="0.25">
      <c r="A156" s="65" t="s">
        <v>479</v>
      </c>
      <c r="B156" s="51">
        <f>'20'!L18+'30'!L12</f>
        <v>66.089624999999955</v>
      </c>
      <c r="C156" s="70" t="s">
        <v>650</v>
      </c>
    </row>
    <row r="157" spans="1:3" x14ac:dyDescent="0.25">
      <c r="A157" s="65" t="s">
        <v>1025</v>
      </c>
      <c r="B157" s="51">
        <f>'51'!L25</f>
        <v>-0.40679199999999582</v>
      </c>
      <c r="C157" s="70">
        <v>51</v>
      </c>
    </row>
    <row r="158" spans="1:3" x14ac:dyDescent="0.25">
      <c r="A158" s="65" t="s">
        <v>627</v>
      </c>
      <c r="B158" s="51">
        <f>'29'!L36</f>
        <v>0.14750000000003638</v>
      </c>
      <c r="C158" s="70">
        <v>30</v>
      </c>
    </row>
    <row r="159" spans="1:3" x14ac:dyDescent="0.25">
      <c r="A159" s="238" t="s">
        <v>619</v>
      </c>
      <c r="B159" s="51">
        <f>'29'!L44+'41'!L27+'50'!L8</f>
        <v>-0.49841428571434676</v>
      </c>
      <c r="C159" s="70" t="s">
        <v>1015</v>
      </c>
    </row>
    <row r="160" spans="1:3" x14ac:dyDescent="0.25">
      <c r="A160" s="238" t="s">
        <v>1006</v>
      </c>
      <c r="B160" s="51">
        <f>'50'!L10</f>
        <v>-10.211700000000008</v>
      </c>
      <c r="C160" s="70">
        <v>50</v>
      </c>
    </row>
    <row r="161" spans="1:3" x14ac:dyDescent="0.25">
      <c r="A161" s="238" t="s">
        <v>458</v>
      </c>
      <c r="B161" s="51">
        <f>'6'!L12+'18'!L13+'22'!L17+'31'!L8+'34'!L40</f>
        <v>-0.73690000000016198</v>
      </c>
      <c r="C161" s="70" t="s">
        <v>747</v>
      </c>
    </row>
    <row r="162" spans="1:3" x14ac:dyDescent="0.25">
      <c r="A162" s="65" t="s">
        <v>268</v>
      </c>
      <c r="B162" s="51">
        <f>'7'!L8</f>
        <v>-5.2999999999883585E-2</v>
      </c>
      <c r="C162" s="70">
        <v>7</v>
      </c>
    </row>
    <row r="163" spans="1:3" x14ac:dyDescent="0.25">
      <c r="A163" s="65" t="s">
        <v>879</v>
      </c>
      <c r="B163" s="51">
        <f>'41'!L35</f>
        <v>1.0135500000000093</v>
      </c>
      <c r="C163" s="70">
        <v>42</v>
      </c>
    </row>
    <row r="164" spans="1:3" x14ac:dyDescent="0.25">
      <c r="A164" s="65" t="s">
        <v>588</v>
      </c>
      <c r="B164" s="51">
        <f>'28'!L14+'29'!L6</f>
        <v>0.3159899999998288</v>
      </c>
      <c r="C164" s="70" t="s">
        <v>625</v>
      </c>
    </row>
    <row r="165" spans="1:3" x14ac:dyDescent="0.25">
      <c r="A165" s="65" t="s">
        <v>132</v>
      </c>
      <c r="B165" s="51">
        <f>'3'!L74</f>
        <v>0.20140000000000668</v>
      </c>
      <c r="C165" s="70">
        <v>3</v>
      </c>
    </row>
    <row r="166" spans="1:3" x14ac:dyDescent="0.25">
      <c r="A166" s="65" t="s">
        <v>429</v>
      </c>
      <c r="B166" s="51">
        <f>'16'!L18+'17'!L31</f>
        <v>2.072428000000059</v>
      </c>
      <c r="C166" s="70" t="s">
        <v>451</v>
      </c>
    </row>
    <row r="167" spans="1:3" x14ac:dyDescent="0.25">
      <c r="A167" s="65" t="s">
        <v>954</v>
      </c>
      <c r="B167" s="51">
        <f>'47'!L10</f>
        <v>-9.4241599999999153</v>
      </c>
      <c r="C167" s="70">
        <v>48</v>
      </c>
    </row>
    <row r="168" spans="1:3" x14ac:dyDescent="0.25">
      <c r="A168" s="65" t="s">
        <v>447</v>
      </c>
      <c r="B168" s="51">
        <f>'17'!L25+'20'!L6+'41'!L39</f>
        <v>-0.36147500000004129</v>
      </c>
      <c r="C168" s="70" t="s">
        <v>881</v>
      </c>
    </row>
    <row r="169" spans="1:3" x14ac:dyDescent="0.25">
      <c r="A169" s="65" t="s">
        <v>731</v>
      </c>
      <c r="B169" s="51">
        <f>'34'!L26</f>
        <v>-48.345210000000066</v>
      </c>
      <c r="C169" s="70">
        <v>35</v>
      </c>
    </row>
    <row r="170" spans="1:3" x14ac:dyDescent="0.25">
      <c r="A170" s="65" t="s">
        <v>558</v>
      </c>
      <c r="B170" s="51">
        <f>'26'!L20+'46'!L15</f>
        <v>13.509439999999813</v>
      </c>
      <c r="C170" s="70" t="s">
        <v>946</v>
      </c>
    </row>
    <row r="171" spans="1:3" x14ac:dyDescent="0.25">
      <c r="A171" s="65" t="s">
        <v>346</v>
      </c>
      <c r="B171" s="51">
        <f>'12'!L41+'14'!L30+'15'!L21+'16'!L8</f>
        <v>1.9577440000000479</v>
      </c>
      <c r="C171" s="70" t="s">
        <v>436</v>
      </c>
    </row>
    <row r="172" spans="1:3" x14ac:dyDescent="0.25">
      <c r="A172" s="65" t="s">
        <v>314</v>
      </c>
      <c r="B172" s="51">
        <f>'10'!L6+'17'!L21</f>
        <v>-0.46703333333331898</v>
      </c>
      <c r="C172" s="70" t="s">
        <v>452</v>
      </c>
    </row>
    <row r="173" spans="1:3" x14ac:dyDescent="0.25">
      <c r="A173" s="65" t="s">
        <v>856</v>
      </c>
      <c r="B173" s="51">
        <f>'41'!L6</f>
        <v>0.49729999999999563</v>
      </c>
      <c r="C173" s="70">
        <v>42</v>
      </c>
    </row>
    <row r="174" spans="1:3" x14ac:dyDescent="0.25">
      <c r="A174" s="65" t="s">
        <v>841</v>
      </c>
      <c r="B174" s="51">
        <f>'40'!L14+'45'!L10+'47'!L12</f>
        <v>-6.6975949999998647</v>
      </c>
      <c r="C174" s="70" t="s">
        <v>964</v>
      </c>
    </row>
    <row r="175" spans="1:3" x14ac:dyDescent="0.25">
      <c r="A175" s="65" t="s">
        <v>158</v>
      </c>
      <c r="B175" s="51">
        <f>'4'!L67</f>
        <v>10.197400000000016</v>
      </c>
      <c r="C175" s="70">
        <v>4</v>
      </c>
    </row>
    <row r="176" spans="1:3" x14ac:dyDescent="0.25">
      <c r="A176" s="65" t="s">
        <v>870</v>
      </c>
      <c r="B176" s="51">
        <f>'41'!L29+'47'!L6+'52'!L13</f>
        <v>5.2635120000004463</v>
      </c>
      <c r="C176" s="70" t="s">
        <v>1057</v>
      </c>
    </row>
    <row r="177" spans="1:3" x14ac:dyDescent="0.25">
      <c r="A177" s="65" t="s">
        <v>730</v>
      </c>
      <c r="B177" s="51">
        <f>'34'!L24</f>
        <v>-0.18632000000002336</v>
      </c>
      <c r="C177" s="70">
        <v>35</v>
      </c>
    </row>
    <row r="178" spans="1:3" x14ac:dyDescent="0.25">
      <c r="A178" s="65" t="s">
        <v>398</v>
      </c>
      <c r="B178" s="51">
        <f>'14'!L6+'39'!L26+'40'!L6</f>
        <v>1.3850766666666345</v>
      </c>
      <c r="C178" s="70" t="s">
        <v>852</v>
      </c>
    </row>
    <row r="179" spans="1:3" x14ac:dyDescent="0.25">
      <c r="A179" s="65" t="s">
        <v>443</v>
      </c>
      <c r="B179" s="51">
        <f>'17'!L29</f>
        <v>0.23699999999996635</v>
      </c>
      <c r="C179" s="70">
        <v>18</v>
      </c>
    </row>
    <row r="180" spans="1:3" x14ac:dyDescent="0.25">
      <c r="A180" s="65" t="s">
        <v>37</v>
      </c>
      <c r="B180" s="51">
        <f>'2итог'!L74</f>
        <v>3.6608099999999695</v>
      </c>
      <c r="C180" s="70">
        <v>2</v>
      </c>
    </row>
    <row r="181" spans="1:3" x14ac:dyDescent="0.25">
      <c r="A181" s="65" t="s">
        <v>786</v>
      </c>
      <c r="B181" s="51">
        <f>'37'!L16+'41'!L21</f>
        <v>126.37200333333328</v>
      </c>
      <c r="C181" s="70" t="s">
        <v>875</v>
      </c>
    </row>
    <row r="182" spans="1:3" x14ac:dyDescent="0.25">
      <c r="A182" s="65" t="s">
        <v>872</v>
      </c>
      <c r="B182" s="51">
        <f>'41'!L31</f>
        <v>-8.8054500000000644</v>
      </c>
      <c r="C182" s="70">
        <v>42</v>
      </c>
    </row>
    <row r="183" spans="1:3" x14ac:dyDescent="0.25">
      <c r="A183" s="65" t="s">
        <v>663</v>
      </c>
      <c r="B183" s="51">
        <f>'31'!L18</f>
        <v>73.960000000000036</v>
      </c>
      <c r="C183" s="70">
        <v>32</v>
      </c>
    </row>
    <row r="184" spans="1:3" x14ac:dyDescent="0.25">
      <c r="A184" s="65" t="s">
        <v>1029</v>
      </c>
      <c r="B184" s="51" t="str">
        <f>'51'!A31</f>
        <v>МаленькаяПтичка</v>
      </c>
      <c r="C184" s="70">
        <v>51</v>
      </c>
    </row>
    <row r="185" spans="1:3" x14ac:dyDescent="0.25">
      <c r="A185" s="65" t="s">
        <v>480</v>
      </c>
      <c r="B185" s="51">
        <f>'20'!L20+'51'!L23</f>
        <v>0.30985799999996289</v>
      </c>
      <c r="C185" s="70" t="s">
        <v>1045</v>
      </c>
    </row>
    <row r="186" spans="1:3" x14ac:dyDescent="0.25">
      <c r="A186" s="65" t="s">
        <v>1052</v>
      </c>
      <c r="B186" s="51">
        <f>'52'!L15</f>
        <v>-20.531469999999956</v>
      </c>
      <c r="C186" s="70">
        <v>52</v>
      </c>
    </row>
    <row r="187" spans="1:3" x14ac:dyDescent="0.25">
      <c r="A187" s="65" t="s">
        <v>830</v>
      </c>
      <c r="B187" s="51">
        <f>'39'!L24+'40'!L8</f>
        <v>2.1206666666666365</v>
      </c>
      <c r="C187" s="70" t="s">
        <v>853</v>
      </c>
    </row>
    <row r="188" spans="1:3" x14ac:dyDescent="0.25">
      <c r="A188" s="65" t="s">
        <v>585</v>
      </c>
      <c r="B188" s="51">
        <f>'28'!L12</f>
        <v>-0.14359999999999218</v>
      </c>
      <c r="C188" s="70">
        <v>29</v>
      </c>
    </row>
    <row r="189" spans="1:3" x14ac:dyDescent="0.25">
      <c r="A189" s="65" t="s">
        <v>251</v>
      </c>
      <c r="B189" s="51">
        <f>'7'!L22</f>
        <v>0.30279999999993379</v>
      </c>
      <c r="C189" s="70">
        <v>7</v>
      </c>
    </row>
    <row r="190" spans="1:3" x14ac:dyDescent="0.25">
      <c r="A190" s="238" t="s">
        <v>1011</v>
      </c>
      <c r="B190" s="51">
        <f>'4'!L31+'5'!L22+'6'!L10+'14'!L35+'21'!L24+'40'!L16+'50'!L22</f>
        <v>6.8398573333333275</v>
      </c>
      <c r="C190" s="70" t="s">
        <v>1016</v>
      </c>
    </row>
    <row r="191" spans="1:3" x14ac:dyDescent="0.25">
      <c r="A191" s="65" t="s">
        <v>455</v>
      </c>
      <c r="B191" s="51">
        <f>'18'!L9</f>
        <v>0.20499999999992724</v>
      </c>
      <c r="C191" s="70">
        <v>19</v>
      </c>
    </row>
    <row r="192" spans="1:3" x14ac:dyDescent="0.25">
      <c r="A192" s="65" t="s">
        <v>641</v>
      </c>
      <c r="B192" s="51">
        <f>'30'!L25</f>
        <v>-0.40159999999991669</v>
      </c>
      <c r="C192" s="70">
        <v>31</v>
      </c>
    </row>
    <row r="193" spans="1:3" x14ac:dyDescent="0.25">
      <c r="A193" s="65" t="s">
        <v>728</v>
      </c>
      <c r="B193" s="51">
        <f>'34'!L18</f>
        <v>0.22497999999995955</v>
      </c>
      <c r="C193" s="70">
        <v>35</v>
      </c>
    </row>
    <row r="194" spans="1:3" x14ac:dyDescent="0.25">
      <c r="A194" s="65" t="s">
        <v>780</v>
      </c>
      <c r="B194" s="51">
        <f>'37'!L8</f>
        <v>-6.0313333333340324E-2</v>
      </c>
      <c r="C194" s="70">
        <v>38</v>
      </c>
    </row>
    <row r="195" spans="1:3" x14ac:dyDescent="0.25">
      <c r="A195" s="238" t="s">
        <v>707</v>
      </c>
      <c r="B195" s="51">
        <f>'33'!L8+'37'!L12+'40'!L21+'49'!L30</f>
        <v>188.54347666666672</v>
      </c>
      <c r="C195" s="70" t="s">
        <v>996</v>
      </c>
    </row>
    <row r="196" spans="1:3" x14ac:dyDescent="0.25">
      <c r="A196" s="65" t="s">
        <v>27</v>
      </c>
      <c r="B196" s="51">
        <f>'2итог'!L51+'3'!L18+'3'!L15+'4'!L65</f>
        <v>14.655219999999872</v>
      </c>
      <c r="C196" s="70" t="s">
        <v>184</v>
      </c>
    </row>
    <row r="197" spans="1:3" x14ac:dyDescent="0.25">
      <c r="A197" s="65" t="s">
        <v>36</v>
      </c>
      <c r="B197" s="51">
        <f>'2итог'!L72+'3'!L78</f>
        <v>6.7244199999999523</v>
      </c>
      <c r="C197" s="70" t="s">
        <v>185</v>
      </c>
    </row>
    <row r="198" spans="1:3" x14ac:dyDescent="0.25">
      <c r="A198" s="65" t="s">
        <v>104</v>
      </c>
      <c r="B198" s="51">
        <f>'3'!L41+'4'!L77+'5'!L14+'8'!L19+'9'!L8+'15'!L18+'21'!L20</f>
        <v>0.72930000000025075</v>
      </c>
      <c r="C198" s="70" t="s">
        <v>501</v>
      </c>
    </row>
    <row r="199" spans="1:3" x14ac:dyDescent="0.25">
      <c r="A199" s="65" t="s">
        <v>146</v>
      </c>
      <c r="B199" s="51">
        <f>'4'!L97</f>
        <v>0.31649999999990541</v>
      </c>
      <c r="C199" s="70">
        <v>4</v>
      </c>
    </row>
    <row r="200" spans="1:3" x14ac:dyDescent="0.25">
      <c r="A200" s="65" t="s">
        <v>931</v>
      </c>
      <c r="B200" s="51">
        <f>'46'!L6+'47'!L14</f>
        <v>-63.913825999999972</v>
      </c>
      <c r="C200" s="70" t="s">
        <v>966</v>
      </c>
    </row>
    <row r="201" spans="1:3" x14ac:dyDescent="0.25">
      <c r="A201" s="65" t="s">
        <v>385</v>
      </c>
      <c r="B201" s="51">
        <f>'14'!L12</f>
        <v>0.47583400000030451</v>
      </c>
      <c r="C201" s="70">
        <v>14</v>
      </c>
    </row>
    <row r="202" spans="1:3" x14ac:dyDescent="0.25">
      <c r="A202" s="65" t="s">
        <v>23</v>
      </c>
      <c r="B202" s="51">
        <f>'2итог'!L30+'3'!L94+'4'!L10+'20'!L28+'38'!L10</f>
        <v>-3.048000000006823E-2</v>
      </c>
      <c r="C202" s="70" t="s">
        <v>815</v>
      </c>
    </row>
    <row r="203" spans="1:3" x14ac:dyDescent="0.25">
      <c r="A203" s="238" t="s">
        <v>979</v>
      </c>
      <c r="B203" s="51">
        <f>'49'!L24</f>
        <v>-0.25070000000005166</v>
      </c>
      <c r="C203" s="70">
        <v>50</v>
      </c>
    </row>
    <row r="204" spans="1:3" x14ac:dyDescent="0.25">
      <c r="A204" s="65" t="s">
        <v>755</v>
      </c>
      <c r="B204" s="51">
        <f>'35'!L10</f>
        <v>1106.568</v>
      </c>
      <c r="C204" s="70">
        <v>36</v>
      </c>
    </row>
    <row r="205" spans="1:3" x14ac:dyDescent="0.25">
      <c r="A205" s="65" t="s">
        <v>1040</v>
      </c>
      <c r="B205" s="51">
        <f>'51'!L38</f>
        <v>-9.2799999997623672E-3</v>
      </c>
      <c r="C205" s="70">
        <v>51</v>
      </c>
    </row>
    <row r="206" spans="1:3" x14ac:dyDescent="0.25">
      <c r="A206" s="65" t="s">
        <v>863</v>
      </c>
      <c r="B206" s="51">
        <f>'41'!L23+'45'!L6</f>
        <v>42.93527000000006</v>
      </c>
      <c r="C206" s="70" t="s">
        <v>929</v>
      </c>
    </row>
    <row r="207" spans="1:3" x14ac:dyDescent="0.25">
      <c r="A207" s="65" t="s">
        <v>893</v>
      </c>
      <c r="B207" s="51">
        <f>'42'!L28</f>
        <v>3.5413959999996223</v>
      </c>
      <c r="C207" s="70">
        <v>43</v>
      </c>
    </row>
    <row r="208" spans="1:3" x14ac:dyDescent="0.25">
      <c r="A208" s="65" t="s">
        <v>195</v>
      </c>
      <c r="B208" s="51">
        <f>'5'!L16+'6'!L16+'14'!L41+'39'!L10</f>
        <v>84.023439999999937</v>
      </c>
      <c r="C208" s="70" t="s">
        <v>835</v>
      </c>
    </row>
    <row r="209" spans="1:3" x14ac:dyDescent="0.25">
      <c r="A209" s="65" t="s">
        <v>660</v>
      </c>
      <c r="B209" s="51">
        <f>'31'!L14</f>
        <v>2.6883333333333326</v>
      </c>
      <c r="C209" s="70">
        <v>32</v>
      </c>
    </row>
    <row r="210" spans="1:3" x14ac:dyDescent="0.25">
      <c r="A210" s="65" t="s">
        <v>1028</v>
      </c>
      <c r="B210" s="51">
        <f>'51'!L29</f>
        <v>-0.40679199999999582</v>
      </c>
      <c r="C210" s="70">
        <v>51</v>
      </c>
    </row>
    <row r="211" spans="1:3" x14ac:dyDescent="0.25">
      <c r="A211" s="65" t="s">
        <v>935</v>
      </c>
      <c r="B211" s="51">
        <f>'46'!L10+'51'!L17</f>
        <v>0.51918399999993881</v>
      </c>
      <c r="C211" s="70" t="s">
        <v>1044</v>
      </c>
    </row>
    <row r="212" spans="1:3" x14ac:dyDescent="0.25">
      <c r="A212" s="65" t="s">
        <v>693</v>
      </c>
      <c r="B212" s="51">
        <f>'32'!L26</f>
        <v>-12.987500000000182</v>
      </c>
      <c r="C212" s="70">
        <v>33</v>
      </c>
    </row>
    <row r="213" spans="1:3" x14ac:dyDescent="0.25">
      <c r="A213" s="65" t="s">
        <v>732</v>
      </c>
      <c r="B213" s="51">
        <f>'34'!L28+'35'!L6</f>
        <v>27.733160000000225</v>
      </c>
      <c r="C213" s="70" t="s">
        <v>765</v>
      </c>
    </row>
    <row r="214" spans="1:3" x14ac:dyDescent="0.25">
      <c r="A214" s="65" t="s">
        <v>296</v>
      </c>
      <c r="B214" s="51">
        <f>'9'!L6</f>
        <v>0.37600000000000477</v>
      </c>
      <c r="C214" s="70">
        <v>9</v>
      </c>
    </row>
    <row r="215" spans="1:3" x14ac:dyDescent="0.25">
      <c r="A215" s="65" t="s">
        <v>180</v>
      </c>
      <c r="B215" s="51">
        <f>'4'!L18</f>
        <v>4.1119999999999948</v>
      </c>
      <c r="C215" s="70">
        <v>4</v>
      </c>
    </row>
    <row r="216" spans="1:3" x14ac:dyDescent="0.25">
      <c r="A216" s="65" t="s">
        <v>552</v>
      </c>
      <c r="B216" s="51">
        <f>'26'!L11</f>
        <v>0.17039999999997235</v>
      </c>
      <c r="C216" s="70">
        <v>27</v>
      </c>
    </row>
    <row r="217" spans="1:3" x14ac:dyDescent="0.25">
      <c r="A217" s="65" t="s">
        <v>914</v>
      </c>
      <c r="B217" s="51">
        <f>'44'!L8</f>
        <v>2.6502500000000282</v>
      </c>
      <c r="C217" s="70">
        <v>45</v>
      </c>
    </row>
    <row r="218" spans="1:3" x14ac:dyDescent="0.25">
      <c r="A218" s="65" t="s">
        <v>482</v>
      </c>
      <c r="B218" s="51">
        <f>'20'!L26+'37'!L18+'41'!L15+'47'!L8</f>
        <v>-17.608371333333594</v>
      </c>
      <c r="C218" s="70" t="s">
        <v>965</v>
      </c>
    </row>
    <row r="219" spans="1:3" x14ac:dyDescent="0.25">
      <c r="A219" s="65" t="s">
        <v>659</v>
      </c>
      <c r="B219" s="51">
        <f>'31'!L12</f>
        <v>2.6883333333333326</v>
      </c>
      <c r="C219" s="70">
        <v>32</v>
      </c>
    </row>
    <row r="220" spans="1:3" x14ac:dyDescent="0.25">
      <c r="A220" s="65" t="s">
        <v>117</v>
      </c>
      <c r="B220" s="51">
        <f>'3'!L84</f>
        <v>0.38571999999993523</v>
      </c>
      <c r="C220" s="70">
        <v>3</v>
      </c>
    </row>
    <row r="221" spans="1:3" x14ac:dyDescent="0.25">
      <c r="A221" s="238" t="s">
        <v>525</v>
      </c>
      <c r="B221" s="51">
        <f>'22'!L51</f>
        <v>0.36810000000002674</v>
      </c>
      <c r="C221" s="70">
        <v>23</v>
      </c>
    </row>
    <row r="222" spans="1:3" x14ac:dyDescent="0.25">
      <c r="A222" s="238" t="s">
        <v>1050</v>
      </c>
      <c r="B222" s="51">
        <f>'52'!L11</f>
        <v>6.2092000000000098</v>
      </c>
      <c r="C222" s="70">
        <v>52</v>
      </c>
    </row>
  </sheetData>
  <sortState ref="A2:D216">
    <sortCondition ref="A2:A216"/>
  </sortState>
  <hyperlinks>
    <hyperlink ref="A181" r:id="rId1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7" zoomScale="64" zoomScaleNormal="64" workbookViewId="0">
      <selection activeCell="A28" sqref="A28:J28"/>
    </sheetView>
  </sheetViews>
  <sheetFormatPr defaultRowHeight="15" x14ac:dyDescent="0.2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 x14ac:dyDescent="0.35">
      <c r="A1" s="55" t="s">
        <v>281</v>
      </c>
      <c r="B1" s="4"/>
      <c r="C1" s="15">
        <v>41623</v>
      </c>
      <c r="D1" s="30"/>
    </row>
    <row r="2" spans="1:12" ht="38.25" x14ac:dyDescent="0.35">
      <c r="A2" s="55" t="s">
        <v>239</v>
      </c>
      <c r="B2" s="4"/>
      <c r="C2" s="16">
        <v>6835</v>
      </c>
      <c r="D2" s="30"/>
    </row>
    <row r="3" spans="1:12" ht="21" x14ac:dyDescent="0.35">
      <c r="A3" s="55" t="s">
        <v>240</v>
      </c>
      <c r="B3" s="4"/>
      <c r="C3" s="16">
        <v>3.2000000000000001E-2</v>
      </c>
      <c r="D3" s="30"/>
    </row>
    <row r="5" spans="1:12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" t="s">
        <v>296</v>
      </c>
      <c r="B6" s="2"/>
      <c r="C6" s="2"/>
      <c r="D6" s="2"/>
      <c r="E6" s="2"/>
      <c r="F6" s="2"/>
      <c r="G6" s="2"/>
      <c r="H6" s="2"/>
      <c r="I6" s="2"/>
      <c r="J6" s="52">
        <f>J7</f>
        <v>154.624</v>
      </c>
      <c r="K6" s="10">
        <v>155</v>
      </c>
      <c r="L6" s="10">
        <f t="shared" ref="L6:L30" si="0">K6-J6</f>
        <v>0.37600000000000477</v>
      </c>
    </row>
    <row r="7" spans="1:12" x14ac:dyDescent="0.25">
      <c r="A7" s="58" t="s">
        <v>172</v>
      </c>
      <c r="B7">
        <v>1</v>
      </c>
      <c r="C7">
        <v>3300</v>
      </c>
      <c r="D7" s="4">
        <f t="shared" ref="D7" si="1">B7*C7</f>
        <v>3300</v>
      </c>
      <c r="E7" s="4">
        <f>D7*0.05</f>
        <v>165</v>
      </c>
      <c r="F7">
        <v>0</v>
      </c>
      <c r="G7">
        <v>0.2</v>
      </c>
      <c r="H7" s="4">
        <f>G7</f>
        <v>0.2</v>
      </c>
      <c r="I7" s="4">
        <f>H7*$C$2</f>
        <v>1367</v>
      </c>
      <c r="J7" s="51">
        <f>(D7+E7+F7+I7)*$C$3</f>
        <v>154.624</v>
      </c>
      <c r="K7" s="6"/>
      <c r="L7" s="17"/>
    </row>
    <row r="8" spans="1:12" ht="26.25" x14ac:dyDescent="0.4">
      <c r="A8" s="1" t="s">
        <v>193</v>
      </c>
      <c r="B8" s="2"/>
      <c r="C8" s="2"/>
      <c r="D8" s="2"/>
      <c r="E8" s="2"/>
      <c r="F8" s="2"/>
      <c r="G8" s="2"/>
      <c r="H8" s="2"/>
      <c r="I8" s="2"/>
      <c r="J8" s="52">
        <f>J9</f>
        <v>459.74400000000003</v>
      </c>
      <c r="K8" s="10">
        <v>460</v>
      </c>
      <c r="L8" s="10">
        <f t="shared" ref="L8" si="2">K8-J8</f>
        <v>0.25599999999997181</v>
      </c>
    </row>
    <row r="9" spans="1:12" x14ac:dyDescent="0.25">
      <c r="A9" s="3" t="s">
        <v>162</v>
      </c>
      <c r="B9" s="4">
        <v>1</v>
      </c>
      <c r="C9" s="4">
        <v>10000</v>
      </c>
      <c r="D9" s="4">
        <f t="shared" ref="D9" si="3">B9*C9</f>
        <v>10000</v>
      </c>
      <c r="E9" s="4">
        <f>D9*0.05</f>
        <v>500</v>
      </c>
      <c r="F9" s="4">
        <v>2500</v>
      </c>
      <c r="G9" s="4">
        <v>0.2</v>
      </c>
      <c r="H9" s="4">
        <f>G9</f>
        <v>0.2</v>
      </c>
      <c r="I9" s="4">
        <f>H9*$C$2</f>
        <v>1367</v>
      </c>
      <c r="J9" s="51">
        <f>(D9+E9+F9+I9)*$C$3</f>
        <v>459.74400000000003</v>
      </c>
      <c r="K9" s="6"/>
      <c r="L9" s="17"/>
    </row>
    <row r="10" spans="1:12" ht="26.25" x14ac:dyDescent="0.4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SUM(J11:J16)</f>
        <v>5951.2240000000002</v>
      </c>
      <c r="K10" s="10">
        <v>5950</v>
      </c>
      <c r="L10" s="10">
        <f t="shared" ref="L10" si="4">K10-J10</f>
        <v>-1.2240000000001601</v>
      </c>
    </row>
    <row r="11" spans="1:12" x14ac:dyDescent="0.25">
      <c r="A11" s="3" t="s">
        <v>303</v>
      </c>
      <c r="B11" s="21">
        <v>1</v>
      </c>
      <c r="C11" s="21">
        <v>19900</v>
      </c>
      <c r="D11" s="4">
        <f t="shared" ref="D11" si="5">B11*C11</f>
        <v>19900</v>
      </c>
      <c r="E11" s="4">
        <f>D11*0.05</f>
        <v>995</v>
      </c>
      <c r="F11" s="21">
        <v>0</v>
      </c>
      <c r="G11" s="21">
        <v>0.3</v>
      </c>
      <c r="H11" s="4">
        <f>G11</f>
        <v>0.3</v>
      </c>
      <c r="I11" s="4">
        <f>H11*$C$2</f>
        <v>2050.5</v>
      </c>
      <c r="J11" s="51">
        <f>(D11+E11+F11+I11)*$C$3</f>
        <v>734.25599999999997</v>
      </c>
      <c r="K11" s="6"/>
      <c r="L11" s="17"/>
    </row>
    <row r="12" spans="1:12" ht="30" x14ac:dyDescent="0.25">
      <c r="A12" s="3" t="s">
        <v>304</v>
      </c>
      <c r="B12" s="21">
        <v>1</v>
      </c>
      <c r="C12" s="21">
        <v>17400</v>
      </c>
      <c r="D12" s="4">
        <f t="shared" ref="D12:D15" si="6">B12*C12</f>
        <v>17400</v>
      </c>
      <c r="E12" s="4">
        <f t="shared" ref="E12:E15" si="7">D12*0.05</f>
        <v>870</v>
      </c>
      <c r="F12" s="21">
        <v>2500</v>
      </c>
      <c r="G12" s="21">
        <v>0.3</v>
      </c>
      <c r="H12" s="4">
        <f t="shared" ref="H12:H15" si="8">G12</f>
        <v>0.3</v>
      </c>
      <c r="I12" s="4">
        <f t="shared" ref="I12:I15" si="9">H12*$C$2</f>
        <v>2050.5</v>
      </c>
      <c r="J12" s="51">
        <f t="shared" ref="J12:J15" si="10">(D12+E12+F12+I12)*$C$3</f>
        <v>730.25599999999997</v>
      </c>
      <c r="K12" s="6"/>
      <c r="L12" s="17"/>
    </row>
    <row r="13" spans="1:12" ht="30" x14ac:dyDescent="0.25">
      <c r="A13" s="3" t="s">
        <v>305</v>
      </c>
      <c r="B13" s="21">
        <v>1</v>
      </c>
      <c r="C13" s="21">
        <v>17400</v>
      </c>
      <c r="D13" s="4">
        <f t="shared" si="6"/>
        <v>17400</v>
      </c>
      <c r="E13" s="4">
        <f t="shared" si="7"/>
        <v>870</v>
      </c>
      <c r="F13" s="21">
        <v>2500</v>
      </c>
      <c r="G13" s="21">
        <v>0.3</v>
      </c>
      <c r="H13" s="4">
        <f t="shared" si="8"/>
        <v>0.3</v>
      </c>
      <c r="I13" s="4">
        <f t="shared" si="9"/>
        <v>2050.5</v>
      </c>
      <c r="J13" s="51">
        <f t="shared" si="10"/>
        <v>730.25599999999997</v>
      </c>
      <c r="K13" s="6"/>
      <c r="L13" s="17"/>
    </row>
    <row r="14" spans="1:12" x14ac:dyDescent="0.25">
      <c r="A14" s="3" t="s">
        <v>306</v>
      </c>
      <c r="B14" s="21">
        <v>1</v>
      </c>
      <c r="C14" s="21">
        <v>36900</v>
      </c>
      <c r="D14" s="4">
        <f t="shared" si="6"/>
        <v>36900</v>
      </c>
      <c r="E14" s="4">
        <f t="shared" si="7"/>
        <v>1845</v>
      </c>
      <c r="F14" s="21">
        <v>0</v>
      </c>
      <c r="G14" s="21">
        <v>0.3</v>
      </c>
      <c r="H14" s="4">
        <f t="shared" si="8"/>
        <v>0.3</v>
      </c>
      <c r="I14" s="4">
        <f t="shared" si="9"/>
        <v>2050.5</v>
      </c>
      <c r="J14" s="51">
        <f t="shared" si="10"/>
        <v>1305.4560000000001</v>
      </c>
      <c r="K14" s="6"/>
      <c r="L14" s="17"/>
    </row>
    <row r="15" spans="1:12" x14ac:dyDescent="0.25">
      <c r="A15" s="3" t="s">
        <v>307</v>
      </c>
      <c r="B15" s="21">
        <v>1</v>
      </c>
      <c r="C15" s="21">
        <v>46900</v>
      </c>
      <c r="D15" s="4">
        <f t="shared" si="6"/>
        <v>46900</v>
      </c>
      <c r="E15" s="4">
        <f t="shared" si="7"/>
        <v>2345</v>
      </c>
      <c r="F15" s="21">
        <v>0</v>
      </c>
      <c r="G15" s="21">
        <v>0.3</v>
      </c>
      <c r="H15" s="4">
        <f t="shared" si="8"/>
        <v>0.3</v>
      </c>
      <c r="I15" s="4">
        <f t="shared" si="9"/>
        <v>2050.5</v>
      </c>
      <c r="J15" s="51">
        <f t="shared" si="10"/>
        <v>1641.4560000000001</v>
      </c>
      <c r="K15" s="6"/>
      <c r="L15" s="17"/>
    </row>
    <row r="16" spans="1:12" ht="30" x14ac:dyDescent="0.25">
      <c r="A16" s="3" t="s">
        <v>308</v>
      </c>
      <c r="B16" s="21">
        <v>1</v>
      </c>
      <c r="C16" s="21">
        <v>11400</v>
      </c>
      <c r="D16" s="4">
        <f t="shared" ref="D16" si="11">B16*C16</f>
        <v>11400</v>
      </c>
      <c r="E16" s="4">
        <f>D16*0.05</f>
        <v>570</v>
      </c>
      <c r="F16" s="21">
        <v>0</v>
      </c>
      <c r="G16" s="18">
        <f>3.9/2</f>
        <v>1.95</v>
      </c>
      <c r="H16" s="4">
        <f>G16</f>
        <v>1.95</v>
      </c>
      <c r="I16" s="4">
        <f>H16*$C$2</f>
        <v>13328.25</v>
      </c>
      <c r="J16" s="51">
        <f>(D16+E16+F16+I16)*$C$3</f>
        <v>809.54399999999998</v>
      </c>
      <c r="K16" s="6"/>
      <c r="L16" s="17"/>
    </row>
    <row r="17" spans="1:13" ht="26.25" x14ac:dyDescent="0.4">
      <c r="A17" s="1" t="s">
        <v>297</v>
      </c>
      <c r="B17" s="2"/>
      <c r="C17" s="2"/>
      <c r="D17" s="2"/>
      <c r="E17" s="2"/>
      <c r="F17" s="2"/>
      <c r="G17" s="2"/>
      <c r="H17" s="2"/>
      <c r="I17" s="2"/>
      <c r="J17" s="52">
        <f>SUM(J18:J22)</f>
        <v>2186.7440000000001</v>
      </c>
      <c r="K17" s="10">
        <v>2200</v>
      </c>
      <c r="L17" s="10">
        <f t="shared" ref="L17" si="12">K17-J17</f>
        <v>13.255999999999858</v>
      </c>
    </row>
    <row r="18" spans="1:13" x14ac:dyDescent="0.25">
      <c r="A18" s="3" t="s">
        <v>298</v>
      </c>
      <c r="B18" s="4">
        <v>1</v>
      </c>
      <c r="C18" s="4">
        <v>9900</v>
      </c>
      <c r="D18" s="4">
        <f t="shared" ref="D18:D22" si="13">B18*C18</f>
        <v>9900</v>
      </c>
      <c r="E18" s="4">
        <f>D18*0.05</f>
        <v>495</v>
      </c>
      <c r="F18" s="4">
        <v>2500</v>
      </c>
      <c r="G18" s="4">
        <v>0.2</v>
      </c>
      <c r="H18" s="4">
        <f>G18</f>
        <v>0.2</v>
      </c>
      <c r="I18" s="4">
        <f>H18*$C$2</f>
        <v>1367</v>
      </c>
      <c r="J18" s="51">
        <f>(D18+E18+F18+I18)*$C$3</f>
        <v>456.38400000000001</v>
      </c>
      <c r="K18" s="6"/>
      <c r="L18" s="17"/>
    </row>
    <row r="19" spans="1:13" x14ac:dyDescent="0.25">
      <c r="A19" s="3" t="s">
        <v>299</v>
      </c>
      <c r="B19" s="4">
        <v>1</v>
      </c>
      <c r="C19" s="4">
        <v>8900</v>
      </c>
      <c r="D19" s="4">
        <f t="shared" si="13"/>
        <v>8900</v>
      </c>
      <c r="E19" s="4">
        <f t="shared" ref="E19:E21" si="14">D19*0.05</f>
        <v>445</v>
      </c>
      <c r="F19" s="4">
        <v>0</v>
      </c>
      <c r="G19" s="4">
        <v>0.2</v>
      </c>
      <c r="H19" s="4">
        <f t="shared" ref="H19:H21" si="15">G19</f>
        <v>0.2</v>
      </c>
      <c r="I19" s="4">
        <f t="shared" ref="I19:I21" si="16">H19*$C$2</f>
        <v>1367</v>
      </c>
      <c r="J19" s="51">
        <f t="shared" ref="J19:J21" si="17">(D19+E19+F19+I19)*$C$3</f>
        <v>342.78399999999999</v>
      </c>
      <c r="K19" s="6"/>
      <c r="L19" s="17"/>
    </row>
    <row r="20" spans="1:13" x14ac:dyDescent="0.25">
      <c r="A20" s="3" t="s">
        <v>300</v>
      </c>
      <c r="B20" s="4">
        <v>1</v>
      </c>
      <c r="C20" s="4">
        <v>9900</v>
      </c>
      <c r="D20" s="4">
        <f t="shared" si="13"/>
        <v>9900</v>
      </c>
      <c r="E20" s="4">
        <f t="shared" si="14"/>
        <v>495</v>
      </c>
      <c r="F20" s="4">
        <v>0</v>
      </c>
      <c r="G20" s="4">
        <v>0.45</v>
      </c>
      <c r="H20" s="4">
        <f t="shared" si="15"/>
        <v>0.45</v>
      </c>
      <c r="I20" s="4">
        <f t="shared" si="16"/>
        <v>3075.75</v>
      </c>
      <c r="J20" s="51">
        <f t="shared" si="17"/>
        <v>431.06400000000002</v>
      </c>
      <c r="K20" s="6"/>
      <c r="L20" s="17"/>
    </row>
    <row r="21" spans="1:13" x14ac:dyDescent="0.25">
      <c r="A21" s="3" t="s">
        <v>301</v>
      </c>
      <c r="B21" s="4">
        <v>1</v>
      </c>
      <c r="C21" s="4">
        <v>9900</v>
      </c>
      <c r="D21" s="4">
        <f t="shared" si="13"/>
        <v>9900</v>
      </c>
      <c r="E21" s="4">
        <f t="shared" si="14"/>
        <v>495</v>
      </c>
      <c r="F21" s="4">
        <v>2500</v>
      </c>
      <c r="G21" s="4">
        <v>0.2</v>
      </c>
      <c r="H21" s="4">
        <f t="shared" si="15"/>
        <v>0.2</v>
      </c>
      <c r="I21" s="4">
        <f t="shared" si="16"/>
        <v>1367</v>
      </c>
      <c r="J21" s="51">
        <f t="shared" si="17"/>
        <v>456.38400000000001</v>
      </c>
      <c r="K21" s="6"/>
      <c r="L21" s="17"/>
    </row>
    <row r="22" spans="1:13" x14ac:dyDescent="0.25">
      <c r="A22" s="3" t="s">
        <v>291</v>
      </c>
      <c r="B22" s="4">
        <v>1</v>
      </c>
      <c r="C22" s="4">
        <v>9900</v>
      </c>
      <c r="D22" s="4">
        <f t="shared" si="13"/>
        <v>9900</v>
      </c>
      <c r="E22" s="4">
        <f>D22*0.05</f>
        <v>495</v>
      </c>
      <c r="F22" s="4">
        <v>2500</v>
      </c>
      <c r="G22" s="4">
        <v>0.4</v>
      </c>
      <c r="H22" s="4">
        <f>G22</f>
        <v>0.4</v>
      </c>
      <c r="I22" s="4">
        <f>H22*$C$2</f>
        <v>2734</v>
      </c>
      <c r="J22" s="51">
        <f>(D22+E22+F22+I22)*$C$3</f>
        <v>500.12799999999999</v>
      </c>
      <c r="K22" s="6"/>
      <c r="L22" s="17"/>
    </row>
    <row r="23" spans="1:13" ht="26.25" x14ac:dyDescent="0.4">
      <c r="A23" s="1" t="s">
        <v>25</v>
      </c>
      <c r="B23" s="2"/>
      <c r="C23" s="2"/>
      <c r="D23" s="2"/>
      <c r="E23" s="2"/>
      <c r="F23" s="2"/>
      <c r="G23" s="2"/>
      <c r="H23" s="2"/>
      <c r="I23" s="2"/>
      <c r="J23" s="52">
        <f>J24+J25</f>
        <v>851.072</v>
      </c>
      <c r="K23" s="10">
        <v>851</v>
      </c>
      <c r="L23" s="10">
        <f t="shared" ref="L23" si="18">K23-J23</f>
        <v>-7.2000000000002728E-2</v>
      </c>
    </row>
    <row r="24" spans="1:13" x14ac:dyDescent="0.25">
      <c r="A24" s="3" t="s">
        <v>309</v>
      </c>
      <c r="B24" s="4">
        <v>1</v>
      </c>
      <c r="C24" s="4">
        <v>6900</v>
      </c>
      <c r="D24" s="4">
        <f t="shared" ref="D24" si="19">B24*C24</f>
        <v>6900</v>
      </c>
      <c r="E24" s="4">
        <f>D24*0.05</f>
        <v>345</v>
      </c>
      <c r="F24" s="4">
        <v>2500</v>
      </c>
      <c r="G24" s="4">
        <v>0.2</v>
      </c>
      <c r="H24" s="4">
        <f>G24</f>
        <v>0.2</v>
      </c>
      <c r="I24" s="4">
        <f>H24*$C$2</f>
        <v>1367</v>
      </c>
      <c r="J24" s="51">
        <f>(D24+E24+F24+I24)*$C$3</f>
        <v>355.584</v>
      </c>
      <c r="K24" s="6"/>
      <c r="L24" s="17"/>
    </row>
    <row r="25" spans="1:13" x14ac:dyDescent="0.25">
      <c r="A25" s="3" t="s">
        <v>310</v>
      </c>
      <c r="B25" s="4">
        <v>2</v>
      </c>
      <c r="C25" s="4">
        <v>4230</v>
      </c>
      <c r="D25" s="4">
        <f t="shared" ref="D25" si="20">B25*C25</f>
        <v>8460</v>
      </c>
      <c r="E25" s="4">
        <f>D25*0.05</f>
        <v>423</v>
      </c>
      <c r="F25" s="4">
        <v>2500</v>
      </c>
      <c r="G25" s="4">
        <f>0.3</f>
        <v>0.3</v>
      </c>
      <c r="H25" s="4">
        <f>B25*G25</f>
        <v>0.6</v>
      </c>
      <c r="I25" s="4">
        <f>H25*$C$2</f>
        <v>4101</v>
      </c>
      <c r="J25" s="51">
        <f>(D25+E25+F25+I25)*$C$3</f>
        <v>495.488</v>
      </c>
      <c r="K25" s="6"/>
      <c r="L25" s="17"/>
    </row>
    <row r="26" spans="1:13" ht="26.25" x14ac:dyDescent="0.4">
      <c r="A26" s="1" t="s">
        <v>311</v>
      </c>
      <c r="B26" s="2"/>
      <c r="C26" s="2"/>
      <c r="D26" s="2"/>
      <c r="E26" s="2"/>
      <c r="F26" s="2"/>
      <c r="G26" s="2"/>
      <c r="H26" s="2"/>
      <c r="I26" s="2"/>
      <c r="J26" s="52">
        <f>J29+J28+J27</f>
        <v>1319.752</v>
      </c>
      <c r="K26" s="10">
        <v>1350</v>
      </c>
      <c r="L26" s="10">
        <f t="shared" ref="L26" si="21">K26-J26</f>
        <v>30.248000000000047</v>
      </c>
    </row>
    <row r="27" spans="1:13" x14ac:dyDescent="0.25">
      <c r="A27" s="3" t="s">
        <v>309</v>
      </c>
      <c r="B27" s="4">
        <v>1</v>
      </c>
      <c r="C27" s="4">
        <v>6900</v>
      </c>
      <c r="D27" s="4">
        <f t="shared" ref="D27" si="22">B27*C27</f>
        <v>6900</v>
      </c>
      <c r="E27" s="4">
        <f>D27*0.05</f>
        <v>345</v>
      </c>
      <c r="F27" s="4">
        <v>2500</v>
      </c>
      <c r="G27" s="4">
        <v>0.2</v>
      </c>
      <c r="H27" s="4">
        <f>G27</f>
        <v>0.2</v>
      </c>
      <c r="I27" s="4">
        <f>H27*$C$2</f>
        <v>1367</v>
      </c>
      <c r="J27" s="51">
        <f>(D27+E27+F27+I27)*$C$3</f>
        <v>355.584</v>
      </c>
      <c r="K27" s="6"/>
      <c r="L27" s="17"/>
    </row>
    <row r="28" spans="1:13" x14ac:dyDescent="0.25">
      <c r="A28" s="3" t="s">
        <v>172</v>
      </c>
      <c r="B28" s="4">
        <v>1</v>
      </c>
      <c r="C28" s="4">
        <v>3300</v>
      </c>
      <c r="D28" s="4">
        <f t="shared" ref="D28" si="23">B28*C28</f>
        <v>3300</v>
      </c>
      <c r="E28" s="4">
        <f>D28*0.05</f>
        <v>165</v>
      </c>
      <c r="F28" s="4">
        <v>0</v>
      </c>
      <c r="G28" s="4">
        <v>0.2</v>
      </c>
      <c r="H28" s="4">
        <f>G28</f>
        <v>0.2</v>
      </c>
      <c r="I28" s="4">
        <f>H28*$C$2</f>
        <v>1367</v>
      </c>
      <c r="J28" s="51">
        <f>(D28+E28+F28+I28)*$C$3</f>
        <v>154.624</v>
      </c>
      <c r="K28" s="6"/>
      <c r="L28" s="17"/>
    </row>
    <row r="29" spans="1:13" ht="30" x14ac:dyDescent="0.25">
      <c r="A29" s="3" t="s">
        <v>312</v>
      </c>
      <c r="B29" s="21">
        <v>1</v>
      </c>
      <c r="C29" s="21">
        <v>11400</v>
      </c>
      <c r="D29" s="4">
        <f t="shared" ref="D29" si="24">B29*C29</f>
        <v>11400</v>
      </c>
      <c r="E29" s="4">
        <f>D29*0.05</f>
        <v>570</v>
      </c>
      <c r="F29" s="21">
        <v>0</v>
      </c>
      <c r="G29" s="18">
        <f>3.9/2</f>
        <v>1.95</v>
      </c>
      <c r="H29" s="4">
        <f>G29</f>
        <v>1.95</v>
      </c>
      <c r="I29" s="4">
        <f>H29*$C$2</f>
        <v>13328.25</v>
      </c>
      <c r="J29" s="51">
        <f>(D29+E29+F29+I29)*$C$3</f>
        <v>809.54399999999998</v>
      </c>
      <c r="K29" s="6"/>
      <c r="L29" s="17"/>
    </row>
    <row r="30" spans="1:13" ht="26.25" x14ac:dyDescent="0.4">
      <c r="A30" s="1" t="s">
        <v>294</v>
      </c>
      <c r="B30" s="2"/>
      <c r="C30" s="2"/>
      <c r="D30" s="2"/>
      <c r="E30" s="2"/>
      <c r="F30" s="2"/>
      <c r="G30" s="2"/>
      <c r="H30" s="2"/>
      <c r="I30" s="2"/>
      <c r="J30" s="52">
        <f>J31</f>
        <v>464.01600000000002</v>
      </c>
      <c r="K30" s="10"/>
      <c r="L30" s="10">
        <f t="shared" si="0"/>
        <v>-464.01600000000002</v>
      </c>
    </row>
    <row r="31" spans="1:13" x14ac:dyDescent="0.25">
      <c r="A31" s="3" t="s">
        <v>295</v>
      </c>
      <c r="B31" s="4">
        <v>1</v>
      </c>
      <c r="C31" s="4">
        <v>9000</v>
      </c>
      <c r="D31" s="4">
        <f t="shared" ref="D31" si="25">B31*C31</f>
        <v>9000</v>
      </c>
      <c r="E31" s="4">
        <f t="shared" ref="E31" si="26">D31*0.05</f>
        <v>450</v>
      </c>
      <c r="F31" s="4">
        <v>3000</v>
      </c>
      <c r="G31" s="4">
        <v>0.3</v>
      </c>
      <c r="H31" s="4">
        <f>G31*B31</f>
        <v>0.3</v>
      </c>
      <c r="I31" s="4">
        <f t="shared" ref="I31" si="27">H31*$C$2</f>
        <v>2050.5</v>
      </c>
      <c r="J31" s="51">
        <f>(D31+E31+F31+I31)*$C$3</f>
        <v>464.01600000000002</v>
      </c>
      <c r="K31" s="6"/>
      <c r="L31" s="17"/>
    </row>
    <row r="32" spans="1:13" ht="26.25" x14ac:dyDescent="0.4">
      <c r="A32" s="1" t="s">
        <v>293</v>
      </c>
      <c r="B32" s="2"/>
      <c r="C32" s="2"/>
      <c r="D32" s="2"/>
      <c r="E32" s="2"/>
      <c r="F32" s="2"/>
      <c r="G32" s="2"/>
      <c r="H32" s="2"/>
      <c r="I32" s="2"/>
      <c r="J32" s="52">
        <f>J33+J34</f>
        <v>339.35893333333337</v>
      </c>
      <c r="K32" s="10">
        <v>339</v>
      </c>
      <c r="L32" s="10">
        <f>K32-J32</f>
        <v>-0.35893333333336841</v>
      </c>
      <c r="M32" s="82"/>
    </row>
    <row r="33" spans="1:12" x14ac:dyDescent="0.25">
      <c r="A33" s="3" t="s">
        <v>67</v>
      </c>
      <c r="B33" s="4">
        <v>1</v>
      </c>
      <c r="C33" s="4">
        <f>9900/3</f>
        <v>3300</v>
      </c>
      <c r="D33" s="4">
        <f t="shared" ref="D33" si="28">B33*C33</f>
        <v>3300</v>
      </c>
      <c r="E33" s="4">
        <f t="shared" ref="E33" si="29">D33*0.05</f>
        <v>165</v>
      </c>
      <c r="F33" s="4">
        <f>2500/3</f>
        <v>833.33333333333337</v>
      </c>
      <c r="G33" s="4">
        <f>0.2/3</f>
        <v>6.6666666666666666E-2</v>
      </c>
      <c r="H33" s="4">
        <f t="shared" ref="H33" si="30">G33</f>
        <v>6.6666666666666666E-2</v>
      </c>
      <c r="I33" s="4">
        <f>H33*$C$2</f>
        <v>455.66666666666669</v>
      </c>
      <c r="J33" s="51">
        <f>(D33+E33+F33+I33)*$C$3</f>
        <v>152.12800000000001</v>
      </c>
      <c r="K33" s="6"/>
      <c r="L33" s="17"/>
    </row>
    <row r="34" spans="1:12" x14ac:dyDescent="0.25">
      <c r="A34" s="3" t="s">
        <v>163</v>
      </c>
      <c r="B34" s="4">
        <v>1</v>
      </c>
      <c r="C34" s="4">
        <f>11900/3</f>
        <v>3966.6666666666665</v>
      </c>
      <c r="D34" s="4">
        <f t="shared" ref="D34" si="31">B34*C34</f>
        <v>3966.6666666666665</v>
      </c>
      <c r="E34" s="4">
        <f t="shared" ref="E34" si="32">D34*0.05</f>
        <v>198.33333333333334</v>
      </c>
      <c r="F34" s="4">
        <v>0</v>
      </c>
      <c r="G34" s="4">
        <f>0.74/3</f>
        <v>0.24666666666666667</v>
      </c>
      <c r="H34" s="4">
        <f t="shared" ref="H34" si="33">G34</f>
        <v>0.24666666666666667</v>
      </c>
      <c r="I34" s="4">
        <f>H34*$C$2</f>
        <v>1685.9666666666667</v>
      </c>
      <c r="J34" s="51">
        <f>(D34+E34+F34+I34)*$C$3</f>
        <v>187.23093333333335</v>
      </c>
      <c r="K34" s="6"/>
      <c r="L34" s="17"/>
    </row>
    <row r="35" spans="1:12" ht="26.25" x14ac:dyDescent="0.4">
      <c r="A35" s="1" t="s">
        <v>288</v>
      </c>
      <c r="B35" s="2"/>
      <c r="C35" s="2"/>
      <c r="D35" s="2"/>
      <c r="E35" s="2"/>
      <c r="F35" s="2"/>
      <c r="G35" s="2"/>
      <c r="H35" s="2"/>
      <c r="I35" s="2"/>
      <c r="J35" s="52">
        <f>SUM(J36:J41)</f>
        <v>2158.3007999999995</v>
      </c>
      <c r="K35" s="2">
        <v>2158</v>
      </c>
      <c r="L35" s="10">
        <f>K35-J35</f>
        <v>-0.30079999999952634</v>
      </c>
    </row>
    <row r="36" spans="1:12" x14ac:dyDescent="0.25">
      <c r="A36" s="3" t="s">
        <v>289</v>
      </c>
      <c r="B36" s="4">
        <v>1</v>
      </c>
      <c r="C36" s="4">
        <v>11900</v>
      </c>
      <c r="D36" s="4">
        <f t="shared" ref="D36:D38" si="34">B36*C36</f>
        <v>11900</v>
      </c>
      <c r="E36" s="4">
        <f t="shared" ref="E36" si="35">D36*0.05</f>
        <v>595</v>
      </c>
      <c r="F36" s="4">
        <v>0</v>
      </c>
      <c r="G36" s="4">
        <v>0.74</v>
      </c>
      <c r="H36" s="4">
        <f>G36*B36</f>
        <v>0.74</v>
      </c>
      <c r="I36" s="4">
        <f t="shared" ref="I36:I38" si="36">H36*$C$2</f>
        <v>5057.8999999999996</v>
      </c>
      <c r="J36" s="51">
        <f t="shared" ref="J36:J41" si="37">(D36+E36+F36+I36)*$C$3</f>
        <v>561.69280000000003</v>
      </c>
      <c r="K36" s="6"/>
      <c r="L36" s="17"/>
    </row>
    <row r="37" spans="1:12" x14ac:dyDescent="0.25">
      <c r="A37" s="3" t="s">
        <v>290</v>
      </c>
      <c r="B37" s="4">
        <v>1</v>
      </c>
      <c r="C37" s="4">
        <v>12000</v>
      </c>
      <c r="D37" s="4">
        <f t="shared" si="34"/>
        <v>12000</v>
      </c>
      <c r="E37" s="4">
        <f>D37*0.05</f>
        <v>600</v>
      </c>
      <c r="F37" s="4">
        <v>0</v>
      </c>
      <c r="G37" s="4">
        <v>0.2</v>
      </c>
      <c r="H37" s="4">
        <f t="shared" ref="H37:H38" si="38">G37</f>
        <v>0.2</v>
      </c>
      <c r="I37" s="4">
        <f t="shared" si="36"/>
        <v>1367</v>
      </c>
      <c r="J37" s="51">
        <f t="shared" si="37"/>
        <v>446.94400000000002</v>
      </c>
      <c r="K37" s="6"/>
      <c r="L37" s="17"/>
    </row>
    <row r="38" spans="1:12" x14ac:dyDescent="0.25">
      <c r="A38" s="3" t="s">
        <v>67</v>
      </c>
      <c r="B38" s="4">
        <v>1</v>
      </c>
      <c r="C38" s="4">
        <f>9900/3</f>
        <v>3300</v>
      </c>
      <c r="D38" s="4">
        <f t="shared" si="34"/>
        <v>3300</v>
      </c>
      <c r="E38" s="4">
        <f t="shared" ref="E38:E39" si="39">D38*0.05</f>
        <v>165</v>
      </c>
      <c r="F38" s="4">
        <f>2500/3</f>
        <v>833.33333333333337</v>
      </c>
      <c r="G38" s="4">
        <f>0.2/3</f>
        <v>6.6666666666666666E-2</v>
      </c>
      <c r="H38" s="4">
        <f t="shared" si="38"/>
        <v>6.6666666666666666E-2</v>
      </c>
      <c r="I38" s="4">
        <f t="shared" si="36"/>
        <v>455.66666666666669</v>
      </c>
      <c r="J38" s="51">
        <f t="shared" si="37"/>
        <v>152.12800000000001</v>
      </c>
      <c r="K38" s="6"/>
      <c r="L38" s="17"/>
    </row>
    <row r="39" spans="1:12" x14ac:dyDescent="0.25">
      <c r="A39" s="3" t="s">
        <v>291</v>
      </c>
      <c r="B39" s="4">
        <v>1</v>
      </c>
      <c r="C39" s="4">
        <v>9900</v>
      </c>
      <c r="D39" s="4">
        <f t="shared" ref="D39:D41" si="40">B39*C39</f>
        <v>9900</v>
      </c>
      <c r="E39" s="4">
        <f t="shared" si="39"/>
        <v>495</v>
      </c>
      <c r="F39" s="4">
        <v>2500</v>
      </c>
      <c r="G39" s="4">
        <v>0.4</v>
      </c>
      <c r="H39" s="4">
        <f>G39*B39</f>
        <v>0.4</v>
      </c>
      <c r="I39" s="4">
        <f t="shared" ref="I39:I41" si="41">H39*$C$2</f>
        <v>2734</v>
      </c>
      <c r="J39" s="51">
        <f t="shared" si="37"/>
        <v>500.12799999999999</v>
      </c>
      <c r="K39" s="6"/>
      <c r="L39" s="17"/>
    </row>
    <row r="40" spans="1:12" x14ac:dyDescent="0.25">
      <c r="A40" s="3" t="s">
        <v>292</v>
      </c>
      <c r="B40" s="4">
        <v>1</v>
      </c>
      <c r="C40" s="4">
        <v>8900</v>
      </c>
      <c r="D40" s="4">
        <f t="shared" si="40"/>
        <v>8900</v>
      </c>
      <c r="E40" s="4">
        <f>D40*0.05</f>
        <v>445</v>
      </c>
      <c r="F40" s="4">
        <v>0</v>
      </c>
      <c r="G40" s="4">
        <v>0.2</v>
      </c>
      <c r="H40" s="4">
        <f t="shared" ref="H40:H41" si="42">G40</f>
        <v>0.2</v>
      </c>
      <c r="I40" s="4">
        <f t="shared" si="41"/>
        <v>1367</v>
      </c>
      <c r="J40" s="51">
        <f t="shared" si="37"/>
        <v>342.78399999999999</v>
      </c>
      <c r="K40" s="6"/>
      <c r="L40" s="17"/>
    </row>
    <row r="41" spans="1:12" x14ac:dyDescent="0.25">
      <c r="A41" s="3" t="s">
        <v>172</v>
      </c>
      <c r="B41" s="4">
        <v>1</v>
      </c>
      <c r="C41" s="4">
        <v>3300</v>
      </c>
      <c r="D41" s="4">
        <f t="shared" si="40"/>
        <v>3300</v>
      </c>
      <c r="E41" s="4">
        <f t="shared" ref="E41" si="43">D41*0.05</f>
        <v>165</v>
      </c>
      <c r="F41" s="4">
        <v>0</v>
      </c>
      <c r="G41" s="4">
        <v>0.2</v>
      </c>
      <c r="H41" s="4">
        <f t="shared" si="42"/>
        <v>0.2</v>
      </c>
      <c r="I41" s="4">
        <f t="shared" si="41"/>
        <v>1367</v>
      </c>
      <c r="J41" s="51">
        <f t="shared" si="37"/>
        <v>154.624</v>
      </c>
      <c r="K41" s="6"/>
      <c r="L41" s="17"/>
    </row>
    <row r="42" spans="1:12" ht="26.25" x14ac:dyDescent="0.4">
      <c r="A42" s="1" t="s">
        <v>260</v>
      </c>
      <c r="B42" s="2"/>
      <c r="C42" s="2"/>
      <c r="D42" s="2"/>
      <c r="E42" s="2"/>
      <c r="F42" s="2"/>
      <c r="G42" s="2"/>
      <c r="H42" s="2"/>
      <c r="I42" s="2"/>
      <c r="J42" s="52">
        <f>SUM(J43:J44)</f>
        <v>1198.8496</v>
      </c>
      <c r="K42" s="2">
        <f>832+367</f>
        <v>1199</v>
      </c>
      <c r="L42" s="10">
        <f>K42-J42</f>
        <v>0.15039999999999054</v>
      </c>
    </row>
    <row r="43" spans="1:12" x14ac:dyDescent="0.25">
      <c r="A43" s="3" t="s">
        <v>286</v>
      </c>
      <c r="B43" s="4">
        <v>3</v>
      </c>
      <c r="C43" s="4">
        <v>3500</v>
      </c>
      <c r="D43" s="4">
        <f t="shared" ref="D43:D44" si="44">B43*C43</f>
        <v>10500</v>
      </c>
      <c r="E43" s="4">
        <f t="shared" ref="E43" si="45">D43*0.05</f>
        <v>525</v>
      </c>
      <c r="F43" s="4">
        <v>2500</v>
      </c>
      <c r="G43" s="4">
        <v>0.3</v>
      </c>
      <c r="H43" s="4">
        <f>G43*B43</f>
        <v>0.89999999999999991</v>
      </c>
      <c r="I43" s="4">
        <f>H43*$C$2</f>
        <v>6151.4999999999991</v>
      </c>
      <c r="J43" s="51">
        <f>(D43+E43+F43+I43)*$C$3</f>
        <v>629.64800000000002</v>
      </c>
      <c r="K43" s="6"/>
      <c r="L43" s="17"/>
    </row>
    <row r="44" spans="1:12" ht="30" x14ac:dyDescent="0.25">
      <c r="A44" s="3" t="s">
        <v>287</v>
      </c>
      <c r="B44" s="4">
        <v>1</v>
      </c>
      <c r="C44" s="4">
        <v>4600</v>
      </c>
      <c r="D44" s="4">
        <f t="shared" si="44"/>
        <v>4600</v>
      </c>
      <c r="E44" s="4">
        <f>D44*0.05</f>
        <v>230</v>
      </c>
      <c r="F44" s="4">
        <v>2500</v>
      </c>
      <c r="G44" s="4">
        <v>1.53</v>
      </c>
      <c r="H44" s="4">
        <f t="shared" ref="H44" si="46">G44</f>
        <v>1.53</v>
      </c>
      <c r="I44" s="4">
        <f t="shared" ref="I44" si="47">H44*$C$2</f>
        <v>10457.549999999999</v>
      </c>
      <c r="J44" s="51">
        <f>(D44+E44+F44+I44)*$C$3</f>
        <v>569.20159999999998</v>
      </c>
      <c r="K44" s="6"/>
      <c r="L44" s="17"/>
    </row>
    <row r="45" spans="1:12" ht="26.25" x14ac:dyDescent="0.4">
      <c r="A45" s="1" t="s">
        <v>254</v>
      </c>
      <c r="B45" s="2"/>
      <c r="C45" s="2"/>
      <c r="D45" s="2"/>
      <c r="E45" s="2"/>
      <c r="F45" s="2"/>
      <c r="G45" s="2"/>
      <c r="H45" s="2"/>
      <c r="I45" s="2"/>
      <c r="J45" s="52">
        <f>SUM(J46:J52)</f>
        <v>2284.768</v>
      </c>
      <c r="K45" s="2">
        <v>1640</v>
      </c>
      <c r="L45" s="10">
        <f>K45-J45</f>
        <v>-644.76800000000003</v>
      </c>
    </row>
    <row r="46" spans="1:12" x14ac:dyDescent="0.25">
      <c r="A46" s="3" t="s">
        <v>282</v>
      </c>
      <c r="B46" s="66">
        <v>2</v>
      </c>
      <c r="C46" s="4">
        <v>3300</v>
      </c>
      <c r="D46" s="4">
        <f t="shared" ref="D46:D49" si="48">B46*C46</f>
        <v>6600</v>
      </c>
      <c r="E46" s="4">
        <f t="shared" ref="E46" si="49">D46*0.05</f>
        <v>330</v>
      </c>
      <c r="F46" s="4">
        <v>2500</v>
      </c>
      <c r="G46" s="4">
        <f>0.3</f>
        <v>0.3</v>
      </c>
      <c r="H46" s="4">
        <f>G46*B46</f>
        <v>0.6</v>
      </c>
      <c r="I46" s="4">
        <f>H46*$C$2</f>
        <v>4101</v>
      </c>
      <c r="J46" s="51">
        <f>(D46+E46+F46+I46)*$C$3</f>
        <v>432.99200000000002</v>
      </c>
      <c r="K46" s="6"/>
      <c r="L46" s="17"/>
    </row>
    <row r="47" spans="1:12" x14ac:dyDescent="0.25">
      <c r="A47" s="3" t="s">
        <v>62</v>
      </c>
      <c r="B47" s="4">
        <v>1</v>
      </c>
      <c r="C47" s="4">
        <v>2800</v>
      </c>
      <c r="D47" s="4">
        <f t="shared" si="48"/>
        <v>2800</v>
      </c>
      <c r="E47" s="4">
        <f>D47*0.05</f>
        <v>140</v>
      </c>
      <c r="F47" s="4">
        <v>2300</v>
      </c>
      <c r="G47" s="4">
        <v>0.2</v>
      </c>
      <c r="H47" s="4">
        <f t="shared" ref="H47:H51" si="50">G47*B47</f>
        <v>0.2</v>
      </c>
      <c r="I47" s="4">
        <f t="shared" ref="I47:I48" si="51">H47*$C$2</f>
        <v>1367</v>
      </c>
      <c r="J47" s="51">
        <f>(D47+E47+F47+I47)*$C$3</f>
        <v>211.42400000000001</v>
      </c>
      <c r="K47" s="6"/>
      <c r="L47" s="17"/>
    </row>
    <row r="48" spans="1:12" x14ac:dyDescent="0.25">
      <c r="A48" s="3" t="s">
        <v>62</v>
      </c>
      <c r="B48" s="4">
        <v>1</v>
      </c>
      <c r="C48" s="4">
        <v>3000</v>
      </c>
      <c r="D48" s="4">
        <f t="shared" si="48"/>
        <v>3000</v>
      </c>
      <c r="E48" s="4">
        <f t="shared" ref="E48:E49" si="52">D48*0.05</f>
        <v>150</v>
      </c>
      <c r="F48" s="4">
        <v>2500</v>
      </c>
      <c r="G48" s="4">
        <v>0.2</v>
      </c>
      <c r="H48" s="4">
        <f t="shared" si="50"/>
        <v>0.2</v>
      </c>
      <c r="I48" s="4">
        <f t="shared" si="51"/>
        <v>1367</v>
      </c>
      <c r="J48" s="51">
        <f>(D48+E48+F48+I48)*$C$3</f>
        <v>224.54400000000001</v>
      </c>
      <c r="K48" s="6"/>
      <c r="L48" s="17"/>
    </row>
    <row r="49" spans="1:12" x14ac:dyDescent="0.25">
      <c r="A49" s="3" t="s">
        <v>243</v>
      </c>
      <c r="B49" s="66">
        <v>2</v>
      </c>
      <c r="C49" s="4">
        <v>3500</v>
      </c>
      <c r="D49" s="4">
        <f t="shared" si="48"/>
        <v>7000</v>
      </c>
      <c r="E49" s="4">
        <f t="shared" si="52"/>
        <v>350</v>
      </c>
      <c r="F49" s="4">
        <v>2500</v>
      </c>
      <c r="G49" s="4">
        <v>0.3</v>
      </c>
      <c r="H49" s="4">
        <f t="shared" si="50"/>
        <v>0.6</v>
      </c>
      <c r="I49" s="4">
        <f>H49*$C$2</f>
        <v>4101</v>
      </c>
      <c r="J49" s="51">
        <f>(D49+E49+F49+I49)*$C$3</f>
        <v>446.43200000000002</v>
      </c>
      <c r="K49" s="6"/>
      <c r="L49" s="17"/>
    </row>
    <row r="50" spans="1:12" x14ac:dyDescent="0.25">
      <c r="A50" s="3" t="s">
        <v>283</v>
      </c>
      <c r="B50" s="4">
        <v>1</v>
      </c>
      <c r="C50" s="4">
        <v>12000</v>
      </c>
      <c r="D50" s="4">
        <f t="shared" ref="D50:D52" si="53">B50*C50</f>
        <v>12000</v>
      </c>
      <c r="E50" s="4">
        <f t="shared" ref="E50:E52" si="54">D50*0.05</f>
        <v>600</v>
      </c>
      <c r="F50" s="4">
        <v>2500</v>
      </c>
      <c r="G50" s="4">
        <v>0.3</v>
      </c>
      <c r="H50" s="4">
        <f t="shared" si="50"/>
        <v>0.3</v>
      </c>
      <c r="I50" s="4">
        <f t="shared" ref="I50:I52" si="55">H50*$C$2</f>
        <v>2050.5</v>
      </c>
      <c r="J50" s="51">
        <f t="shared" ref="J50:J52" si="56">(D50+E50+F50+I50)*$C$3</f>
        <v>548.81600000000003</v>
      </c>
      <c r="K50" s="6"/>
      <c r="L50" s="17"/>
    </row>
    <row r="51" spans="1:12" x14ac:dyDescent="0.25">
      <c r="A51" s="3" t="s">
        <v>284</v>
      </c>
      <c r="B51" s="4">
        <v>1</v>
      </c>
      <c r="C51" s="4">
        <v>3000</v>
      </c>
      <c r="D51" s="4">
        <f t="shared" si="53"/>
        <v>3000</v>
      </c>
      <c r="E51" s="4">
        <f t="shared" si="54"/>
        <v>150</v>
      </c>
      <c r="F51" s="4">
        <v>2500</v>
      </c>
      <c r="G51" s="4">
        <v>0.2</v>
      </c>
      <c r="H51" s="4">
        <f t="shared" si="50"/>
        <v>0.2</v>
      </c>
      <c r="I51" s="4">
        <f t="shared" si="55"/>
        <v>1367</v>
      </c>
      <c r="J51" s="51">
        <f t="shared" si="56"/>
        <v>224.54400000000001</v>
      </c>
      <c r="K51" s="6"/>
      <c r="L51" s="17"/>
    </row>
    <row r="52" spans="1:12" x14ac:dyDescent="0.25">
      <c r="A52" s="3" t="s">
        <v>285</v>
      </c>
      <c r="B52" s="6">
        <v>1</v>
      </c>
      <c r="C52" s="4">
        <v>1500</v>
      </c>
      <c r="D52" s="4">
        <f t="shared" si="53"/>
        <v>1500</v>
      </c>
      <c r="E52" s="4">
        <f t="shared" si="54"/>
        <v>75</v>
      </c>
      <c r="F52" s="4">
        <v>2500</v>
      </c>
      <c r="G52" s="4">
        <v>0.3</v>
      </c>
      <c r="H52" s="4">
        <f t="shared" ref="H52" si="57">G52</f>
        <v>0.3</v>
      </c>
      <c r="I52" s="4">
        <f t="shared" si="55"/>
        <v>2050.5</v>
      </c>
      <c r="J52" s="51">
        <f t="shared" si="56"/>
        <v>196.01599999999999</v>
      </c>
      <c r="K52" s="6"/>
      <c r="L52" s="17"/>
    </row>
  </sheetData>
  <hyperlinks>
    <hyperlink ref="A46" r:id="rId1" location="prw_list_link" display="http://item2.gmarket.co.kr/English/detailview/item.aspx?goodscode=208621365 - prw_list_link"/>
    <hyperlink ref="A23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Normal="100" workbookViewId="0">
      <selection activeCell="A23" sqref="A23"/>
    </sheetView>
  </sheetViews>
  <sheetFormatPr defaultRowHeight="15" x14ac:dyDescent="0.2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 x14ac:dyDescent="0.35">
      <c r="A1" s="55" t="s">
        <v>281</v>
      </c>
      <c r="B1" s="4"/>
      <c r="C1" s="15">
        <v>41626</v>
      </c>
      <c r="D1" s="30"/>
    </row>
    <row r="2" spans="1:12" ht="38.25" x14ac:dyDescent="0.35">
      <c r="A2" s="55" t="s">
        <v>239</v>
      </c>
      <c r="B2" s="4"/>
      <c r="C2" s="16">
        <v>6910</v>
      </c>
      <c r="D2" s="30"/>
    </row>
    <row r="3" spans="1:12" ht="21" x14ac:dyDescent="0.35">
      <c r="A3" s="55" t="s">
        <v>240</v>
      </c>
      <c r="B3" s="4"/>
      <c r="C3" s="16">
        <v>3.2000000000000001E-2</v>
      </c>
      <c r="D3" s="30"/>
    </row>
    <row r="5" spans="1:12" ht="45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" t="s">
        <v>314</v>
      </c>
      <c r="B6" s="2"/>
      <c r="C6" s="2"/>
      <c r="D6" s="2"/>
      <c r="E6" s="2"/>
      <c r="F6" s="2"/>
      <c r="G6" s="2"/>
      <c r="H6" s="2"/>
      <c r="I6" s="2"/>
      <c r="J6" s="52">
        <f>J7</f>
        <v>187.82293333333334</v>
      </c>
      <c r="K6" s="10">
        <v>187</v>
      </c>
      <c r="L6" s="10">
        <f t="shared" ref="L6" si="0">K6-J6</f>
        <v>-0.82293333333333862</v>
      </c>
    </row>
    <row r="7" spans="1:12" x14ac:dyDescent="0.25">
      <c r="A7" s="3" t="s">
        <v>163</v>
      </c>
      <c r="B7" s="4">
        <v>1</v>
      </c>
      <c r="C7" s="4">
        <f>11900/3</f>
        <v>3966.6666666666665</v>
      </c>
      <c r="D7" s="4">
        <f t="shared" ref="D7" si="1">B7*C7</f>
        <v>3966.6666666666665</v>
      </c>
      <c r="E7" s="4">
        <f>D7*0.05</f>
        <v>198.33333333333334</v>
      </c>
      <c r="F7" s="4">
        <v>0</v>
      </c>
      <c r="G7" s="4">
        <f>0.74/3</f>
        <v>0.24666666666666667</v>
      </c>
      <c r="H7" s="4">
        <f>G7</f>
        <v>0.24666666666666667</v>
      </c>
      <c r="I7" s="4">
        <f>H7*$C$2</f>
        <v>1704.4666666666667</v>
      </c>
      <c r="J7" s="51">
        <f>(D7+E7+F7+I7)*$C$3</f>
        <v>187.82293333333334</v>
      </c>
      <c r="K7" s="6"/>
      <c r="L7" s="17"/>
    </row>
    <row r="8" spans="1:12" ht="26.25" x14ac:dyDescent="0.4">
      <c r="A8" s="1" t="s">
        <v>322</v>
      </c>
      <c r="B8" s="2"/>
      <c r="C8" s="2"/>
      <c r="D8" s="2"/>
      <c r="E8" s="2"/>
      <c r="F8" s="2"/>
      <c r="G8" s="2"/>
      <c r="H8" s="2"/>
      <c r="I8" s="2"/>
      <c r="J8" s="52">
        <f>J9</f>
        <v>302.73066666666665</v>
      </c>
      <c r="K8" s="10">
        <v>302</v>
      </c>
      <c r="L8" s="10">
        <f t="shared" ref="L8" si="2">K8-J8</f>
        <v>-0.73066666666665014</v>
      </c>
    </row>
    <row r="9" spans="1:12" x14ac:dyDescent="0.25">
      <c r="A9" s="3" t="s">
        <v>323</v>
      </c>
      <c r="B9" s="4">
        <v>1</v>
      </c>
      <c r="C9" s="4">
        <v>6900</v>
      </c>
      <c r="D9" s="4">
        <f t="shared" ref="D9" si="3">B9*C9</f>
        <v>6900</v>
      </c>
      <c r="E9" s="4">
        <f>D9*0.05</f>
        <v>345</v>
      </c>
      <c r="F9" s="4">
        <f>2500/3</f>
        <v>833.33333333333337</v>
      </c>
      <c r="G9" s="4">
        <v>0.2</v>
      </c>
      <c r="H9" s="4">
        <f>G9</f>
        <v>0.2</v>
      </c>
      <c r="I9" s="4">
        <f>H9*$C$2</f>
        <v>1382</v>
      </c>
      <c r="J9" s="51">
        <f>(D9+E9+F9+I9)*$C$3</f>
        <v>302.73066666666665</v>
      </c>
      <c r="K9" s="6"/>
      <c r="L9" s="17"/>
    </row>
    <row r="10" spans="1:12" ht="26.25" x14ac:dyDescent="0.4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J11</f>
        <v>317.4933333333334</v>
      </c>
      <c r="K10" s="10">
        <f>778-460</f>
        <v>318</v>
      </c>
      <c r="L10" s="10">
        <f t="shared" ref="L10" si="4">K10-J10</f>
        <v>0.50666666666660376</v>
      </c>
    </row>
    <row r="11" spans="1:12" x14ac:dyDescent="0.25">
      <c r="A11" s="7" t="s">
        <v>74</v>
      </c>
      <c r="B11" s="5">
        <v>1</v>
      </c>
      <c r="C11" s="5">
        <v>6420</v>
      </c>
      <c r="D11" s="4">
        <f t="shared" ref="D11" si="5">B11*C11</f>
        <v>6420</v>
      </c>
      <c r="E11" s="4">
        <f>D11*0.05</f>
        <v>321</v>
      </c>
      <c r="F11" s="5">
        <f>2500/6</f>
        <v>416.66666666666669</v>
      </c>
      <c r="G11" s="5">
        <v>0.4</v>
      </c>
      <c r="H11" s="4">
        <f>G11</f>
        <v>0.4</v>
      </c>
      <c r="I11" s="4">
        <f>H11*$C$2</f>
        <v>2764</v>
      </c>
      <c r="J11" s="51">
        <f>(D11+E11+F11+I11)*$C$3</f>
        <v>317.4933333333334</v>
      </c>
      <c r="K11" s="6"/>
      <c r="L11" s="17"/>
    </row>
    <row r="12" spans="1:12" ht="26.25" x14ac:dyDescent="0.4">
      <c r="A12" s="1" t="s">
        <v>315</v>
      </c>
      <c r="B12" s="2"/>
      <c r="C12" s="2"/>
      <c r="D12" s="2"/>
      <c r="E12" s="2"/>
      <c r="F12" s="2"/>
      <c r="G12" s="2"/>
      <c r="H12" s="2"/>
      <c r="I12" s="2"/>
      <c r="J12" s="52">
        <f>SUM(J13:J16)</f>
        <v>7859.3322666666663</v>
      </c>
      <c r="K12" s="10">
        <f>2763+4383+713</f>
        <v>7859</v>
      </c>
      <c r="L12" s="10">
        <f t="shared" ref="L12" si="6">K12-J12</f>
        <v>-0.33226666666632809</v>
      </c>
    </row>
    <row r="13" spans="1:12" x14ac:dyDescent="0.25">
      <c r="A13" s="17" t="s">
        <v>316</v>
      </c>
      <c r="B13" s="4">
        <v>2</v>
      </c>
      <c r="C13" s="66">
        <v>19000</v>
      </c>
      <c r="D13" s="4">
        <f t="shared" ref="D13:D16" si="7">B13*C13</f>
        <v>38000</v>
      </c>
      <c r="E13" s="4">
        <f>D13*0.05</f>
        <v>1900</v>
      </c>
      <c r="F13" s="4">
        <v>0</v>
      </c>
      <c r="G13" s="4">
        <v>0.34</v>
      </c>
      <c r="H13" s="4">
        <f>G13*B13</f>
        <v>0.68</v>
      </c>
      <c r="I13" s="4">
        <f>H13*$C$2</f>
        <v>4698.8</v>
      </c>
      <c r="J13" s="51">
        <f>(D13+E13+F13+I13)*$C$3</f>
        <v>1427.1616000000001</v>
      </c>
      <c r="K13" s="6"/>
      <c r="L13" s="17"/>
    </row>
    <row r="14" spans="1:12" x14ac:dyDescent="0.25">
      <c r="A14" s="17" t="s">
        <v>317</v>
      </c>
      <c r="B14" s="4">
        <v>3</v>
      </c>
      <c r="C14" s="4">
        <v>19000</v>
      </c>
      <c r="D14" s="4">
        <f t="shared" si="7"/>
        <v>57000</v>
      </c>
      <c r="E14" s="4">
        <f t="shared" ref="E14:E16" si="8">D14*0.05</f>
        <v>2850</v>
      </c>
      <c r="F14" s="4">
        <v>0</v>
      </c>
      <c r="G14" s="4">
        <v>0.3</v>
      </c>
      <c r="H14" s="4">
        <f t="shared" ref="H14:H16" si="9">G14*B14</f>
        <v>0.89999999999999991</v>
      </c>
      <c r="I14" s="4">
        <f t="shared" ref="I14:I16" si="10">H14*$C$2</f>
        <v>6218.9999999999991</v>
      </c>
      <c r="J14" s="51">
        <f t="shared" ref="J14:J16" si="11">(D14+E14+F14+I14)*$C$3</f>
        <v>2114.2080000000001</v>
      </c>
      <c r="K14" s="6"/>
      <c r="L14" s="17"/>
    </row>
    <row r="15" spans="1:12" x14ac:dyDescent="0.25">
      <c r="A15" s="17" t="s">
        <v>318</v>
      </c>
      <c r="B15" s="4">
        <v>4</v>
      </c>
      <c r="C15" s="4">
        <v>19000</v>
      </c>
      <c r="D15" s="4">
        <f t="shared" si="7"/>
        <v>76000</v>
      </c>
      <c r="E15" s="4">
        <f t="shared" si="8"/>
        <v>3800</v>
      </c>
      <c r="F15" s="4">
        <v>0</v>
      </c>
      <c r="G15" s="4">
        <v>0.2</v>
      </c>
      <c r="H15" s="4">
        <f t="shared" si="9"/>
        <v>0.8</v>
      </c>
      <c r="I15" s="4">
        <f t="shared" si="10"/>
        <v>5528</v>
      </c>
      <c r="J15" s="51">
        <f t="shared" si="11"/>
        <v>2730.4960000000001</v>
      </c>
      <c r="K15" s="6"/>
      <c r="L15" s="17"/>
    </row>
    <row r="16" spans="1:12" x14ac:dyDescent="0.25">
      <c r="A16" s="17" t="s">
        <v>319</v>
      </c>
      <c r="B16" s="5">
        <v>5</v>
      </c>
      <c r="C16" s="5">
        <v>6420</v>
      </c>
      <c r="D16" s="4">
        <f t="shared" si="7"/>
        <v>32100</v>
      </c>
      <c r="E16" s="4">
        <f t="shared" si="8"/>
        <v>1605</v>
      </c>
      <c r="F16" s="5">
        <f>2500/6*5</f>
        <v>2083.3333333333335</v>
      </c>
      <c r="G16" s="5">
        <v>0.4</v>
      </c>
      <c r="H16" s="4">
        <f t="shared" si="9"/>
        <v>2</v>
      </c>
      <c r="I16" s="4">
        <f t="shared" si="10"/>
        <v>13820</v>
      </c>
      <c r="J16" s="51">
        <f t="shared" si="11"/>
        <v>1587.4666666666667</v>
      </c>
      <c r="K16" s="6"/>
      <c r="L16" s="17"/>
    </row>
    <row r="17" spans="1:13" ht="26.25" x14ac:dyDescent="0.4">
      <c r="A17" s="1" t="s">
        <v>297</v>
      </c>
      <c r="B17" s="2"/>
      <c r="C17" s="2"/>
      <c r="D17" s="4">
        <v>19000</v>
      </c>
      <c r="E17" s="2"/>
      <c r="F17" s="2"/>
      <c r="G17" s="2"/>
      <c r="H17" s="2"/>
      <c r="I17" s="2"/>
      <c r="J17" s="52">
        <f>J20+J19+J18</f>
        <v>1438.2080000000001</v>
      </c>
      <c r="K17" s="10">
        <v>1500</v>
      </c>
      <c r="L17" s="10">
        <f>K17-J17-37-9</f>
        <v>15.791999999999916</v>
      </c>
      <c r="M17" t="s">
        <v>330</v>
      </c>
    </row>
    <row r="18" spans="1:13" x14ac:dyDescent="0.25">
      <c r="A18" s="4" t="s">
        <v>57</v>
      </c>
      <c r="B18" s="4">
        <v>1</v>
      </c>
      <c r="C18" s="4">
        <v>7900</v>
      </c>
      <c r="D18" s="4">
        <f t="shared" ref="D18:D20" si="12">B18*C18</f>
        <v>7900</v>
      </c>
      <c r="E18" s="4">
        <f>D18*0.05</f>
        <v>395</v>
      </c>
      <c r="F18" s="4">
        <v>0</v>
      </c>
      <c r="G18" s="4">
        <v>0.2</v>
      </c>
      <c r="H18" s="4">
        <f>G18</f>
        <v>0.2</v>
      </c>
      <c r="I18" s="4">
        <f>H18*$C$2</f>
        <v>1382</v>
      </c>
      <c r="J18" s="51">
        <f>(D18+E18+F18+I18)*$C$3</f>
        <v>309.66399999999999</v>
      </c>
      <c r="K18" s="6"/>
      <c r="L18" s="17"/>
    </row>
    <row r="19" spans="1:13" x14ac:dyDescent="0.25">
      <c r="A19" s="4" t="s">
        <v>324</v>
      </c>
      <c r="B19" s="4">
        <v>1</v>
      </c>
      <c r="C19" s="4">
        <v>11900</v>
      </c>
      <c r="D19" s="4">
        <f t="shared" si="12"/>
        <v>11900</v>
      </c>
      <c r="E19" s="4">
        <f>D19*0.05</f>
        <v>595</v>
      </c>
      <c r="F19" s="4">
        <v>2500</v>
      </c>
      <c r="G19" s="4">
        <v>0.3</v>
      </c>
      <c r="H19" s="4">
        <f>G19</f>
        <v>0.3</v>
      </c>
      <c r="I19" s="4">
        <f>H19*$C$2</f>
        <v>2073</v>
      </c>
      <c r="J19" s="51">
        <f>(D19+E19+F19+I19)*$C$3</f>
        <v>546.17600000000004</v>
      </c>
      <c r="K19" s="6"/>
      <c r="L19" s="17"/>
    </row>
    <row r="20" spans="1:13" x14ac:dyDescent="0.25">
      <c r="A20" s="4" t="s">
        <v>323</v>
      </c>
      <c r="B20" s="4">
        <v>1</v>
      </c>
      <c r="C20" s="4">
        <v>14700</v>
      </c>
      <c r="D20" s="4">
        <f t="shared" si="12"/>
        <v>14700</v>
      </c>
      <c r="E20" s="4">
        <f>D20*0.05</f>
        <v>735</v>
      </c>
      <c r="F20" s="4">
        <v>0</v>
      </c>
      <c r="G20" s="4">
        <v>0.4</v>
      </c>
      <c r="H20" s="4">
        <f>G20</f>
        <v>0.4</v>
      </c>
      <c r="I20" s="4">
        <f>H20*$C$2</f>
        <v>2764</v>
      </c>
      <c r="J20" s="51">
        <f>(D20+E20+F20+I20)*$C$3</f>
        <v>582.36800000000005</v>
      </c>
      <c r="K20" s="6"/>
      <c r="L20" s="17"/>
    </row>
    <row r="21" spans="1:13" ht="26.25" x14ac:dyDescent="0.4">
      <c r="A21" s="1" t="s">
        <v>2</v>
      </c>
      <c r="B21" s="2"/>
      <c r="C21" s="2"/>
      <c r="D21" s="2"/>
      <c r="E21" s="2"/>
      <c r="F21" s="2"/>
      <c r="G21" s="2"/>
      <c r="H21" s="2"/>
      <c r="I21" s="2"/>
      <c r="J21" s="52">
        <f>J22+J23</f>
        <v>594.95466666666675</v>
      </c>
      <c r="K21" s="10">
        <v>510</v>
      </c>
      <c r="L21" s="10">
        <f t="shared" ref="L21" si="13">K21-J21</f>
        <v>-84.954666666666753</v>
      </c>
    </row>
    <row r="22" spans="1:13" x14ac:dyDescent="0.25">
      <c r="A22" s="17" t="s">
        <v>320</v>
      </c>
      <c r="B22" s="4">
        <v>1</v>
      </c>
      <c r="C22" s="4">
        <v>4900</v>
      </c>
      <c r="D22" s="4">
        <f t="shared" ref="D22:D23" si="14">B22*C22</f>
        <v>4900</v>
      </c>
      <c r="E22" s="4">
        <f>D22*0.05</f>
        <v>245</v>
      </c>
      <c r="F22" s="4">
        <f>2500/3</f>
        <v>833.33333333333337</v>
      </c>
      <c r="G22" s="4">
        <f>0.2</f>
        <v>0.2</v>
      </c>
      <c r="H22" s="4">
        <f>G22</f>
        <v>0.2</v>
      </c>
      <c r="I22" s="4">
        <f>H22*$C$2</f>
        <v>1382</v>
      </c>
      <c r="J22" s="51">
        <f>(D22+E22+F22+I22)*$C$3</f>
        <v>235.53066666666666</v>
      </c>
      <c r="K22" s="6"/>
      <c r="L22" s="17"/>
    </row>
    <row r="23" spans="1:13" x14ac:dyDescent="0.25">
      <c r="A23" s="17" t="s">
        <v>321</v>
      </c>
      <c r="B23" s="4">
        <v>1</v>
      </c>
      <c r="C23" s="4">
        <v>7000</v>
      </c>
      <c r="D23" s="4">
        <f t="shared" si="14"/>
        <v>7000</v>
      </c>
      <c r="E23" s="4">
        <f>D23*0.05</f>
        <v>350</v>
      </c>
      <c r="F23" s="4">
        <v>2500</v>
      </c>
      <c r="G23" s="4">
        <f>0.2</f>
        <v>0.2</v>
      </c>
      <c r="H23" s="4">
        <f>B23*G23</f>
        <v>0.2</v>
      </c>
      <c r="I23" s="4">
        <f>H23*$C$2</f>
        <v>1382</v>
      </c>
      <c r="J23" s="51">
        <f>(D23+E23+F23+I23)*$C$3</f>
        <v>359.42400000000004</v>
      </c>
      <c r="K23" s="6"/>
      <c r="L23" s="17"/>
    </row>
  </sheetData>
  <hyperlinks>
    <hyperlink ref="A13" r:id="rId1" display="http://item2.gmarket.co.kr/English/detailview/item.aspx?goodscode=410739572"/>
    <hyperlink ref="A14" r:id="rId2" display="http://item2.gmarket.co.kr/English/detailview/item.aspx?goodscode=223288272"/>
    <hyperlink ref="A15" r:id="rId3" display="http://item2.gmarket.co.kr/English/detailview/item.aspx?goodscode=201104920"/>
    <hyperlink ref="A16" r:id="rId4" display="http://item2.gmarket.co.kr/English/detailview/item.aspx?goodscode=190327314"/>
    <hyperlink ref="A8" r:id="rId5" display="http://forum.sibmama.ru/viewtopic.php?p=45223226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"/>
  <sheetViews>
    <sheetView workbookViewId="0">
      <selection activeCell="A23" sqref="A23"/>
    </sheetView>
  </sheetViews>
  <sheetFormatPr defaultRowHeight="15" x14ac:dyDescent="0.25"/>
  <cols>
    <col min="1" max="1" width="39.140625" customWidth="1"/>
    <col min="3" max="3" width="11.28515625" customWidth="1"/>
    <col min="10" max="10" width="11.85546875" customWidth="1"/>
    <col min="11" max="11" width="12.140625" customWidth="1"/>
    <col min="12" max="12" width="13.28515625" customWidth="1"/>
  </cols>
  <sheetData>
    <row r="1" spans="1:13" ht="21" x14ac:dyDescent="0.35">
      <c r="A1" s="55" t="s">
        <v>281</v>
      </c>
      <c r="B1" s="4"/>
      <c r="C1" s="15">
        <v>41669</v>
      </c>
      <c r="D1" s="30"/>
    </row>
    <row r="2" spans="1:13" ht="21" x14ac:dyDescent="0.35">
      <c r="A2" s="55" t="s">
        <v>239</v>
      </c>
      <c r="B2" s="4"/>
      <c r="C2" s="16">
        <v>7110</v>
      </c>
      <c r="D2" s="30"/>
    </row>
    <row r="3" spans="1:13" ht="21" x14ac:dyDescent="0.35">
      <c r="A3" s="55" t="s">
        <v>240</v>
      </c>
      <c r="B3" s="4"/>
      <c r="C3" s="16">
        <v>3.2500000000000001E-2</v>
      </c>
      <c r="D3" s="30"/>
    </row>
    <row r="5" spans="1:13" ht="45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" t="s">
        <v>288</v>
      </c>
      <c r="B6" s="2"/>
      <c r="C6" s="2"/>
      <c r="D6" s="2"/>
      <c r="E6" s="2"/>
      <c r="F6" s="2"/>
      <c r="G6" s="2"/>
      <c r="H6" s="2"/>
      <c r="I6" s="2"/>
      <c r="J6" s="52">
        <f>SUM(J7:J10)</f>
        <v>2408.7319299999999</v>
      </c>
      <c r="K6" s="10">
        <f>2271+344</f>
        <v>2615</v>
      </c>
      <c r="L6" s="10">
        <f>K6-J6</f>
        <v>206.26807000000008</v>
      </c>
      <c r="M6" t="s">
        <v>357</v>
      </c>
    </row>
    <row r="7" spans="1:13" x14ac:dyDescent="0.25">
      <c r="A7" s="17" t="s">
        <v>329</v>
      </c>
      <c r="B7" s="4">
        <v>1</v>
      </c>
      <c r="C7" s="4">
        <v>9900</v>
      </c>
      <c r="D7" s="4">
        <f t="shared" ref="D7:D10" si="0">B7*C7</f>
        <v>9900</v>
      </c>
      <c r="E7" s="4">
        <f>D7*0.05</f>
        <v>495</v>
      </c>
      <c r="F7" s="4">
        <v>0</v>
      </c>
      <c r="G7" s="4">
        <v>0.2</v>
      </c>
      <c r="H7" s="4">
        <f>G7*B7</f>
        <v>0.2</v>
      </c>
      <c r="I7" s="4">
        <f>H7*'12'!$C$2</f>
        <v>1329</v>
      </c>
      <c r="J7" s="51">
        <f>(D7+E7+F7+I7)*'12'!$C$3</f>
        <v>399.78839999999997</v>
      </c>
      <c r="K7" s="6"/>
      <c r="L7" s="17"/>
    </row>
    <row r="8" spans="1:13" x14ac:dyDescent="0.25">
      <c r="A8" s="17" t="s">
        <v>329</v>
      </c>
      <c r="B8" s="4">
        <v>2</v>
      </c>
      <c r="C8" s="4">
        <v>10900</v>
      </c>
      <c r="D8" s="4">
        <f t="shared" si="0"/>
        <v>21800</v>
      </c>
      <c r="E8" s="4">
        <f t="shared" ref="E8:E10" si="1">D8*0.05</f>
        <v>1090</v>
      </c>
      <c r="F8" s="4">
        <v>0</v>
      </c>
      <c r="G8" s="4">
        <v>0.56999999999999995</v>
      </c>
      <c r="H8" s="4">
        <f>G8*B8</f>
        <v>1.1399999999999999</v>
      </c>
      <c r="I8" s="4">
        <f>H8*'12'!$C$2</f>
        <v>7575.2999999999993</v>
      </c>
      <c r="J8" s="51">
        <f>(D8+E8+F8+I8)*'12'!$C$3</f>
        <v>1038.86673</v>
      </c>
      <c r="K8" s="6"/>
      <c r="L8" s="17"/>
    </row>
    <row r="9" spans="1:13" x14ac:dyDescent="0.25">
      <c r="A9" s="17" t="s">
        <v>329</v>
      </c>
      <c r="B9" s="4">
        <v>1</v>
      </c>
      <c r="C9" s="4">
        <v>9900</v>
      </c>
      <c r="D9" s="4">
        <f t="shared" si="0"/>
        <v>9900</v>
      </c>
      <c r="E9" s="4">
        <f t="shared" si="1"/>
        <v>495</v>
      </c>
      <c r="F9" s="4">
        <v>2500</v>
      </c>
      <c r="G9" s="4">
        <v>0.2</v>
      </c>
      <c r="H9" s="4">
        <f t="shared" ref="H9:H10" si="2">G9*B9</f>
        <v>0.2</v>
      </c>
      <c r="I9" s="4">
        <f>H9*'12'!$C$2</f>
        <v>1329</v>
      </c>
      <c r="J9" s="51">
        <f>(D9+E9+F9+I9)*'12'!$C$3</f>
        <v>485.03839999999997</v>
      </c>
      <c r="K9" s="6"/>
      <c r="L9" s="17"/>
    </row>
    <row r="10" spans="1:13" x14ac:dyDescent="0.25">
      <c r="A10" s="17" t="s">
        <v>329</v>
      </c>
      <c r="B10" s="4">
        <v>1</v>
      </c>
      <c r="C10" s="4">
        <v>9900</v>
      </c>
      <c r="D10" s="4">
        <f t="shared" si="0"/>
        <v>9900</v>
      </c>
      <c r="E10" s="4">
        <f t="shared" si="1"/>
        <v>495</v>
      </c>
      <c r="F10" s="4">
        <v>2500</v>
      </c>
      <c r="G10" s="4">
        <v>0.2</v>
      </c>
      <c r="H10" s="4">
        <f t="shared" si="2"/>
        <v>0.2</v>
      </c>
      <c r="I10" s="4">
        <f>H10*'12'!$C$2</f>
        <v>1329</v>
      </c>
      <c r="J10" s="51">
        <f>(D10+E10+F10+I10)*'12'!$C$3</f>
        <v>485.03839999999997</v>
      </c>
      <c r="K10" s="6"/>
      <c r="L10" s="17"/>
    </row>
    <row r="11" spans="1:13" ht="26.25" x14ac:dyDescent="0.4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52">
        <f>J14+J13+J12</f>
        <v>1185.0346749999999</v>
      </c>
      <c r="K11" s="10">
        <f>1119+66</f>
        <v>1185</v>
      </c>
      <c r="L11" s="10">
        <f>K11-J11</f>
        <v>-3.4674999999879219E-2</v>
      </c>
      <c r="M11" t="s">
        <v>368</v>
      </c>
    </row>
    <row r="12" spans="1:13" x14ac:dyDescent="0.25">
      <c r="A12" s="4" t="s">
        <v>327</v>
      </c>
      <c r="B12" s="47">
        <v>2</v>
      </c>
      <c r="C12" s="4">
        <v>3000</v>
      </c>
      <c r="D12" s="4">
        <f t="shared" ref="D12:D14" si="3">B12*C12</f>
        <v>6000</v>
      </c>
      <c r="E12" s="4">
        <f>D12*0.05</f>
        <v>300</v>
      </c>
      <c r="F12" s="4">
        <v>2500</v>
      </c>
      <c r="G12" s="4">
        <v>0.3</v>
      </c>
      <c r="H12" s="4">
        <f>G12*B12</f>
        <v>0.6</v>
      </c>
      <c r="I12" s="4">
        <f>H12*'12'!$C$2</f>
        <v>3987</v>
      </c>
      <c r="J12" s="51">
        <f>(D12+E12+F12+I12)*'12'!$C$3</f>
        <v>436.0367</v>
      </c>
      <c r="K12" s="6"/>
      <c r="L12" s="17"/>
    </row>
    <row r="13" spans="1:13" x14ac:dyDescent="0.25">
      <c r="A13" s="4" t="s">
        <v>57</v>
      </c>
      <c r="B13" s="4">
        <v>1</v>
      </c>
      <c r="C13" s="4">
        <v>2300</v>
      </c>
      <c r="D13" s="4">
        <f t="shared" si="3"/>
        <v>2300</v>
      </c>
      <c r="E13" s="4">
        <f>D13*0.05</f>
        <v>115</v>
      </c>
      <c r="F13" s="4">
        <v>2500</v>
      </c>
      <c r="G13" s="4">
        <v>0.25</v>
      </c>
      <c r="H13" s="4">
        <f t="shared" ref="H13:H14" si="4">G13*B13</f>
        <v>0.25</v>
      </c>
      <c r="I13" s="4">
        <f>H13*'12'!$C$2</f>
        <v>1661.25</v>
      </c>
      <c r="J13" s="51">
        <f>(D13+E13+F13+I13)*'12'!$C$3</f>
        <v>224.250125</v>
      </c>
      <c r="K13" s="6"/>
      <c r="L13" s="17"/>
    </row>
    <row r="14" spans="1:13" x14ac:dyDescent="0.25">
      <c r="A14" s="41" t="s">
        <v>328</v>
      </c>
      <c r="B14" s="4">
        <v>1</v>
      </c>
      <c r="C14" s="4">
        <v>9900</v>
      </c>
      <c r="D14" s="4">
        <f t="shared" si="3"/>
        <v>9900</v>
      </c>
      <c r="E14" s="4">
        <f>D14*0.05</f>
        <v>495</v>
      </c>
      <c r="F14" s="4">
        <v>3000</v>
      </c>
      <c r="G14" s="4">
        <v>0.3</v>
      </c>
      <c r="H14" s="4">
        <f t="shared" si="4"/>
        <v>0.3</v>
      </c>
      <c r="I14" s="4">
        <f>H14*'12'!$C$2</f>
        <v>1993.5</v>
      </c>
      <c r="J14" s="51">
        <f>(D14+E14+F14+I14)*'12'!$C$3</f>
        <v>524.74784999999997</v>
      </c>
      <c r="K14" s="6"/>
      <c r="L14" s="17"/>
    </row>
    <row r="15" spans="1:13" ht="26.25" x14ac:dyDescent="0.4">
      <c r="A15" s="1" t="s">
        <v>325</v>
      </c>
      <c r="B15" s="2"/>
      <c r="C15" s="2"/>
      <c r="D15" s="2"/>
      <c r="E15" s="2"/>
      <c r="F15" s="2"/>
      <c r="G15" s="2"/>
      <c r="H15" s="2"/>
      <c r="I15" s="2"/>
      <c r="J15" s="52">
        <f>J16</f>
        <v>434.91139999999996</v>
      </c>
      <c r="K15" s="10">
        <v>408</v>
      </c>
      <c r="L15" s="10">
        <f t="shared" ref="L15" si="5">K15-J15</f>
        <v>-26.911399999999958</v>
      </c>
    </row>
    <row r="16" spans="1:13" x14ac:dyDescent="0.25">
      <c r="A16" s="3" t="s">
        <v>326</v>
      </c>
      <c r="B16" s="4">
        <v>1</v>
      </c>
      <c r="C16" s="4">
        <v>8500</v>
      </c>
      <c r="D16" s="4">
        <f t="shared" ref="D16" si="6">B16*C16</f>
        <v>8500</v>
      </c>
      <c r="E16" s="4">
        <f>D16*0.05</f>
        <v>425</v>
      </c>
      <c r="F16" s="4">
        <v>2500</v>
      </c>
      <c r="G16" s="4">
        <v>0.2</v>
      </c>
      <c r="H16" s="4">
        <f>G16</f>
        <v>0.2</v>
      </c>
      <c r="I16" s="4">
        <f>H16*'12'!$C$2</f>
        <v>1329</v>
      </c>
      <c r="J16" s="51">
        <f>(D16+E16+F16+I16)*'12'!$C$3</f>
        <v>434.91139999999996</v>
      </c>
      <c r="K16" s="6"/>
      <c r="L16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80" zoomScaleNormal="80" workbookViewId="0">
      <selection activeCell="K13" sqref="K13"/>
    </sheetView>
  </sheetViews>
  <sheetFormatPr defaultRowHeight="15" x14ac:dyDescent="0.25"/>
  <cols>
    <col min="1" max="1" width="36.42578125" customWidth="1"/>
    <col min="2" max="2" width="18.85546875" customWidth="1"/>
    <col min="3" max="3" width="14.85546875" customWidth="1"/>
    <col min="10" max="10" width="10" customWidth="1"/>
    <col min="11" max="11" width="10.7109375" customWidth="1"/>
    <col min="12" max="12" width="12.28515625" customWidth="1"/>
  </cols>
  <sheetData>
    <row r="1" spans="1:13" ht="21" x14ac:dyDescent="0.35">
      <c r="A1" s="55" t="s">
        <v>281</v>
      </c>
      <c r="B1" s="4"/>
      <c r="C1" s="15">
        <v>41689</v>
      </c>
      <c r="D1" s="30"/>
    </row>
    <row r="2" spans="1:13" ht="21" x14ac:dyDescent="0.35">
      <c r="A2" s="55" t="s">
        <v>239</v>
      </c>
      <c r="B2" s="4"/>
      <c r="C2" s="16">
        <v>6645</v>
      </c>
      <c r="D2" s="30"/>
    </row>
    <row r="3" spans="1:13" ht="21" x14ac:dyDescent="0.35">
      <c r="A3" s="55" t="s">
        <v>217</v>
      </c>
      <c r="B3" s="4"/>
      <c r="C3" s="16">
        <v>3.4099999999999998E-2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04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SUM(J7:J12)</f>
        <v>2562.4956499999998</v>
      </c>
      <c r="K6" s="10">
        <f>2850-290</f>
        <v>2560</v>
      </c>
      <c r="L6" s="10">
        <f t="shared" ref="L6" si="0">K6-J6</f>
        <v>-2.4956499999998414</v>
      </c>
      <c r="M6" s="133" t="s">
        <v>419</v>
      </c>
    </row>
    <row r="7" spans="1:13" x14ac:dyDescent="0.25">
      <c r="A7" s="39" t="s">
        <v>332</v>
      </c>
      <c r="B7" s="98">
        <v>1</v>
      </c>
      <c r="C7" s="99">
        <v>8900</v>
      </c>
      <c r="D7" s="37">
        <f t="shared" ref="D7:D12" si="1">B7*C7</f>
        <v>8900</v>
      </c>
      <c r="E7" s="39">
        <f>D7*0.05</f>
        <v>445</v>
      </c>
      <c r="F7" s="98">
        <v>2500</v>
      </c>
      <c r="G7" s="99">
        <v>0.2</v>
      </c>
      <c r="H7" s="37">
        <f>G7*B7</f>
        <v>0.2</v>
      </c>
      <c r="I7" s="4">
        <f>H7*$C$2</f>
        <v>1329</v>
      </c>
      <c r="J7" s="51">
        <f>(D7+E7+F7+I7)*$C$3</f>
        <v>449.23339999999996</v>
      </c>
      <c r="K7" s="6"/>
      <c r="L7" s="17"/>
    </row>
    <row r="8" spans="1:13" x14ac:dyDescent="0.25">
      <c r="A8" s="39" t="s">
        <v>57</v>
      </c>
      <c r="B8" s="98">
        <v>1</v>
      </c>
      <c r="C8" s="99">
        <v>12350</v>
      </c>
      <c r="D8" s="37">
        <f t="shared" ref="D8:D9" si="2">B8*C8</f>
        <v>12350</v>
      </c>
      <c r="E8" s="39">
        <f t="shared" ref="E8:E9" si="3">D8*0.05</f>
        <v>617.5</v>
      </c>
      <c r="F8" s="98">
        <v>2500</v>
      </c>
      <c r="G8" s="99">
        <v>0.2</v>
      </c>
      <c r="H8" s="37">
        <f t="shared" ref="H8:H9" si="4">G8*B8</f>
        <v>0.2</v>
      </c>
      <c r="I8" s="4">
        <f t="shared" ref="I8:I9" si="5">H8*$C$2</f>
        <v>1329</v>
      </c>
      <c r="J8" s="51">
        <f t="shared" ref="J8:J9" si="6">(D8+E8+F8+I8)*$C$3</f>
        <v>572.76064999999994</v>
      </c>
      <c r="K8" s="6"/>
      <c r="L8" s="17"/>
    </row>
    <row r="9" spans="1:13" x14ac:dyDescent="0.25">
      <c r="A9" s="39" t="s">
        <v>57</v>
      </c>
      <c r="B9" s="98">
        <v>1</v>
      </c>
      <c r="C9" s="99">
        <v>11400</v>
      </c>
      <c r="D9" s="37">
        <f t="shared" si="2"/>
        <v>11400</v>
      </c>
      <c r="E9" s="39">
        <f t="shared" si="3"/>
        <v>570</v>
      </c>
      <c r="F9" s="98">
        <v>2500</v>
      </c>
      <c r="G9" s="99">
        <v>0.2</v>
      </c>
      <c r="H9" s="37">
        <f t="shared" si="4"/>
        <v>0.2</v>
      </c>
      <c r="I9" s="4">
        <f t="shared" si="5"/>
        <v>1329</v>
      </c>
      <c r="J9" s="51">
        <f t="shared" si="6"/>
        <v>538.74590000000001</v>
      </c>
      <c r="K9" s="6"/>
      <c r="L9" s="17"/>
    </row>
    <row r="10" spans="1:13" x14ac:dyDescent="0.25">
      <c r="A10" s="112" t="s">
        <v>57</v>
      </c>
      <c r="B10" s="98"/>
      <c r="C10" s="99"/>
      <c r="D10" s="37"/>
      <c r="E10" s="39"/>
      <c r="F10" s="98"/>
      <c r="G10" s="99"/>
      <c r="H10" s="37"/>
      <c r="I10" s="4"/>
      <c r="J10" s="51"/>
      <c r="K10" s="6"/>
      <c r="L10" s="17"/>
    </row>
    <row r="11" spans="1:13" x14ac:dyDescent="0.25">
      <c r="A11" s="39" t="s">
        <v>162</v>
      </c>
      <c r="B11" s="98">
        <v>1</v>
      </c>
      <c r="C11" s="99">
        <v>14800</v>
      </c>
      <c r="D11" s="37">
        <f t="shared" si="1"/>
        <v>14800</v>
      </c>
      <c r="E11" s="39">
        <f t="shared" ref="E11:E12" si="7">D11*0.05</f>
        <v>740</v>
      </c>
      <c r="F11" s="98">
        <v>2500</v>
      </c>
      <c r="G11" s="99">
        <v>0.3</v>
      </c>
      <c r="H11" s="37">
        <f t="shared" ref="H11:H12" si="8">G11*B11</f>
        <v>0.3</v>
      </c>
      <c r="I11" s="4">
        <f t="shared" ref="I11:I12" si="9">H11*$C$2</f>
        <v>1993.5</v>
      </c>
      <c r="J11" s="51">
        <f t="shared" ref="J11:J12" si="10">(D11+E11+F11+I11)*$C$3</f>
        <v>683.14234999999996</v>
      </c>
      <c r="K11" s="6"/>
      <c r="L11" s="17"/>
    </row>
    <row r="12" spans="1:13" x14ac:dyDescent="0.25">
      <c r="A12" s="39" t="s">
        <v>333</v>
      </c>
      <c r="B12" s="98">
        <v>1</v>
      </c>
      <c r="C12" s="99">
        <v>7000</v>
      </c>
      <c r="D12" s="37">
        <f t="shared" si="1"/>
        <v>7000</v>
      </c>
      <c r="E12" s="39">
        <f t="shared" si="7"/>
        <v>350</v>
      </c>
      <c r="F12" s="98">
        <v>0</v>
      </c>
      <c r="G12" s="99">
        <v>0.3</v>
      </c>
      <c r="H12" s="37">
        <f t="shared" si="8"/>
        <v>0.3</v>
      </c>
      <c r="I12" s="4">
        <f t="shared" si="9"/>
        <v>1993.5</v>
      </c>
      <c r="J12" s="51">
        <f t="shared" si="10"/>
        <v>318.61334999999997</v>
      </c>
      <c r="K12" s="6"/>
      <c r="L12" s="17"/>
    </row>
    <row r="13" spans="1:13" ht="26.25" x14ac:dyDescent="0.4">
      <c r="A13" s="105" t="s">
        <v>169</v>
      </c>
      <c r="B13" s="100"/>
      <c r="C13" s="101"/>
      <c r="D13" s="32"/>
      <c r="E13" s="92"/>
      <c r="F13" s="100"/>
      <c r="G13" s="101"/>
      <c r="H13" s="32"/>
      <c r="I13" s="2"/>
      <c r="J13" s="52">
        <f>J16+J15+J14</f>
        <v>1699.3428099999999</v>
      </c>
      <c r="K13" s="10">
        <f>1604+45</f>
        <v>1649</v>
      </c>
      <c r="L13" s="10">
        <f>K13-J13</f>
        <v>-50.342809999999872</v>
      </c>
    </row>
    <row r="14" spans="1:13" x14ac:dyDescent="0.25">
      <c r="A14" s="39" t="s">
        <v>172</v>
      </c>
      <c r="B14" s="107">
        <v>3</v>
      </c>
      <c r="C14" s="99">
        <v>3600</v>
      </c>
      <c r="D14" s="37">
        <f t="shared" ref="D14:D16" si="11">B14*C14</f>
        <v>10800</v>
      </c>
      <c r="E14" s="39">
        <f>D14*0.05</f>
        <v>540</v>
      </c>
      <c r="F14" s="98">
        <v>2500</v>
      </c>
      <c r="G14" s="99">
        <v>0.2</v>
      </c>
      <c r="H14" s="37">
        <f>G14*B14</f>
        <v>0.60000000000000009</v>
      </c>
      <c r="I14" s="4">
        <f>H14*$C$2</f>
        <v>3987.0000000000005</v>
      </c>
      <c r="J14" s="51">
        <f>(D14+E14+F14+I14)*$C$3</f>
        <v>607.90069999999992</v>
      </c>
      <c r="K14" s="6"/>
      <c r="L14" s="17"/>
    </row>
    <row r="15" spans="1:13" x14ac:dyDescent="0.25">
      <c r="A15" s="39" t="s">
        <v>334</v>
      </c>
      <c r="B15" s="98">
        <v>1</v>
      </c>
      <c r="C15" s="99">
        <v>12000</v>
      </c>
      <c r="D15" s="37">
        <f t="shared" si="11"/>
        <v>12000</v>
      </c>
      <c r="E15" s="39">
        <f>D15*0.05</f>
        <v>600</v>
      </c>
      <c r="F15" s="98">
        <v>2500</v>
      </c>
      <c r="G15" s="99">
        <v>0.3</v>
      </c>
      <c r="H15" s="37">
        <f>G15</f>
        <v>0.3</v>
      </c>
      <c r="I15" s="4">
        <f>H15*$C$2</f>
        <v>1993.5</v>
      </c>
      <c r="J15" s="51">
        <f>(D15+E15+F15+I15)*$C$3</f>
        <v>582.88834999999995</v>
      </c>
      <c r="K15" s="6"/>
      <c r="L15" s="17"/>
    </row>
    <row r="16" spans="1:13" x14ac:dyDescent="0.25">
      <c r="A16" s="39" t="s">
        <v>335</v>
      </c>
      <c r="B16" s="98">
        <v>1</v>
      </c>
      <c r="C16" s="99">
        <v>9900</v>
      </c>
      <c r="D16" s="37">
        <f t="shared" si="11"/>
        <v>9900</v>
      </c>
      <c r="E16" s="39">
        <f>D16*0.05</f>
        <v>495</v>
      </c>
      <c r="F16" s="98">
        <v>0</v>
      </c>
      <c r="G16" s="99">
        <v>0.68</v>
      </c>
      <c r="H16" s="37">
        <f>G16</f>
        <v>0.68</v>
      </c>
      <c r="I16" s="4">
        <f>H16*$C$2</f>
        <v>4518.6000000000004</v>
      </c>
      <c r="J16" s="51">
        <f>(D16+E16+F16+I16)*$C$3</f>
        <v>508.55376000000001</v>
      </c>
      <c r="K16" s="6"/>
      <c r="L16" s="17"/>
    </row>
    <row r="17" spans="1:13" ht="26.25" x14ac:dyDescent="0.4">
      <c r="A17" s="104" t="s">
        <v>336</v>
      </c>
      <c r="B17" s="96"/>
      <c r="C17" s="97"/>
      <c r="D17" s="32"/>
      <c r="E17" s="92"/>
      <c r="F17" s="96"/>
      <c r="G17" s="97"/>
      <c r="H17" s="32"/>
      <c r="I17" s="2"/>
      <c r="J17" s="52">
        <f>J18+J19</f>
        <v>449.63918999999999</v>
      </c>
      <c r="K17" s="10">
        <v>562</v>
      </c>
      <c r="L17" s="10">
        <f>K17-J17-112</f>
        <v>0.36081000000001495</v>
      </c>
      <c r="M17" s="132" t="s">
        <v>356</v>
      </c>
    </row>
    <row r="18" spans="1:13" x14ac:dyDescent="0.25">
      <c r="A18" s="39" t="s">
        <v>337</v>
      </c>
      <c r="B18" s="98">
        <v>1</v>
      </c>
      <c r="C18" s="99">
        <v>9900</v>
      </c>
      <c r="D18" s="37">
        <f t="shared" ref="D18" si="12">B18*C18</f>
        <v>9900</v>
      </c>
      <c r="E18" s="39">
        <f>D18*0.05</f>
        <v>495</v>
      </c>
      <c r="F18" s="98">
        <v>0</v>
      </c>
      <c r="G18" s="99">
        <v>0.42</v>
      </c>
      <c r="H18" s="37">
        <f>G18</f>
        <v>0.42</v>
      </c>
      <c r="I18" s="4">
        <f>H18*$C$2</f>
        <v>2790.9</v>
      </c>
      <c r="J18" s="51">
        <f>(D18+E18+F18+I18)*$C$3</f>
        <v>449.63918999999999</v>
      </c>
      <c r="K18" s="6"/>
      <c r="L18" s="17"/>
    </row>
    <row r="19" spans="1:13" ht="15.75" customHeight="1" x14ac:dyDescent="0.25">
      <c r="A19" s="112" t="s">
        <v>338</v>
      </c>
      <c r="B19" s="98"/>
      <c r="C19" s="109"/>
      <c r="D19" s="37"/>
      <c r="E19" s="39"/>
      <c r="F19" s="98"/>
      <c r="G19" s="99"/>
      <c r="H19" s="37"/>
      <c r="I19" s="4"/>
      <c r="J19" s="51"/>
      <c r="K19" s="6"/>
      <c r="L19" s="17"/>
    </row>
    <row r="20" spans="1:13" ht="26.25" x14ac:dyDescent="0.4">
      <c r="A20" s="104" t="s">
        <v>293</v>
      </c>
      <c r="B20" s="96"/>
      <c r="C20" s="97"/>
      <c r="D20" s="32"/>
      <c r="E20" s="92"/>
      <c r="F20" s="96"/>
      <c r="G20" s="97"/>
      <c r="H20" s="32"/>
      <c r="I20" s="2"/>
      <c r="J20" s="52">
        <f>J21+J22</f>
        <v>148.3691</v>
      </c>
      <c r="K20" s="10">
        <v>277</v>
      </c>
      <c r="L20" s="10">
        <f t="shared" ref="L20" si="13">K20-J20</f>
        <v>128.6309</v>
      </c>
    </row>
    <row r="21" spans="1:13" x14ac:dyDescent="0.25">
      <c r="A21" s="39" t="s">
        <v>355</v>
      </c>
      <c r="B21" s="98">
        <v>1</v>
      </c>
      <c r="C21" s="99">
        <f>9900/3</f>
        <v>3300</v>
      </c>
      <c r="D21" s="37">
        <f t="shared" ref="D21" si="14">B21*C21</f>
        <v>3300</v>
      </c>
      <c r="E21" s="39">
        <f>D21*0.05</f>
        <v>165</v>
      </c>
      <c r="F21" s="98">
        <v>0</v>
      </c>
      <c r="G21" s="99">
        <f>0.4/3</f>
        <v>0.13333333333333333</v>
      </c>
      <c r="H21" s="37">
        <f>G21</f>
        <v>0.13333333333333333</v>
      </c>
      <c r="I21" s="4">
        <f>H21*$C$2</f>
        <v>886</v>
      </c>
      <c r="J21" s="51">
        <f>(D21+E21+F21+I21)*$C$3</f>
        <v>148.3691</v>
      </c>
      <c r="K21" s="6"/>
      <c r="L21" s="17"/>
    </row>
    <row r="22" spans="1:13" x14ac:dyDescent="0.25">
      <c r="A22" s="112" t="s">
        <v>338</v>
      </c>
      <c r="B22" s="98"/>
      <c r="C22" s="109"/>
      <c r="D22" s="37"/>
      <c r="E22" s="39"/>
      <c r="F22" s="98"/>
      <c r="G22" s="99"/>
      <c r="H22" s="37"/>
      <c r="I22" s="4"/>
      <c r="J22" s="51"/>
      <c r="K22" s="6"/>
      <c r="L22" s="17"/>
    </row>
    <row r="23" spans="1:13" ht="26.25" x14ac:dyDescent="0.4">
      <c r="A23" s="104" t="s">
        <v>339</v>
      </c>
      <c r="B23" s="96"/>
      <c r="C23" s="97"/>
      <c r="D23" s="32"/>
      <c r="E23" s="92"/>
      <c r="F23" s="96"/>
      <c r="G23" s="97"/>
      <c r="H23" s="32"/>
      <c r="I23" s="2"/>
      <c r="J23" s="52">
        <f>J24+J25</f>
        <v>1375.7986000000001</v>
      </c>
      <c r="K23" s="10">
        <f>1296+80</f>
        <v>1376</v>
      </c>
      <c r="L23" s="10">
        <f t="shared" ref="L23" si="15">K23-J23</f>
        <v>0.20139999999992142</v>
      </c>
    </row>
    <row r="24" spans="1:13" x14ac:dyDescent="0.25">
      <c r="A24" s="39" t="s">
        <v>57</v>
      </c>
      <c r="B24" s="107">
        <v>2</v>
      </c>
      <c r="C24" s="99">
        <v>8400</v>
      </c>
      <c r="D24" s="37">
        <f t="shared" ref="D24:D25" si="16">B24*C24</f>
        <v>16800</v>
      </c>
      <c r="E24" s="39">
        <f>D24*0.05</f>
        <v>840</v>
      </c>
      <c r="F24" s="98">
        <v>2500</v>
      </c>
      <c r="G24" s="99">
        <v>0.2</v>
      </c>
      <c r="H24" s="37">
        <f>B24*G24</f>
        <v>0.4</v>
      </c>
      <c r="I24" s="4">
        <f>H24*$C$2</f>
        <v>2658</v>
      </c>
      <c r="J24" s="51">
        <f>(D24+E24+F24+I24)*$C$3</f>
        <v>777.41179999999997</v>
      </c>
      <c r="K24" s="6"/>
      <c r="L24" s="17"/>
    </row>
    <row r="25" spans="1:13" x14ac:dyDescent="0.25">
      <c r="A25" s="39" t="s">
        <v>57</v>
      </c>
      <c r="B25" s="107">
        <v>2</v>
      </c>
      <c r="C25" s="99">
        <v>5900</v>
      </c>
      <c r="D25" s="37">
        <f t="shared" si="16"/>
        <v>11800</v>
      </c>
      <c r="E25" s="39">
        <f>D25*0.05</f>
        <v>590</v>
      </c>
      <c r="F25" s="98">
        <v>2500</v>
      </c>
      <c r="G25" s="99">
        <v>0.2</v>
      </c>
      <c r="H25" s="37">
        <f>B25*G25</f>
        <v>0.4</v>
      </c>
      <c r="I25" s="4">
        <f>H25*$C$2</f>
        <v>2658</v>
      </c>
      <c r="J25" s="51">
        <f>(D25+E25+F25+I25)*$C$3</f>
        <v>598.38679999999999</v>
      </c>
      <c r="K25" s="6"/>
      <c r="L25" s="17"/>
    </row>
    <row r="26" spans="1:13" ht="26.25" x14ac:dyDescent="0.4">
      <c r="A26" s="104" t="s">
        <v>297</v>
      </c>
      <c r="B26" s="96"/>
      <c r="C26" s="97"/>
      <c r="D26" s="32"/>
      <c r="E26" s="92"/>
      <c r="F26" s="96"/>
      <c r="G26" s="97"/>
      <c r="H26" s="32"/>
      <c r="I26" s="2"/>
      <c r="J26" s="52">
        <f>J27+J28</f>
        <v>1074.635925</v>
      </c>
      <c r="K26" s="10">
        <f>1000+46</f>
        <v>1046</v>
      </c>
      <c r="L26" s="10">
        <f t="shared" ref="L26" si="17">K26-J26</f>
        <v>-28.635925000000043</v>
      </c>
    </row>
    <row r="27" spans="1:13" x14ac:dyDescent="0.25">
      <c r="A27" s="39" t="s">
        <v>163</v>
      </c>
      <c r="B27" s="98">
        <v>1</v>
      </c>
      <c r="C27" s="99">
        <v>19000</v>
      </c>
      <c r="D27" s="37">
        <f t="shared" ref="D27:D28" si="18">B27*C27</f>
        <v>19000</v>
      </c>
      <c r="E27" s="39">
        <f>D27*0.05</f>
        <v>950</v>
      </c>
      <c r="F27" s="98">
        <v>0</v>
      </c>
      <c r="G27" s="99">
        <v>0.45</v>
      </c>
      <c r="H27" s="37">
        <f>G27</f>
        <v>0.45</v>
      </c>
      <c r="I27" s="4">
        <f>H27*$C$2</f>
        <v>2990.25</v>
      </c>
      <c r="J27" s="51">
        <f>(D27+E27+F27+I27)*$C$3</f>
        <v>782.26252499999998</v>
      </c>
      <c r="K27" s="6"/>
      <c r="L27" s="17"/>
    </row>
    <row r="28" spans="1:13" x14ac:dyDescent="0.25">
      <c r="A28" s="90" t="s">
        <v>97</v>
      </c>
      <c r="B28" s="98">
        <v>1</v>
      </c>
      <c r="C28" s="99">
        <v>6900</v>
      </c>
      <c r="D28" s="37">
        <f t="shared" si="18"/>
        <v>6900</v>
      </c>
      <c r="E28" s="39">
        <f>D28*0.05</f>
        <v>345</v>
      </c>
      <c r="F28" s="98">
        <v>0</v>
      </c>
      <c r="G28" s="99">
        <v>0.2</v>
      </c>
      <c r="H28" s="37">
        <f>B28*G28</f>
        <v>0.2</v>
      </c>
      <c r="I28" s="4">
        <f>H28*$C$2</f>
        <v>1329</v>
      </c>
      <c r="J28" s="51">
        <f>(D28+E28+F28+I28)*$C$3</f>
        <v>292.3734</v>
      </c>
      <c r="K28" s="6"/>
      <c r="L28" s="17"/>
    </row>
    <row r="29" spans="1:13" ht="26.25" x14ac:dyDescent="0.4">
      <c r="A29" s="104" t="s">
        <v>340</v>
      </c>
      <c r="B29" s="96"/>
      <c r="C29" s="97"/>
      <c r="D29" s="32"/>
      <c r="E29" s="92"/>
      <c r="F29" s="96"/>
      <c r="G29" s="97"/>
      <c r="H29" s="32"/>
      <c r="I29" s="2"/>
      <c r="J29" s="52">
        <f>J30+J31</f>
        <v>940.05174999999986</v>
      </c>
      <c r="K29" s="10">
        <f>891+49</f>
        <v>940</v>
      </c>
      <c r="L29" s="10">
        <f t="shared" ref="L29" si="19">K29-J29</f>
        <v>-5.17499999998563E-2</v>
      </c>
    </row>
    <row r="30" spans="1:13" x14ac:dyDescent="0.25">
      <c r="A30" s="106" t="s">
        <v>341</v>
      </c>
      <c r="B30" s="107">
        <v>2</v>
      </c>
      <c r="C30" s="99">
        <v>3900</v>
      </c>
      <c r="D30" s="37">
        <f t="shared" ref="D30:D31" si="20">B30*C30</f>
        <v>7800</v>
      </c>
      <c r="E30" s="39">
        <f>D30*0.05</f>
        <v>390</v>
      </c>
      <c r="F30" s="98">
        <v>2500</v>
      </c>
      <c r="G30" s="99">
        <v>0.5</v>
      </c>
      <c r="H30" s="37">
        <f>G30*B30</f>
        <v>1</v>
      </c>
      <c r="I30" s="4">
        <f>H30*$C$2</f>
        <v>6645</v>
      </c>
      <c r="J30" s="51">
        <f>(D30+E30+F30+I30)*$C$3</f>
        <v>591.12349999999992</v>
      </c>
      <c r="K30" s="6"/>
      <c r="L30" s="17"/>
    </row>
    <row r="31" spans="1:13" x14ac:dyDescent="0.25">
      <c r="A31" t="s">
        <v>342</v>
      </c>
      <c r="B31" s="98">
        <v>1</v>
      </c>
      <c r="C31" s="99">
        <v>4200</v>
      </c>
      <c r="D31" s="37">
        <f t="shared" si="20"/>
        <v>4200</v>
      </c>
      <c r="E31" s="39">
        <f>D31*0.05</f>
        <v>210</v>
      </c>
      <c r="F31" s="98">
        <v>2500</v>
      </c>
      <c r="G31" s="99">
        <v>0.5</v>
      </c>
      <c r="H31" s="37">
        <f>G31*B31</f>
        <v>0.5</v>
      </c>
      <c r="I31" s="4">
        <f>H31*$C$2</f>
        <v>3322.5</v>
      </c>
      <c r="J31" s="51">
        <f>(D31+E31+F31+I31)*$C$3</f>
        <v>348.92824999999999</v>
      </c>
      <c r="K31" s="6"/>
      <c r="L31" s="17"/>
    </row>
    <row r="32" spans="1:13" ht="26.25" x14ac:dyDescent="0.4">
      <c r="A32" s="104" t="s">
        <v>191</v>
      </c>
      <c r="B32" s="108"/>
      <c r="C32" s="97"/>
      <c r="D32" s="32"/>
      <c r="E32" s="92"/>
      <c r="F32" s="96"/>
      <c r="G32" s="97"/>
      <c r="H32" s="32"/>
      <c r="I32" s="2"/>
      <c r="J32" s="52">
        <f>J33</f>
        <v>449.63918999999999</v>
      </c>
      <c r="K32" s="10">
        <f>350+75+25</f>
        <v>450</v>
      </c>
      <c r="L32" s="10">
        <f t="shared" ref="L32" si="21">K32-J32</f>
        <v>0.36081000000001495</v>
      </c>
    </row>
    <row r="33" spans="1:12" x14ac:dyDescent="0.25">
      <c r="A33" s="39" t="s">
        <v>337</v>
      </c>
      <c r="B33" s="98">
        <v>1</v>
      </c>
      <c r="C33" s="99">
        <v>9900</v>
      </c>
      <c r="D33" s="37">
        <f t="shared" ref="D33" si="22">B33*C33</f>
        <v>9900</v>
      </c>
      <c r="E33" s="39">
        <f>D33*0.05</f>
        <v>495</v>
      </c>
      <c r="F33" s="98">
        <v>0</v>
      </c>
      <c r="G33" s="99">
        <v>0.42</v>
      </c>
      <c r="H33" s="37">
        <f>G33</f>
        <v>0.42</v>
      </c>
      <c r="I33" s="4">
        <f>H33*$C$2</f>
        <v>2790.9</v>
      </c>
      <c r="J33" s="51">
        <f>(D33+E33+F33+I33)*$C$3</f>
        <v>449.63918999999999</v>
      </c>
      <c r="K33" s="6"/>
      <c r="L33" s="17"/>
    </row>
    <row r="34" spans="1:12" ht="26.25" x14ac:dyDescent="0.4">
      <c r="A34" s="104" t="s">
        <v>2</v>
      </c>
      <c r="B34" s="96"/>
      <c r="C34" s="97"/>
      <c r="D34" s="32"/>
      <c r="E34" s="92"/>
      <c r="F34" s="96"/>
      <c r="G34" s="97"/>
      <c r="H34" s="32"/>
      <c r="I34" s="2"/>
      <c r="J34" s="52">
        <f>J35</f>
        <v>1072.2403999999999</v>
      </c>
      <c r="K34" s="10">
        <f>1007+65</f>
        <v>1072</v>
      </c>
      <c r="L34" s="10">
        <f t="shared" ref="L34" si="23">K34-J34</f>
        <v>-0.24039999999990869</v>
      </c>
    </row>
    <row r="35" spans="1:12" x14ac:dyDescent="0.25">
      <c r="A35" s="39" t="s">
        <v>343</v>
      </c>
      <c r="B35" s="98">
        <v>1</v>
      </c>
      <c r="C35" s="99">
        <v>26300</v>
      </c>
      <c r="D35" s="37">
        <f t="shared" ref="D35" si="24">B35*C35</f>
        <v>26300</v>
      </c>
      <c r="E35" s="39">
        <f>D35*0.05</f>
        <v>1315</v>
      </c>
      <c r="F35" s="98">
        <v>2500</v>
      </c>
      <c r="G35" s="99">
        <v>0.2</v>
      </c>
      <c r="H35" s="37">
        <f>G35</f>
        <v>0.2</v>
      </c>
      <c r="I35" s="4">
        <f>H35*$C$2</f>
        <v>1329</v>
      </c>
      <c r="J35" s="51">
        <f>(D35+E35+F35+I35)*$C$3</f>
        <v>1072.2403999999999</v>
      </c>
      <c r="K35" s="6"/>
      <c r="L35" s="17"/>
    </row>
    <row r="36" spans="1:12" ht="26.25" x14ac:dyDescent="0.4">
      <c r="A36" s="104" t="s">
        <v>344</v>
      </c>
      <c r="B36" s="96"/>
      <c r="C36" s="97"/>
      <c r="D36" s="32"/>
      <c r="E36" s="92"/>
      <c r="F36" s="96"/>
      <c r="G36" s="97"/>
      <c r="H36" s="32"/>
      <c r="I36" s="2"/>
      <c r="J36" s="52">
        <f>J37</f>
        <v>435.59339999999997</v>
      </c>
      <c r="K36" s="10">
        <v>410</v>
      </c>
      <c r="L36" s="10">
        <f t="shared" ref="L36" si="25">K36-J36</f>
        <v>-25.593399999999974</v>
      </c>
    </row>
    <row r="37" spans="1:12" x14ac:dyDescent="0.25">
      <c r="A37" s="39" t="s">
        <v>67</v>
      </c>
      <c r="B37" s="98">
        <v>1</v>
      </c>
      <c r="C37" s="99">
        <v>10900</v>
      </c>
      <c r="D37" s="37">
        <f t="shared" ref="D37" si="26">B37*C37</f>
        <v>10900</v>
      </c>
      <c r="E37" s="39">
        <f>D37*0.05</f>
        <v>545</v>
      </c>
      <c r="F37" s="98">
        <v>0</v>
      </c>
      <c r="G37" s="99">
        <v>0.2</v>
      </c>
      <c r="H37" s="37">
        <f>G37</f>
        <v>0.2</v>
      </c>
      <c r="I37" s="4">
        <f>H37*$C$2</f>
        <v>1329</v>
      </c>
      <c r="J37" s="51">
        <f>(D37+E37+F37+I37)*$C$3</f>
        <v>435.59339999999997</v>
      </c>
      <c r="K37" s="6"/>
      <c r="L37" s="17"/>
    </row>
    <row r="38" spans="1:12" ht="26.25" x14ac:dyDescent="0.4">
      <c r="A38" s="104" t="s">
        <v>345</v>
      </c>
      <c r="B38" s="96"/>
      <c r="C38" s="97"/>
      <c r="D38" s="32"/>
      <c r="E38" s="92"/>
      <c r="F38" s="96"/>
      <c r="G38" s="97"/>
      <c r="H38" s="32"/>
      <c r="I38" s="2"/>
      <c r="J38" s="52">
        <f>J40+J39</f>
        <v>148.3691</v>
      </c>
      <c r="K38" s="10">
        <v>277</v>
      </c>
      <c r="L38" s="10">
        <f t="shared" ref="L38" si="27">K38-J38</f>
        <v>128.6309</v>
      </c>
    </row>
    <row r="39" spans="1:12" x14ac:dyDescent="0.25">
      <c r="A39" s="39" t="s">
        <v>355</v>
      </c>
      <c r="B39" s="98">
        <v>1</v>
      </c>
      <c r="C39" s="99">
        <f>9900/3</f>
        <v>3300</v>
      </c>
      <c r="D39" s="37">
        <f t="shared" ref="D39" si="28">B39*C39</f>
        <v>3300</v>
      </c>
      <c r="E39" s="39">
        <f>D39*0.05</f>
        <v>165</v>
      </c>
      <c r="F39" s="98">
        <v>0</v>
      </c>
      <c r="G39" s="99">
        <f>0.4/3</f>
        <v>0.13333333333333333</v>
      </c>
      <c r="H39" s="37">
        <f>G39</f>
        <v>0.13333333333333333</v>
      </c>
      <c r="I39" s="4">
        <f>H39*$C$2</f>
        <v>886</v>
      </c>
      <c r="J39" s="51">
        <f>(D39+E39+F39+I39)*$C$3</f>
        <v>148.3691</v>
      </c>
      <c r="K39" s="6"/>
      <c r="L39" s="17"/>
    </row>
    <row r="40" spans="1:12" x14ac:dyDescent="0.25">
      <c r="A40" s="112" t="s">
        <v>338</v>
      </c>
      <c r="B40" s="98"/>
      <c r="C40" s="109"/>
      <c r="D40" s="37"/>
      <c r="E40" s="39"/>
      <c r="F40" s="98"/>
      <c r="G40" s="99"/>
      <c r="H40" s="37"/>
      <c r="I40" s="4"/>
      <c r="J40" s="51"/>
      <c r="K40" s="6"/>
      <c r="L40" s="17"/>
    </row>
    <row r="41" spans="1:12" ht="26.25" x14ac:dyDescent="0.4">
      <c r="A41" s="104" t="s">
        <v>346</v>
      </c>
      <c r="B41" s="96"/>
      <c r="C41" s="97"/>
      <c r="D41" s="32"/>
      <c r="E41" s="92"/>
      <c r="F41" s="96"/>
      <c r="G41" s="97"/>
      <c r="H41" s="32"/>
      <c r="I41" s="2"/>
      <c r="J41" s="52">
        <f>J42</f>
        <v>973.69139999999993</v>
      </c>
      <c r="K41" s="10">
        <f>921+53</f>
        <v>974</v>
      </c>
      <c r="L41" s="10">
        <f t="shared" ref="L41" si="29">K41-J41</f>
        <v>0.30860000000006949</v>
      </c>
    </row>
    <row r="42" spans="1:12" ht="15.75" thickBot="1" x14ac:dyDescent="0.3">
      <c r="A42" s="39" t="s">
        <v>347</v>
      </c>
      <c r="B42" s="102">
        <v>1</v>
      </c>
      <c r="C42" s="103">
        <v>19600</v>
      </c>
      <c r="D42" s="37">
        <f t="shared" ref="D42" si="30">B42*C42</f>
        <v>19600</v>
      </c>
      <c r="E42" s="39">
        <f>D42*0.05</f>
        <v>980</v>
      </c>
      <c r="F42" s="102">
        <v>0</v>
      </c>
      <c r="G42" s="103">
        <v>1.2</v>
      </c>
      <c r="H42" s="37">
        <f>G42</f>
        <v>1.2</v>
      </c>
      <c r="I42" s="4">
        <f>H42*$C$2</f>
        <v>7974</v>
      </c>
      <c r="J42" s="51">
        <f>(D42+E42+F42+I42)*$C$3</f>
        <v>973.69139999999993</v>
      </c>
      <c r="K42" s="6"/>
      <c r="L42" s="1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7"/>
  <sheetViews>
    <sheetView zoomScale="80" zoomScaleNormal="80" workbookViewId="0">
      <selection activeCell="K6" sqref="K6"/>
    </sheetView>
  </sheetViews>
  <sheetFormatPr defaultRowHeight="15" x14ac:dyDescent="0.2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2" ht="21" x14ac:dyDescent="0.35">
      <c r="A1" s="55" t="s">
        <v>281</v>
      </c>
      <c r="B1" s="4"/>
      <c r="C1" s="15">
        <v>41737</v>
      </c>
      <c r="D1" s="30"/>
    </row>
    <row r="2" spans="1:12" ht="21" x14ac:dyDescent="0.35">
      <c r="A2" s="55" t="s">
        <v>239</v>
      </c>
      <c r="B2" s="4"/>
      <c r="C2" s="16">
        <v>6320</v>
      </c>
      <c r="D2" s="30"/>
    </row>
    <row r="3" spans="1:12" ht="21" x14ac:dyDescent="0.35">
      <c r="A3" s="55" t="s">
        <v>240</v>
      </c>
      <c r="B3" s="4"/>
      <c r="C3" s="16">
        <v>3.4000000000000002E-2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05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SUM(J7:J9)</f>
        <v>1364.2783333333336</v>
      </c>
      <c r="K6" s="10">
        <v>1374</v>
      </c>
      <c r="L6" s="10">
        <f t="shared" ref="L6" si="0">K6-J6</f>
        <v>9.7216666666663514</v>
      </c>
    </row>
    <row r="7" spans="1:12" x14ac:dyDescent="0.25">
      <c r="A7" s="39" t="s">
        <v>57</v>
      </c>
      <c r="B7" s="114">
        <v>1</v>
      </c>
      <c r="C7" s="115">
        <v>15000</v>
      </c>
      <c r="D7" s="37">
        <f t="shared" ref="D7:D9" si="1">B7*C7</f>
        <v>15000</v>
      </c>
      <c r="E7" s="39">
        <f>D7*0.05</f>
        <v>750</v>
      </c>
      <c r="F7" s="114">
        <v>0</v>
      </c>
      <c r="G7" s="115">
        <v>0.2</v>
      </c>
      <c r="H7" s="37">
        <f>G7*B7</f>
        <v>0.2</v>
      </c>
      <c r="I7" s="4">
        <f>H7*$C$2</f>
        <v>1264</v>
      </c>
      <c r="J7" s="51">
        <f>(D7+E7+F7+I7)*$C$3</f>
        <v>578.476</v>
      </c>
      <c r="K7" s="6"/>
      <c r="L7" s="17"/>
    </row>
    <row r="8" spans="1:12" x14ac:dyDescent="0.25">
      <c r="A8" s="39" t="s">
        <v>366</v>
      </c>
      <c r="B8" s="114">
        <v>1</v>
      </c>
      <c r="C8" s="115">
        <v>12350</v>
      </c>
      <c r="D8" s="37">
        <f t="shared" si="1"/>
        <v>12350</v>
      </c>
      <c r="E8" s="39">
        <f t="shared" ref="E8:E9" si="2">D8*0.05</f>
        <v>617.5</v>
      </c>
      <c r="F8" s="114">
        <v>2500</v>
      </c>
      <c r="G8" s="115">
        <v>0.2</v>
      </c>
      <c r="H8" s="37">
        <f t="shared" ref="H8:H9" si="3">G8*B8</f>
        <v>0.2</v>
      </c>
      <c r="I8" s="4">
        <f t="shared" ref="I8:I9" si="4">H8*$C$2</f>
        <v>1264</v>
      </c>
      <c r="J8" s="51">
        <f t="shared" ref="J8:J9" si="5">(D8+E8+F8+I8)*$C$3</f>
        <v>568.87100000000009</v>
      </c>
      <c r="K8" s="6"/>
      <c r="L8" s="17"/>
    </row>
    <row r="9" spans="1:12" x14ac:dyDescent="0.25">
      <c r="A9" s="39" t="s">
        <v>358</v>
      </c>
      <c r="B9" s="114">
        <v>1</v>
      </c>
      <c r="C9" s="115">
        <f>8900/3</f>
        <v>2966.6666666666665</v>
      </c>
      <c r="D9" s="37">
        <f t="shared" si="1"/>
        <v>2966.6666666666665</v>
      </c>
      <c r="E9" s="39">
        <f t="shared" si="2"/>
        <v>148.33333333333334</v>
      </c>
      <c r="F9" s="118">
        <v>0</v>
      </c>
      <c r="G9" s="115">
        <f>1.55/3</f>
        <v>0.51666666666666672</v>
      </c>
      <c r="H9" s="37">
        <f t="shared" si="3"/>
        <v>0.51666666666666672</v>
      </c>
      <c r="I9" s="4">
        <f t="shared" si="4"/>
        <v>3265.3333333333335</v>
      </c>
      <c r="J9" s="51">
        <f t="shared" si="5"/>
        <v>216.93133333333336</v>
      </c>
      <c r="K9" s="6"/>
      <c r="L9" s="17"/>
    </row>
    <row r="10" spans="1:12" ht="26.25" x14ac:dyDescent="0.4">
      <c r="A10" s="104" t="s">
        <v>293</v>
      </c>
      <c r="B10" s="96"/>
      <c r="C10" s="97"/>
      <c r="D10" s="32"/>
      <c r="E10" s="92"/>
      <c r="F10" s="96"/>
      <c r="G10" s="97"/>
      <c r="H10" s="32"/>
      <c r="I10" s="2"/>
      <c r="J10" s="52">
        <f>J12+J11</f>
        <v>361.68293333333338</v>
      </c>
      <c r="K10" s="10">
        <v>203</v>
      </c>
      <c r="L10" s="10">
        <f>K10-J10</f>
        <v>-158.68293333333338</v>
      </c>
    </row>
    <row r="11" spans="1:12" x14ac:dyDescent="0.25">
      <c r="A11" s="39" t="s">
        <v>358</v>
      </c>
      <c r="B11" s="114">
        <v>1</v>
      </c>
      <c r="C11" s="115">
        <f>8900/3</f>
        <v>2966.6666666666665</v>
      </c>
      <c r="D11" s="37">
        <f t="shared" ref="D11:D12" si="6">B11*C11</f>
        <v>2966.6666666666665</v>
      </c>
      <c r="E11" s="39">
        <f>D11*0.05</f>
        <v>148.33333333333334</v>
      </c>
      <c r="F11" s="118">
        <v>0</v>
      </c>
      <c r="G11" s="115">
        <f>1.55/3</f>
        <v>0.51666666666666672</v>
      </c>
      <c r="H11" s="37">
        <f>G11</f>
        <v>0.51666666666666672</v>
      </c>
      <c r="I11" s="4">
        <f>H11*$C$2</f>
        <v>3265.3333333333335</v>
      </c>
      <c r="J11" s="51">
        <f>(D11+E11+F11+I11)*$C$3</f>
        <v>216.93133333333336</v>
      </c>
      <c r="K11" s="6"/>
      <c r="L11" s="17"/>
    </row>
    <row r="12" spans="1:12" x14ac:dyDescent="0.25">
      <c r="A12" s="106" t="s">
        <v>338</v>
      </c>
      <c r="B12" s="98">
        <v>1</v>
      </c>
      <c r="C12" s="99">
        <f>10900/3</f>
        <v>3633.3333333333335</v>
      </c>
      <c r="D12" s="37">
        <f t="shared" si="6"/>
        <v>3633.3333333333335</v>
      </c>
      <c r="E12" s="39">
        <f>D12*0.05</f>
        <v>181.66666666666669</v>
      </c>
      <c r="F12" s="98">
        <v>0</v>
      </c>
      <c r="G12" s="99">
        <v>7.0000000000000007E-2</v>
      </c>
      <c r="H12" s="37">
        <f>G12</f>
        <v>7.0000000000000007E-2</v>
      </c>
      <c r="I12" s="4">
        <f>H12*$C$2</f>
        <v>442.40000000000003</v>
      </c>
      <c r="J12" s="51">
        <f>(D12+E12+F12+I12)*$C$3</f>
        <v>144.7516</v>
      </c>
      <c r="K12" s="6"/>
      <c r="L12" s="17"/>
    </row>
    <row r="13" spans="1:12" ht="31.5" x14ac:dyDescent="0.5">
      <c r="A13" s="113" t="s">
        <v>359</v>
      </c>
      <c r="B13" s="96"/>
      <c r="C13" s="97"/>
      <c r="D13" s="32"/>
      <c r="E13" s="92"/>
      <c r="F13" s="96"/>
      <c r="G13" s="97"/>
      <c r="H13" s="32"/>
      <c r="I13" s="2"/>
      <c r="J13" s="52">
        <f>J14+J15</f>
        <v>777.37599999999998</v>
      </c>
      <c r="K13" s="10">
        <v>785</v>
      </c>
      <c r="L13" s="10">
        <f t="shared" ref="L13" si="7">K13-J13</f>
        <v>7.6240000000000236</v>
      </c>
    </row>
    <row r="14" spans="1:12" x14ac:dyDescent="0.25">
      <c r="A14" s="39" t="s">
        <v>262</v>
      </c>
      <c r="B14" s="98">
        <v>1</v>
      </c>
      <c r="C14" s="99">
        <v>8800</v>
      </c>
      <c r="D14" s="37">
        <f t="shared" ref="D14:D15" si="8">B14*C14</f>
        <v>8800</v>
      </c>
      <c r="E14" s="39">
        <f>D14*0.05</f>
        <v>440</v>
      </c>
      <c r="F14" s="98">
        <v>2500</v>
      </c>
      <c r="G14" s="99">
        <v>0.3</v>
      </c>
      <c r="H14" s="37">
        <f>B14*G14</f>
        <v>0.3</v>
      </c>
      <c r="I14" s="4">
        <f>H14*$C$2</f>
        <v>1896</v>
      </c>
      <c r="J14" s="51">
        <f>(D14+E14+F14+I14)*$C$3</f>
        <v>463.62400000000002</v>
      </c>
      <c r="K14" s="6"/>
      <c r="L14" s="17"/>
    </row>
    <row r="15" spans="1:12" x14ac:dyDescent="0.25">
      <c r="A15" s="39" t="s">
        <v>67</v>
      </c>
      <c r="B15" s="98">
        <v>1</v>
      </c>
      <c r="C15" s="99">
        <v>4000</v>
      </c>
      <c r="D15" s="37">
        <f t="shared" si="8"/>
        <v>4000</v>
      </c>
      <c r="E15" s="39">
        <f>D15*0.05</f>
        <v>200</v>
      </c>
      <c r="F15" s="98">
        <v>2500</v>
      </c>
      <c r="G15" s="99">
        <v>0.4</v>
      </c>
      <c r="H15" s="37">
        <f>B15*G15</f>
        <v>0.4</v>
      </c>
      <c r="I15" s="4">
        <f>H15*$C$2</f>
        <v>2528</v>
      </c>
      <c r="J15" s="51">
        <f>(D15+E15+F15+I15)*$C$3</f>
        <v>313.75200000000001</v>
      </c>
      <c r="K15" s="6"/>
      <c r="L15" s="17"/>
    </row>
    <row r="16" spans="1:12" ht="31.5" x14ac:dyDescent="0.5">
      <c r="A16" s="113" t="s">
        <v>32</v>
      </c>
      <c r="B16" s="116"/>
      <c r="C16" s="117"/>
      <c r="D16" s="32"/>
      <c r="E16" s="92"/>
      <c r="F16" s="96"/>
      <c r="G16" s="97"/>
      <c r="H16" s="32"/>
      <c r="I16" s="2"/>
      <c r="J16" s="52">
        <f>J17</f>
        <v>471.37600000000003</v>
      </c>
      <c r="K16" s="10">
        <v>460</v>
      </c>
      <c r="L16" s="10">
        <f>K16-J16</f>
        <v>-11.376000000000033</v>
      </c>
    </row>
    <row r="17" spans="1:12" x14ac:dyDescent="0.25">
      <c r="A17" s="39" t="s">
        <v>360</v>
      </c>
      <c r="B17" s="98">
        <v>1</v>
      </c>
      <c r="C17" s="99">
        <v>12000</v>
      </c>
      <c r="D17" s="37">
        <f t="shared" ref="D17" si="9">B17*C17</f>
        <v>12000</v>
      </c>
      <c r="E17" s="39">
        <f>D17*0.05</f>
        <v>600</v>
      </c>
      <c r="F17" s="98">
        <v>0</v>
      </c>
      <c r="G17" s="99">
        <v>0.2</v>
      </c>
      <c r="H17" s="37">
        <f>G17</f>
        <v>0.2</v>
      </c>
      <c r="I17" s="4">
        <f>H17*$C$2</f>
        <v>1264</v>
      </c>
      <c r="J17" s="51">
        <f>(D17+E17+F17+I17)*$C$3</f>
        <v>471.37600000000003</v>
      </c>
      <c r="K17" s="6"/>
      <c r="L17" s="17"/>
    </row>
    <row r="18" spans="1:12" ht="31.5" x14ac:dyDescent="0.5">
      <c r="A18" s="113" t="s">
        <v>165</v>
      </c>
      <c r="B18" s="116"/>
      <c r="C18" s="117"/>
      <c r="D18" s="32"/>
      <c r="E18" s="92"/>
      <c r="F18" s="116"/>
      <c r="G18" s="117"/>
      <c r="H18" s="32"/>
      <c r="I18" s="2"/>
      <c r="J18" s="52">
        <f>J19</f>
        <v>454.69900000000001</v>
      </c>
      <c r="K18" s="10">
        <v>458</v>
      </c>
      <c r="L18" s="10">
        <f t="shared" ref="L18" si="10">K18-J18</f>
        <v>3.3009999999999877</v>
      </c>
    </row>
    <row r="19" spans="1:12" x14ac:dyDescent="0.25">
      <c r="A19" s="39" t="s">
        <v>361</v>
      </c>
      <c r="B19" s="98">
        <v>1</v>
      </c>
      <c r="C19" s="99">
        <v>8550</v>
      </c>
      <c r="D19" s="37">
        <f t="shared" ref="D19" si="11">B19*C19</f>
        <v>8550</v>
      </c>
      <c r="E19" s="39">
        <f>D19*0.05</f>
        <v>427.5</v>
      </c>
      <c r="F19" s="98">
        <v>2500</v>
      </c>
      <c r="G19" s="99">
        <v>0.3</v>
      </c>
      <c r="H19" s="37">
        <f>G19</f>
        <v>0.3</v>
      </c>
      <c r="I19" s="4">
        <f>H19*$C$2</f>
        <v>1896</v>
      </c>
      <c r="J19" s="51">
        <f>(D19+E19+F19+I19)*$C$3</f>
        <v>454.69900000000001</v>
      </c>
      <c r="K19" s="6"/>
      <c r="L19" s="17"/>
    </row>
    <row r="20" spans="1:12" ht="26.25" x14ac:dyDescent="0.4">
      <c r="A20" s="104" t="s">
        <v>336</v>
      </c>
      <c r="B20" s="96"/>
      <c r="C20" s="97"/>
      <c r="D20" s="32"/>
      <c r="E20" s="92"/>
      <c r="F20" s="96"/>
      <c r="G20" s="97"/>
      <c r="H20" s="32"/>
      <c r="I20" s="2"/>
      <c r="J20" s="52">
        <f>J21</f>
        <v>396.40600000000001</v>
      </c>
      <c r="K20" s="10">
        <f>110+290</f>
        <v>400</v>
      </c>
      <c r="L20" s="10">
        <f t="shared" ref="L20" si="12">K20-J20</f>
        <v>3.5939999999999941</v>
      </c>
    </row>
    <row r="21" spans="1:12" x14ac:dyDescent="0.25">
      <c r="A21" s="39" t="s">
        <v>362</v>
      </c>
      <c r="B21" s="98">
        <v>1</v>
      </c>
      <c r="C21" s="99">
        <v>9900</v>
      </c>
      <c r="D21" s="37">
        <f t="shared" ref="D21" si="13">B21*C21</f>
        <v>9900</v>
      </c>
      <c r="E21" s="39">
        <f>D21*0.05</f>
        <v>495</v>
      </c>
      <c r="F21" s="98">
        <v>0</v>
      </c>
      <c r="G21" s="99">
        <v>0.2</v>
      </c>
      <c r="H21" s="37">
        <f>G21</f>
        <v>0.2</v>
      </c>
      <c r="I21" s="4">
        <f>H21*$C$2</f>
        <v>1264</v>
      </c>
      <c r="J21" s="51">
        <f>(D21+E21+F21+I21)*$C$3</f>
        <v>396.40600000000001</v>
      </c>
      <c r="K21" s="6"/>
      <c r="L21" s="17"/>
    </row>
    <row r="22" spans="1:12" ht="26.25" x14ac:dyDescent="0.4">
      <c r="A22" s="104" t="s">
        <v>345</v>
      </c>
      <c r="B22" s="96"/>
      <c r="C22" s="97"/>
      <c r="D22" s="32"/>
      <c r="E22" s="92"/>
      <c r="F22" s="96"/>
      <c r="G22" s="97"/>
      <c r="H22" s="32"/>
      <c r="I22" s="2"/>
      <c r="J22" s="52">
        <f>J23</f>
        <v>144.7516</v>
      </c>
      <c r="K22" s="10">
        <v>34</v>
      </c>
      <c r="L22" s="10">
        <f t="shared" ref="L22" si="14">K22-J22</f>
        <v>-110.7516</v>
      </c>
    </row>
    <row r="23" spans="1:12" x14ac:dyDescent="0.25">
      <c r="A23" s="106" t="s">
        <v>338</v>
      </c>
      <c r="B23" s="98">
        <v>1</v>
      </c>
      <c r="C23" s="99">
        <f>10900/3</f>
        <v>3633.3333333333335</v>
      </c>
      <c r="D23" s="37">
        <f t="shared" ref="D23" si="15">B23*C23</f>
        <v>3633.3333333333335</v>
      </c>
      <c r="E23" s="39">
        <f>D23*0.05</f>
        <v>181.66666666666669</v>
      </c>
      <c r="F23" s="98">
        <v>0</v>
      </c>
      <c r="G23" s="99">
        <v>7.0000000000000007E-2</v>
      </c>
      <c r="H23" s="37">
        <f>G23</f>
        <v>7.0000000000000007E-2</v>
      </c>
      <c r="I23" s="4">
        <f>H23*$C$2</f>
        <v>442.40000000000003</v>
      </c>
      <c r="J23" s="51">
        <f>(D23+E23+F23+I23)*$C$3</f>
        <v>144.7516</v>
      </c>
      <c r="K23" s="6"/>
      <c r="L23" s="17"/>
    </row>
    <row r="24" spans="1:12" ht="26.25" x14ac:dyDescent="0.4">
      <c r="A24" s="104" t="s">
        <v>288</v>
      </c>
      <c r="B24" s="96"/>
      <c r="C24" s="97"/>
      <c r="D24" s="32"/>
      <c r="E24" s="92"/>
      <c r="F24" s="96"/>
      <c r="G24" s="97"/>
      <c r="H24" s="32"/>
      <c r="I24" s="2"/>
      <c r="J24" s="52">
        <f>J25</f>
        <v>650.7940000000001</v>
      </c>
      <c r="K24" s="10">
        <v>668</v>
      </c>
      <c r="L24" s="10">
        <f t="shared" ref="L24" si="16">K24-J24</f>
        <v>17.205999999999904</v>
      </c>
    </row>
    <row r="25" spans="1:12" x14ac:dyDescent="0.25">
      <c r="A25" s="39" t="s">
        <v>363</v>
      </c>
      <c r="B25" s="98">
        <v>1</v>
      </c>
      <c r="C25" s="99">
        <v>8900</v>
      </c>
      <c r="D25" s="37">
        <f t="shared" ref="D25" si="17">B25*C25</f>
        <v>8900</v>
      </c>
      <c r="E25" s="39">
        <f>D25*0.05</f>
        <v>445</v>
      </c>
      <c r="F25" s="118">
        <v>0</v>
      </c>
      <c r="G25" s="99">
        <v>1.55</v>
      </c>
      <c r="H25" s="37">
        <f>G25</f>
        <v>1.55</v>
      </c>
      <c r="I25" s="4">
        <f>H25*$C$2</f>
        <v>9796</v>
      </c>
      <c r="J25" s="51">
        <f>(D25+E25+F25+I25)*$C$3</f>
        <v>650.7940000000001</v>
      </c>
      <c r="K25" s="6"/>
      <c r="L25" s="17"/>
    </row>
    <row r="26" spans="1:12" ht="26.25" x14ac:dyDescent="0.4">
      <c r="A26" s="104" t="s">
        <v>364</v>
      </c>
      <c r="B26" s="96"/>
      <c r="C26" s="97"/>
      <c r="D26" s="32"/>
      <c r="E26" s="92"/>
      <c r="F26" s="96"/>
      <c r="G26" s="97"/>
      <c r="H26" s="32"/>
      <c r="I26" s="2"/>
      <c r="J26" s="52">
        <f>J27</f>
        <v>288.62600000000003</v>
      </c>
      <c r="K26" s="10">
        <v>291</v>
      </c>
      <c r="L26" s="10">
        <f t="shared" ref="L26" si="18">K26-J26</f>
        <v>2.3739999999999668</v>
      </c>
    </row>
    <row r="27" spans="1:12" ht="15.75" thickBot="1" x14ac:dyDescent="0.3">
      <c r="A27" s="39" t="s">
        <v>365</v>
      </c>
      <c r="B27" s="102">
        <v>1</v>
      </c>
      <c r="C27" s="103">
        <v>4500</v>
      </c>
      <c r="D27" s="37">
        <f t="shared" ref="D27" si="19">B27*C27</f>
        <v>4500</v>
      </c>
      <c r="E27" s="39">
        <f>D27*0.05</f>
        <v>225</v>
      </c>
      <c r="F27" s="102">
        <v>2500</v>
      </c>
      <c r="G27" s="103">
        <v>0.2</v>
      </c>
      <c r="H27" s="37">
        <f>G27</f>
        <v>0.2</v>
      </c>
      <c r="I27" s="4">
        <f>H27*$C$2</f>
        <v>1264</v>
      </c>
      <c r="J27" s="51">
        <f>(D27+E27+F27+I27)*$C$3</f>
        <v>288.62600000000003</v>
      </c>
      <c r="K27" s="6"/>
      <c r="L27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8"/>
  <sheetViews>
    <sheetView zoomScale="90" zoomScaleNormal="90" workbookViewId="0">
      <selection activeCell="J18" sqref="J18"/>
    </sheetView>
  </sheetViews>
  <sheetFormatPr defaultRowHeight="15" x14ac:dyDescent="0.2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3" ht="21" x14ac:dyDescent="0.35">
      <c r="A1" s="55" t="s">
        <v>281</v>
      </c>
      <c r="B1" s="4"/>
      <c r="C1" s="15">
        <v>41744</v>
      </c>
      <c r="D1" s="30"/>
    </row>
    <row r="2" spans="1:13" ht="21" x14ac:dyDescent="0.35">
      <c r="A2" s="55" t="s">
        <v>239</v>
      </c>
      <c r="B2" s="4"/>
      <c r="C2" s="16">
        <v>6640</v>
      </c>
      <c r="D2" s="30"/>
    </row>
    <row r="3" spans="1:13" ht="21" x14ac:dyDescent="0.35">
      <c r="A3" s="55" t="s">
        <v>240</v>
      </c>
      <c r="B3" s="4"/>
      <c r="C3" s="16">
        <v>3.533E-2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04" t="s">
        <v>391</v>
      </c>
      <c r="B6" s="96"/>
      <c r="C6" s="97"/>
      <c r="D6" s="32"/>
      <c r="E6" s="92"/>
      <c r="F6" s="96"/>
      <c r="G6" s="97"/>
      <c r="H6" s="32"/>
      <c r="I6" s="2"/>
      <c r="J6" s="52">
        <f>SUM(J7:J11)</f>
        <v>1498.09799</v>
      </c>
      <c r="K6" s="10">
        <f>2022-524</f>
        <v>1498</v>
      </c>
      <c r="L6" s="10">
        <f t="shared" ref="L6" si="0">K6-J6</f>
        <v>-9.7989999999981592E-2</v>
      </c>
      <c r="M6" t="s">
        <v>405</v>
      </c>
    </row>
    <row r="7" spans="1:13" x14ac:dyDescent="0.25">
      <c r="A7" s="17" t="s">
        <v>392</v>
      </c>
      <c r="B7" s="128" t="s">
        <v>402</v>
      </c>
      <c r="C7" s="99"/>
      <c r="D7" s="37"/>
      <c r="E7" s="39"/>
      <c r="F7" s="98"/>
      <c r="G7" s="99"/>
      <c r="H7" s="37"/>
      <c r="I7" s="4"/>
      <c r="J7" s="51"/>
      <c r="K7" s="6"/>
      <c r="L7" s="17"/>
    </row>
    <row r="8" spans="1:13" x14ac:dyDescent="0.25">
      <c r="A8" s="17" t="s">
        <v>393</v>
      </c>
      <c r="B8" s="37">
        <v>1</v>
      </c>
      <c r="C8" s="99">
        <v>14800</v>
      </c>
      <c r="D8" s="37">
        <f t="shared" ref="D8:D10" si="1">B8*C8</f>
        <v>14800</v>
      </c>
      <c r="E8" s="39">
        <f t="shared" ref="E8:E10" si="2">D8*0.1</f>
        <v>1480</v>
      </c>
      <c r="F8" s="98">
        <v>2500</v>
      </c>
      <c r="G8" s="99">
        <v>1</v>
      </c>
      <c r="H8" s="37">
        <f>G8*B8</f>
        <v>1</v>
      </c>
      <c r="I8" s="4">
        <f>H8*$C$2</f>
        <v>6640</v>
      </c>
      <c r="J8" s="51">
        <f>(D8+E8+F8+I8)*$C$3</f>
        <v>898.08860000000004</v>
      </c>
      <c r="K8" s="6"/>
      <c r="L8" s="17"/>
    </row>
    <row r="9" spans="1:13" x14ac:dyDescent="0.25">
      <c r="A9" s="17" t="s">
        <v>394</v>
      </c>
      <c r="B9" s="37">
        <v>1</v>
      </c>
      <c r="C9" s="99">
        <v>8000</v>
      </c>
      <c r="D9" s="37">
        <f t="shared" ref="D9" si="3">B9*C9</f>
        <v>8000</v>
      </c>
      <c r="E9" s="39">
        <f t="shared" si="2"/>
        <v>800</v>
      </c>
      <c r="F9" s="98">
        <v>0</v>
      </c>
      <c r="G9" s="99">
        <v>0.25</v>
      </c>
      <c r="H9" s="37">
        <f>G9*B9</f>
        <v>0.25</v>
      </c>
      <c r="I9" s="4">
        <f>H9*$C$2</f>
        <v>1660</v>
      </c>
      <c r="J9" s="51">
        <f>(D9+E9+F9+I9)*$C$3</f>
        <v>369.55180000000001</v>
      </c>
      <c r="K9" s="6"/>
      <c r="L9" s="17"/>
    </row>
    <row r="10" spans="1:13" x14ac:dyDescent="0.25">
      <c r="A10" s="17" t="s">
        <v>395</v>
      </c>
      <c r="B10" s="37">
        <v>1</v>
      </c>
      <c r="C10" s="99">
        <v>2450</v>
      </c>
      <c r="D10" s="37">
        <f t="shared" si="1"/>
        <v>2450</v>
      </c>
      <c r="E10" s="39">
        <f t="shared" si="2"/>
        <v>245</v>
      </c>
      <c r="F10" s="98">
        <v>2500</v>
      </c>
      <c r="G10" s="99">
        <v>0.2</v>
      </c>
      <c r="H10" s="37">
        <f t="shared" ref="H10" si="4">G10*B10</f>
        <v>0.2</v>
      </c>
      <c r="I10" s="4">
        <f t="shared" ref="I10" si="5">H10*$C$2</f>
        <v>1328</v>
      </c>
      <c r="J10" s="51">
        <f t="shared" ref="J10" si="6">(D10+E10+F10+I10)*$C$3</f>
        <v>230.45759000000001</v>
      </c>
      <c r="K10" s="6"/>
      <c r="L10" s="17"/>
    </row>
    <row r="11" spans="1:13" x14ac:dyDescent="0.25">
      <c r="A11" s="119" t="s">
        <v>396</v>
      </c>
      <c r="B11" s="120" t="s">
        <v>403</v>
      </c>
      <c r="C11" s="115"/>
      <c r="D11" s="37"/>
      <c r="E11" s="39"/>
      <c r="F11" s="114"/>
      <c r="G11" s="115"/>
      <c r="H11" s="37"/>
      <c r="I11" s="4"/>
      <c r="J11" s="51"/>
      <c r="K11" s="6"/>
      <c r="L11" s="17"/>
    </row>
    <row r="12" spans="1:13" ht="31.5" x14ac:dyDescent="0.5">
      <c r="A12" s="104" t="s">
        <v>385</v>
      </c>
      <c r="B12" s="123"/>
      <c r="C12" s="124"/>
      <c r="D12" s="32"/>
      <c r="E12" s="92"/>
      <c r="F12" s="96"/>
      <c r="G12" s="97"/>
      <c r="H12" s="32"/>
      <c r="I12" s="2"/>
      <c r="J12" s="52">
        <f>SUM(J13:J16)</f>
        <v>2362.5241659999997</v>
      </c>
      <c r="K12" s="10">
        <f>2267+96</f>
        <v>2363</v>
      </c>
      <c r="L12" s="10">
        <f t="shared" ref="L12" si="7">K12-J12</f>
        <v>0.47583400000030451</v>
      </c>
    </row>
    <row r="13" spans="1:13" x14ac:dyDescent="0.25">
      <c r="A13" s="121" t="s">
        <v>386</v>
      </c>
      <c r="B13" s="98">
        <v>1</v>
      </c>
      <c r="C13" s="99">
        <v>5990</v>
      </c>
      <c r="D13" s="37">
        <f t="shared" ref="D13:D16" si="8">B13*C13</f>
        <v>5990</v>
      </c>
      <c r="E13" s="39">
        <f>D13*0.1</f>
        <v>599</v>
      </c>
      <c r="F13" s="98">
        <v>2500</v>
      </c>
      <c r="G13" s="99">
        <v>0.2</v>
      </c>
      <c r="H13" s="37">
        <f t="shared" ref="H13" si="9">G13*B13</f>
        <v>0.2</v>
      </c>
      <c r="I13" s="4">
        <f t="shared" ref="I13" si="10">H13*$C$2</f>
        <v>1328</v>
      </c>
      <c r="J13" s="51">
        <f t="shared" ref="J13" si="11">(D13+E13+F13+I13)*$C$3</f>
        <v>368.03260999999998</v>
      </c>
      <c r="K13" s="6"/>
      <c r="L13" s="17"/>
    </row>
    <row r="14" spans="1:13" x14ac:dyDescent="0.25">
      <c r="A14" s="121" t="s">
        <v>387</v>
      </c>
      <c r="B14" s="98">
        <v>1</v>
      </c>
      <c r="C14" s="99">
        <v>19000</v>
      </c>
      <c r="D14" s="37">
        <f t="shared" si="8"/>
        <v>19000</v>
      </c>
      <c r="E14" s="39">
        <f t="shared" ref="E14:E16" si="12">D14*0.1</f>
        <v>1900</v>
      </c>
      <c r="F14" s="98">
        <v>0</v>
      </c>
      <c r="G14" s="99">
        <v>0.45</v>
      </c>
      <c r="H14" s="37">
        <f>G14*B14</f>
        <v>0.45</v>
      </c>
      <c r="I14" s="4">
        <f>H14*$C$2</f>
        <v>2988</v>
      </c>
      <c r="J14" s="51">
        <f>(D14+E14+F14+I14)*$C$3</f>
        <v>843.96303999999998</v>
      </c>
      <c r="K14" s="6"/>
      <c r="L14" s="17"/>
    </row>
    <row r="15" spans="1:13" x14ac:dyDescent="0.25">
      <c r="A15" s="121" t="s">
        <v>388</v>
      </c>
      <c r="B15" s="98">
        <v>1</v>
      </c>
      <c r="C15" s="99">
        <v>12600</v>
      </c>
      <c r="D15" s="37">
        <f t="shared" si="8"/>
        <v>12600</v>
      </c>
      <c r="E15" s="39">
        <f t="shared" si="12"/>
        <v>1260</v>
      </c>
      <c r="F15" s="98">
        <v>0</v>
      </c>
      <c r="G15" s="99">
        <v>0.39</v>
      </c>
      <c r="H15" s="37">
        <f t="shared" ref="H15:H16" si="13">G15*B15</f>
        <v>0.39</v>
      </c>
      <c r="I15" s="4">
        <f t="shared" ref="I15:I16" si="14">H15*$C$2</f>
        <v>2589.6</v>
      </c>
      <c r="J15" s="51">
        <f t="shared" ref="J15:J16" si="15">(D15+E15+F15+I15)*$C$3</f>
        <v>581.16436799999997</v>
      </c>
      <c r="K15" s="6"/>
      <c r="L15" s="17"/>
    </row>
    <row r="16" spans="1:13" x14ac:dyDescent="0.25">
      <c r="A16" s="121" t="s">
        <v>389</v>
      </c>
      <c r="B16" s="98">
        <v>1</v>
      </c>
      <c r="C16" s="99">
        <v>12900</v>
      </c>
      <c r="D16" s="37">
        <f t="shared" si="8"/>
        <v>12900</v>
      </c>
      <c r="E16" s="39">
        <f t="shared" si="12"/>
        <v>1290</v>
      </c>
      <c r="F16" s="98">
        <v>0</v>
      </c>
      <c r="G16" s="99">
        <v>0.28999999999999998</v>
      </c>
      <c r="H16" s="37">
        <f t="shared" si="13"/>
        <v>0.28999999999999998</v>
      </c>
      <c r="I16" s="4">
        <f t="shared" si="14"/>
        <v>1925.6</v>
      </c>
      <c r="J16" s="51">
        <f t="shared" si="15"/>
        <v>569.364148</v>
      </c>
      <c r="K16" s="6"/>
      <c r="L16" s="17"/>
    </row>
    <row r="17" spans="1:12" ht="31.5" x14ac:dyDescent="0.5">
      <c r="A17" s="104" t="s">
        <v>331</v>
      </c>
      <c r="B17" s="123"/>
      <c r="C17" s="124"/>
      <c r="D17" s="32"/>
      <c r="E17" s="92"/>
      <c r="F17" s="123"/>
      <c r="G17" s="124"/>
      <c r="H17" s="32"/>
      <c r="I17" s="2"/>
      <c r="J17" s="52">
        <f>SUM(J18:J21)</f>
        <v>2581.3511199999998</v>
      </c>
      <c r="K17" s="10">
        <f>2189+95</f>
        <v>2284</v>
      </c>
      <c r="L17" s="10">
        <f t="shared" ref="L17" si="16">K17-J17</f>
        <v>-297.35111999999981</v>
      </c>
    </row>
    <row r="18" spans="1:12" x14ac:dyDescent="0.25">
      <c r="A18" s="121" t="s">
        <v>397</v>
      </c>
      <c r="B18" s="98">
        <v>1</v>
      </c>
      <c r="C18" s="99">
        <v>11900</v>
      </c>
      <c r="D18" s="37">
        <f t="shared" ref="D18" si="17">B18*C18</f>
        <v>11900</v>
      </c>
      <c r="E18" s="39">
        <f>D18*0.1</f>
        <v>1190</v>
      </c>
      <c r="F18" s="98">
        <v>0</v>
      </c>
      <c r="G18" s="99">
        <v>0.4</v>
      </c>
      <c r="H18" s="37">
        <f t="shared" ref="H18" si="18">G18*B18</f>
        <v>0.4</v>
      </c>
      <c r="I18" s="4">
        <f t="shared" ref="I18" si="19">H18*$C$2</f>
        <v>2656</v>
      </c>
      <c r="J18" s="51">
        <f t="shared" ref="J18" si="20">(D18+E18+F18+I18)*$C$3</f>
        <v>556.30618000000004</v>
      </c>
      <c r="K18" s="6"/>
      <c r="L18" s="17"/>
    </row>
    <row r="19" spans="1:12" x14ac:dyDescent="0.25">
      <c r="A19" s="121" t="s">
        <v>277</v>
      </c>
      <c r="B19" s="98">
        <v>1</v>
      </c>
      <c r="C19" s="99">
        <v>23900</v>
      </c>
      <c r="D19" s="37">
        <f t="shared" ref="D19:D21" si="21">B19*C19</f>
        <v>23900</v>
      </c>
      <c r="E19" s="39">
        <f t="shared" ref="E19:E21" si="22">D19*0.1</f>
        <v>2390</v>
      </c>
      <c r="F19" s="98">
        <v>2500</v>
      </c>
      <c r="G19" s="99">
        <v>0.2</v>
      </c>
      <c r="H19" s="37">
        <f>G19*B19</f>
        <v>0.2</v>
      </c>
      <c r="I19" s="4">
        <f>H19*$C$2</f>
        <v>1328</v>
      </c>
      <c r="J19" s="51">
        <f>(D19+E19+F19+I19)*$C$3</f>
        <v>1064.0689400000001</v>
      </c>
      <c r="K19" s="6"/>
      <c r="L19" s="17"/>
    </row>
    <row r="20" spans="1:12" x14ac:dyDescent="0.25">
      <c r="A20" s="121" t="s">
        <v>57</v>
      </c>
      <c r="B20" s="98">
        <v>1</v>
      </c>
      <c r="C20" s="99">
        <v>15300</v>
      </c>
      <c r="D20" s="37">
        <f t="shared" si="21"/>
        <v>15300</v>
      </c>
      <c r="E20" s="39">
        <f t="shared" si="22"/>
        <v>1530</v>
      </c>
      <c r="F20" s="98">
        <v>2500</v>
      </c>
      <c r="G20" s="99">
        <v>0.3</v>
      </c>
      <c r="H20" s="37">
        <f t="shared" ref="H20:H21" si="23">G20*B20</f>
        <v>0.3</v>
      </c>
      <c r="I20" s="4">
        <f t="shared" ref="I20:I21" si="24">H20*$C$2</f>
        <v>1992</v>
      </c>
      <c r="J20" s="51">
        <f t="shared" ref="J20:J21" si="25">(D20+E20+F20+I20)*$C$3</f>
        <v>753.30625999999995</v>
      </c>
      <c r="K20" s="6"/>
      <c r="L20" s="17"/>
    </row>
    <row r="21" spans="1:12" x14ac:dyDescent="0.25">
      <c r="A21" s="121" t="s">
        <v>390</v>
      </c>
      <c r="B21" s="98">
        <v>1</v>
      </c>
      <c r="C21" s="99">
        <v>3000</v>
      </c>
      <c r="D21" s="37">
        <f t="shared" si="21"/>
        <v>3000</v>
      </c>
      <c r="E21" s="39">
        <f t="shared" si="22"/>
        <v>300</v>
      </c>
      <c r="F21" s="125">
        <f>2500/2</f>
        <v>1250</v>
      </c>
      <c r="G21" s="99">
        <v>0.2</v>
      </c>
      <c r="H21" s="37">
        <f t="shared" si="23"/>
        <v>0.2</v>
      </c>
      <c r="I21" s="4">
        <f t="shared" si="24"/>
        <v>1328</v>
      </c>
      <c r="J21" s="51">
        <f t="shared" si="25"/>
        <v>207.66973999999999</v>
      </c>
      <c r="K21" s="6"/>
      <c r="L21" s="17"/>
    </row>
    <row r="22" spans="1:12" ht="31.5" x14ac:dyDescent="0.5">
      <c r="A22" s="104" t="s">
        <v>382</v>
      </c>
      <c r="B22" s="123"/>
      <c r="C22" s="124"/>
      <c r="D22" s="32"/>
      <c r="E22" s="92"/>
      <c r="F22" s="96"/>
      <c r="G22" s="97"/>
      <c r="H22" s="32"/>
      <c r="I22" s="2"/>
      <c r="J22" s="52">
        <f>SUM(J23:J25)</f>
        <v>1081.6986100000001</v>
      </c>
      <c r="K22" s="10">
        <f>1035+47</f>
        <v>1082</v>
      </c>
      <c r="L22" s="10">
        <f t="shared" ref="L22" si="26">K22-J22</f>
        <v>0.30138999999985572</v>
      </c>
    </row>
    <row r="23" spans="1:12" x14ac:dyDescent="0.25">
      <c r="A23" s="121" t="s">
        <v>379</v>
      </c>
      <c r="B23" s="98">
        <v>1</v>
      </c>
      <c r="C23" s="99">
        <f>16800/2</f>
        <v>8400</v>
      </c>
      <c r="D23" s="37">
        <f t="shared" ref="D23:D25" si="27">B23*C23</f>
        <v>8400</v>
      </c>
      <c r="E23" s="39">
        <f>D23*0.1</f>
        <v>840</v>
      </c>
      <c r="F23" s="98">
        <v>0</v>
      </c>
      <c r="G23" s="99">
        <v>0.3</v>
      </c>
      <c r="H23" s="37">
        <f>G23*B23</f>
        <v>0.3</v>
      </c>
      <c r="I23" s="4">
        <f>H23*$C$2</f>
        <v>1992</v>
      </c>
      <c r="J23" s="51">
        <f>(D23+E23+F23+I23)*$C$3</f>
        <v>396.82656000000003</v>
      </c>
      <c r="K23" s="6"/>
      <c r="L23" s="17"/>
    </row>
    <row r="24" spans="1:12" x14ac:dyDescent="0.25">
      <c r="A24" s="121" t="s">
        <v>374</v>
      </c>
      <c r="B24" s="98">
        <v>1</v>
      </c>
      <c r="C24" s="99">
        <f>14900/2</f>
        <v>7450</v>
      </c>
      <c r="D24" s="37">
        <f t="shared" si="27"/>
        <v>7450</v>
      </c>
      <c r="E24" s="39">
        <f t="shared" ref="E24:E25" si="28">D24*0.1</f>
        <v>745</v>
      </c>
      <c r="F24" s="98">
        <v>0</v>
      </c>
      <c r="G24" s="99">
        <v>0.8</v>
      </c>
      <c r="H24" s="37">
        <f t="shared" ref="H24:H25" si="29">G24*B24</f>
        <v>0.8</v>
      </c>
      <c r="I24" s="4">
        <f t="shared" ref="I24:I25" si="30">H24*$C$2</f>
        <v>5312</v>
      </c>
      <c r="J24" s="51">
        <f t="shared" ref="J24:J25" si="31">(D24+E24+F24+I24)*$C$3</f>
        <v>477.20231000000001</v>
      </c>
      <c r="K24" s="6"/>
      <c r="L24" s="17"/>
    </row>
    <row r="25" spans="1:12" x14ac:dyDescent="0.25">
      <c r="A25" s="121" t="s">
        <v>383</v>
      </c>
      <c r="B25" s="98">
        <v>1</v>
      </c>
      <c r="C25" s="99">
        <v>3000</v>
      </c>
      <c r="D25" s="37">
        <f t="shared" si="27"/>
        <v>3000</v>
      </c>
      <c r="E25" s="39">
        <f t="shared" si="28"/>
        <v>300</v>
      </c>
      <c r="F25" s="125">
        <f>2500/2</f>
        <v>1250</v>
      </c>
      <c r="G25" s="99">
        <v>0.2</v>
      </c>
      <c r="H25" s="37">
        <f t="shared" si="29"/>
        <v>0.2</v>
      </c>
      <c r="I25" s="4">
        <f t="shared" si="30"/>
        <v>1328</v>
      </c>
      <c r="J25" s="51">
        <f t="shared" si="31"/>
        <v>207.66973999999999</v>
      </c>
      <c r="K25" s="6"/>
      <c r="L25" s="17"/>
    </row>
    <row r="26" spans="1:12" ht="31.5" x14ac:dyDescent="0.5">
      <c r="A26" s="104" t="s">
        <v>384</v>
      </c>
      <c r="B26" s="123"/>
      <c r="C26" s="124"/>
      <c r="D26" s="32"/>
      <c r="E26" s="92"/>
      <c r="F26" s="123"/>
      <c r="G26" s="124"/>
      <c r="H26" s="32"/>
      <c r="I26" s="2"/>
      <c r="J26" s="52">
        <f>SUM(J27:J29)</f>
        <v>1019.6944599999999</v>
      </c>
      <c r="K26" s="10">
        <f>978+42</f>
        <v>1020</v>
      </c>
      <c r="L26" s="10">
        <f t="shared" ref="L26" si="32">K26-J26</f>
        <v>0.30554000000006454</v>
      </c>
    </row>
    <row r="27" spans="1:12" x14ac:dyDescent="0.25">
      <c r="A27" s="121" t="s">
        <v>97</v>
      </c>
      <c r="B27" s="98">
        <v>1</v>
      </c>
      <c r="C27" s="99">
        <v>3100</v>
      </c>
      <c r="D27" s="37">
        <f t="shared" ref="D27:D29" si="33">B27*C27</f>
        <v>3100</v>
      </c>
      <c r="E27" s="39">
        <f>D27*0.1</f>
        <v>310</v>
      </c>
      <c r="F27" s="98">
        <f>2500/2</f>
        <v>1250</v>
      </c>
      <c r="G27" s="99">
        <v>0.3</v>
      </c>
      <c r="H27" s="37">
        <f>G27*B27</f>
        <v>0.3</v>
      </c>
      <c r="I27" s="4">
        <f>H27*$C$2</f>
        <v>1992</v>
      </c>
      <c r="J27" s="51">
        <f>(D27+E27+F27+I27)*$C$3</f>
        <v>235.01516000000001</v>
      </c>
      <c r="K27" s="6"/>
      <c r="L27" s="17"/>
    </row>
    <row r="28" spans="1:12" x14ac:dyDescent="0.25">
      <c r="A28" s="121" t="s">
        <v>172</v>
      </c>
      <c r="B28" s="98">
        <v>1</v>
      </c>
      <c r="C28" s="99">
        <v>6500</v>
      </c>
      <c r="D28" s="37">
        <f t="shared" si="33"/>
        <v>6500</v>
      </c>
      <c r="E28" s="39">
        <f t="shared" ref="E28:E32" si="34">D28*0.1</f>
        <v>650</v>
      </c>
      <c r="F28" s="98">
        <v>2500</v>
      </c>
      <c r="G28" s="99">
        <v>0.2</v>
      </c>
      <c r="H28" s="37">
        <f t="shared" ref="H28:H29" si="35">G28*B28</f>
        <v>0.2</v>
      </c>
      <c r="I28" s="4">
        <f t="shared" ref="I28:I29" si="36">H28*$C$2</f>
        <v>1328</v>
      </c>
      <c r="J28" s="51">
        <f t="shared" ref="J28:J29" si="37">(D28+E28+F28+I28)*$C$3</f>
        <v>387.85273999999998</v>
      </c>
      <c r="K28" s="6"/>
      <c r="L28" s="17"/>
    </row>
    <row r="29" spans="1:12" x14ac:dyDescent="0.25">
      <c r="A29" s="121" t="s">
        <v>379</v>
      </c>
      <c r="B29" s="98">
        <v>1</v>
      </c>
      <c r="C29" s="99">
        <f>16800/2</f>
        <v>8400</v>
      </c>
      <c r="D29" s="37">
        <f t="shared" si="33"/>
        <v>8400</v>
      </c>
      <c r="E29" s="39">
        <f t="shared" si="34"/>
        <v>840</v>
      </c>
      <c r="F29" s="98">
        <v>0</v>
      </c>
      <c r="G29" s="99">
        <v>0.3</v>
      </c>
      <c r="H29" s="37">
        <f t="shared" si="35"/>
        <v>0.3</v>
      </c>
      <c r="I29" s="4">
        <f t="shared" si="36"/>
        <v>1992</v>
      </c>
      <c r="J29" s="51">
        <f t="shared" si="37"/>
        <v>396.82656000000003</v>
      </c>
      <c r="K29" s="6"/>
      <c r="L29" s="17"/>
    </row>
    <row r="30" spans="1:12" ht="26.25" x14ac:dyDescent="0.4">
      <c r="A30" s="104" t="s">
        <v>346</v>
      </c>
      <c r="B30" s="96"/>
      <c r="C30" s="97"/>
      <c r="D30" s="32"/>
      <c r="E30" s="92"/>
      <c r="F30" s="96"/>
      <c r="G30" s="97"/>
      <c r="H30" s="32"/>
      <c r="I30" s="2"/>
      <c r="J30" s="52">
        <f>J32+J31</f>
        <v>1065.97676</v>
      </c>
      <c r="K30" s="10">
        <f>1022+44</f>
        <v>1066</v>
      </c>
      <c r="L30" s="10">
        <f>K30-J30</f>
        <v>2.3239999999987049E-2</v>
      </c>
    </row>
    <row r="31" spans="1:12" x14ac:dyDescent="0.25">
      <c r="A31" s="121" t="s">
        <v>380</v>
      </c>
      <c r="B31" s="98">
        <v>1</v>
      </c>
      <c r="C31" s="99">
        <f>9900+2900</f>
        <v>12800</v>
      </c>
      <c r="D31" s="37">
        <f t="shared" ref="D31:D32" si="38">B31*C31</f>
        <v>12800</v>
      </c>
      <c r="E31" s="39">
        <f t="shared" si="34"/>
        <v>1280</v>
      </c>
      <c r="F31" s="98">
        <v>0</v>
      </c>
      <c r="G31" s="99">
        <v>0.2</v>
      </c>
      <c r="H31" s="37">
        <f>G31</f>
        <v>0.2</v>
      </c>
      <c r="I31" s="4">
        <f>H31*$C$2</f>
        <v>1328</v>
      </c>
      <c r="J31" s="51">
        <f>(D31+E31+F31+I31)*$C$3</f>
        <v>544.36464000000001</v>
      </c>
      <c r="K31" s="6"/>
      <c r="L31" s="17"/>
    </row>
    <row r="32" spans="1:12" x14ac:dyDescent="0.25">
      <c r="A32" s="121" t="s">
        <v>381</v>
      </c>
      <c r="B32" s="98">
        <v>1</v>
      </c>
      <c r="C32" s="99">
        <v>9800</v>
      </c>
      <c r="D32" s="37">
        <f t="shared" si="38"/>
        <v>9800</v>
      </c>
      <c r="E32" s="39">
        <f t="shared" si="34"/>
        <v>980</v>
      </c>
      <c r="F32" s="98">
        <v>0</v>
      </c>
      <c r="G32" s="99">
        <v>0.6</v>
      </c>
      <c r="H32" s="37">
        <f>G32</f>
        <v>0.6</v>
      </c>
      <c r="I32" s="4">
        <f>H32*$C$2</f>
        <v>3984</v>
      </c>
      <c r="J32" s="51">
        <f>(D32+E32+F32+I32)*$C$3</f>
        <v>521.61212</v>
      </c>
      <c r="K32" s="6"/>
      <c r="L32" s="17"/>
    </row>
    <row r="33" spans="1:13" ht="26.25" x14ac:dyDescent="0.4">
      <c r="A33" s="104" t="s">
        <v>26</v>
      </c>
      <c r="B33" s="96"/>
      <c r="C33" s="97"/>
      <c r="D33" s="32"/>
      <c r="E33" s="92"/>
      <c r="F33" s="96"/>
      <c r="G33" s="97"/>
      <c r="H33" s="32"/>
      <c r="I33" s="2"/>
      <c r="J33" s="52">
        <f>J34</f>
        <v>338.49673000000001</v>
      </c>
      <c r="K33" s="10">
        <f>322+16</f>
        <v>338</v>
      </c>
      <c r="L33" s="10">
        <f>K33-J33</f>
        <v>-0.49673000000001366</v>
      </c>
    </row>
    <row r="34" spans="1:13" x14ac:dyDescent="0.25">
      <c r="A34" s="121" t="s">
        <v>370</v>
      </c>
      <c r="B34" s="98">
        <v>1</v>
      </c>
      <c r="C34" s="99">
        <v>5230</v>
      </c>
      <c r="D34" s="37">
        <f t="shared" ref="D34" si="39">B34*C34</f>
        <v>5230</v>
      </c>
      <c r="E34" s="39">
        <f>D34*0.1</f>
        <v>523</v>
      </c>
      <c r="F34" s="98">
        <v>2500</v>
      </c>
      <c r="G34" s="99">
        <v>0.2</v>
      </c>
      <c r="H34" s="37">
        <f>G34</f>
        <v>0.2</v>
      </c>
      <c r="I34" s="4">
        <f>H34*$C$2</f>
        <v>1328</v>
      </c>
      <c r="J34" s="51">
        <f>(D34+E34+F34+I34)*$C$3</f>
        <v>338.49673000000001</v>
      </c>
      <c r="K34" s="6"/>
      <c r="L34" s="17"/>
    </row>
    <row r="35" spans="1:13" ht="26.25" x14ac:dyDescent="0.4">
      <c r="A35" s="104" t="s">
        <v>175</v>
      </c>
      <c r="B35" s="96"/>
      <c r="C35" s="97"/>
      <c r="D35" s="32"/>
      <c r="E35" s="92"/>
      <c r="F35" s="96"/>
      <c r="G35" s="97"/>
      <c r="H35" s="32"/>
      <c r="I35" s="2"/>
      <c r="J35" s="52">
        <f>J36</f>
        <v>676.66842399999996</v>
      </c>
      <c r="K35" s="10">
        <f>649+28</f>
        <v>677</v>
      </c>
      <c r="L35" s="10">
        <f t="shared" ref="L35" si="40">K35-J35</f>
        <v>0.33157600000004095</v>
      </c>
    </row>
    <row r="36" spans="1:13" x14ac:dyDescent="0.25">
      <c r="A36" s="121" t="s">
        <v>371</v>
      </c>
      <c r="B36" s="98">
        <v>1</v>
      </c>
      <c r="C36" s="99">
        <v>12000</v>
      </c>
      <c r="D36" s="37">
        <f t="shared" ref="D36" si="41">B36*C36</f>
        <v>12000</v>
      </c>
      <c r="E36" s="39">
        <f>D36*0.1</f>
        <v>1200</v>
      </c>
      <c r="F36" s="98">
        <v>2500</v>
      </c>
      <c r="G36" s="99">
        <v>0.52</v>
      </c>
      <c r="H36" s="37">
        <f>G36</f>
        <v>0.52</v>
      </c>
      <c r="I36" s="4">
        <f>H36*$C$2</f>
        <v>3452.8</v>
      </c>
      <c r="J36" s="51">
        <f>(D36+E36+F36+I36)*$C$3</f>
        <v>676.66842399999996</v>
      </c>
      <c r="K36" s="6"/>
      <c r="L36" s="17"/>
    </row>
    <row r="37" spans="1:13" ht="26.25" x14ac:dyDescent="0.4">
      <c r="A37" s="104" t="s">
        <v>372</v>
      </c>
      <c r="B37" s="96"/>
      <c r="C37" s="97"/>
      <c r="D37" s="32"/>
      <c r="E37" s="92"/>
      <c r="F37" s="96"/>
      <c r="G37" s="97"/>
      <c r="H37" s="32"/>
      <c r="I37" s="2"/>
      <c r="J37" s="52">
        <f>J38</f>
        <v>235.01516000000001</v>
      </c>
      <c r="K37" s="10">
        <f>1+223+12</f>
        <v>236</v>
      </c>
      <c r="L37" s="10">
        <f t="shared" ref="L37" si="42">K37-J37</f>
        <v>0.98483999999999128</v>
      </c>
    </row>
    <row r="38" spans="1:13" x14ac:dyDescent="0.25">
      <c r="A38" s="121" t="s">
        <v>97</v>
      </c>
      <c r="B38" s="98">
        <v>1</v>
      </c>
      <c r="C38" s="99">
        <v>3100</v>
      </c>
      <c r="D38" s="37">
        <f t="shared" ref="D38" si="43">B38*C38</f>
        <v>3100</v>
      </c>
      <c r="E38" s="39">
        <f>D38*0.1</f>
        <v>310</v>
      </c>
      <c r="F38" s="98">
        <f>2500/2</f>
        <v>1250</v>
      </c>
      <c r="G38" s="99">
        <v>0.3</v>
      </c>
      <c r="H38" s="37">
        <f>G38</f>
        <v>0.3</v>
      </c>
      <c r="I38" s="4">
        <f>H38*$C$2</f>
        <v>1992</v>
      </c>
      <c r="J38" s="51">
        <f>(D38+E38+F38+I38)*$C$3</f>
        <v>235.01516000000001</v>
      </c>
      <c r="K38" s="6"/>
      <c r="L38" s="17"/>
    </row>
    <row r="39" spans="1:13" ht="31.5" x14ac:dyDescent="0.5">
      <c r="A39" s="104" t="s">
        <v>373</v>
      </c>
      <c r="B39" s="123"/>
      <c r="C39" s="124"/>
      <c r="D39" s="32"/>
      <c r="E39" s="92"/>
      <c r="F39" s="96"/>
      <c r="G39" s="97"/>
      <c r="H39" s="32"/>
      <c r="I39" s="2"/>
      <c r="J39" s="52">
        <f>J40</f>
        <v>477.20231000000001</v>
      </c>
      <c r="K39" s="10">
        <f>461+16+3</f>
        <v>480</v>
      </c>
      <c r="L39" s="10">
        <f t="shared" ref="L39" si="44">K39-J39</f>
        <v>2.7976899999999887</v>
      </c>
      <c r="M39" t="s">
        <v>404</v>
      </c>
    </row>
    <row r="40" spans="1:13" x14ac:dyDescent="0.25">
      <c r="A40" s="121" t="s">
        <v>374</v>
      </c>
      <c r="B40" s="98">
        <v>1</v>
      </c>
      <c r="C40" s="99">
        <f>14900/2</f>
        <v>7450</v>
      </c>
      <c r="D40" s="37">
        <f t="shared" ref="D40" si="45">B40*C40</f>
        <v>7450</v>
      </c>
      <c r="E40" s="39">
        <f>D40*0.1</f>
        <v>745</v>
      </c>
      <c r="F40" s="98">
        <v>0</v>
      </c>
      <c r="G40" s="99">
        <v>0.8</v>
      </c>
      <c r="H40" s="37">
        <f>G40</f>
        <v>0.8</v>
      </c>
      <c r="I40" s="4">
        <f>H40*$C$2</f>
        <v>5312</v>
      </c>
      <c r="J40" s="51">
        <f>(D40+E40+F40+I40)*$C$3</f>
        <v>477.20231000000001</v>
      </c>
      <c r="K40" s="6"/>
      <c r="L40" s="17"/>
    </row>
    <row r="41" spans="1:13" ht="31.5" x14ac:dyDescent="0.5">
      <c r="A41" s="104" t="s">
        <v>195</v>
      </c>
      <c r="B41" s="123"/>
      <c r="C41" s="124"/>
      <c r="D41" s="32"/>
      <c r="E41" s="92"/>
      <c r="F41" s="123"/>
      <c r="G41" s="124"/>
      <c r="H41" s="32"/>
      <c r="I41" s="2"/>
      <c r="J41" s="52">
        <f>J42</f>
        <v>636.78791999999999</v>
      </c>
      <c r="K41" s="10">
        <f>611+21+6</f>
        <v>638</v>
      </c>
      <c r="L41" s="10">
        <f t="shared" ref="L41" si="46">K41-J41</f>
        <v>1.2120800000000145</v>
      </c>
    </row>
    <row r="42" spans="1:13" ht="30" x14ac:dyDescent="0.25">
      <c r="A42" s="121" t="s">
        <v>375</v>
      </c>
      <c r="B42" s="114">
        <v>1</v>
      </c>
      <c r="C42" s="99">
        <v>12000</v>
      </c>
      <c r="D42" s="37">
        <f t="shared" ref="D42" si="47">B42*C42</f>
        <v>12000</v>
      </c>
      <c r="E42" s="39">
        <f>D42*0.1</f>
        <v>1200</v>
      </c>
      <c r="F42" s="98">
        <v>2500</v>
      </c>
      <c r="G42" s="99">
        <v>0.35</v>
      </c>
      <c r="H42" s="37">
        <f>G42</f>
        <v>0.35</v>
      </c>
      <c r="I42" s="4">
        <f>H42*$C$2</f>
        <v>2324</v>
      </c>
      <c r="J42" s="51">
        <f>(D42+E42+F42+I42)*$C$3</f>
        <v>636.78791999999999</v>
      </c>
      <c r="K42" s="6"/>
      <c r="L42" s="17"/>
    </row>
    <row r="43" spans="1:13" ht="26.25" x14ac:dyDescent="0.4">
      <c r="A43" s="104" t="s">
        <v>293</v>
      </c>
      <c r="B43" s="96"/>
      <c r="C43" s="97"/>
      <c r="D43" s="32"/>
      <c r="E43" s="92"/>
      <c r="F43" s="96"/>
      <c r="G43" s="97"/>
      <c r="H43" s="32"/>
      <c r="I43" s="2"/>
      <c r="J43" s="52">
        <f>J44</f>
        <v>431.66194000000002</v>
      </c>
      <c r="K43" s="10">
        <f>408+24</f>
        <v>432</v>
      </c>
      <c r="L43" s="10">
        <f t="shared" ref="L43" si="48">K43-J43</f>
        <v>0.33805999999998448</v>
      </c>
    </row>
    <row r="44" spans="1:13" x14ac:dyDescent="0.25">
      <c r="A44" s="121" t="s">
        <v>376</v>
      </c>
      <c r="B44" s="98">
        <v>1</v>
      </c>
      <c r="C44" s="99">
        <v>9900</v>
      </c>
      <c r="D44" s="37">
        <f t="shared" ref="D44" si="49">B44*C44</f>
        <v>9900</v>
      </c>
      <c r="E44" s="39">
        <f>D44*0.1</f>
        <v>990</v>
      </c>
      <c r="F44" s="98">
        <v>0</v>
      </c>
      <c r="G44" s="99">
        <v>0.2</v>
      </c>
      <c r="H44" s="37">
        <f>G44</f>
        <v>0.2</v>
      </c>
      <c r="I44" s="4">
        <f>H44*$C$2</f>
        <v>1328</v>
      </c>
      <c r="J44" s="51">
        <f>(D44+E44+F44+I44)*$C$3</f>
        <v>431.66194000000002</v>
      </c>
      <c r="K44" s="6"/>
      <c r="L44" s="17"/>
    </row>
    <row r="45" spans="1:13" ht="26.25" x14ac:dyDescent="0.4">
      <c r="A45" s="104" t="s">
        <v>377</v>
      </c>
      <c r="B45" s="96"/>
      <c r="C45" s="97"/>
      <c r="D45" s="32"/>
      <c r="E45" s="92"/>
      <c r="F45" s="96"/>
      <c r="G45" s="97"/>
      <c r="H45" s="32"/>
      <c r="I45" s="2"/>
      <c r="J45" s="52">
        <f>J46</f>
        <v>416.11673999999999</v>
      </c>
      <c r="K45" s="10">
        <f>400+16</f>
        <v>416</v>
      </c>
      <c r="L45" s="10">
        <f t="shared" ref="L45" si="50">K45-J45</f>
        <v>-0.11673999999999296</v>
      </c>
    </row>
    <row r="46" spans="1:13" x14ac:dyDescent="0.25">
      <c r="A46" s="122" t="s">
        <v>378</v>
      </c>
      <c r="B46" s="98">
        <v>1</v>
      </c>
      <c r="C46" s="99">
        <f>19000/2</f>
        <v>9500</v>
      </c>
      <c r="D46" s="37">
        <f t="shared" ref="D46" si="51">B46*C46</f>
        <v>9500</v>
      </c>
      <c r="E46" s="39">
        <f>D46*0.1</f>
        <v>950</v>
      </c>
      <c r="F46" s="98">
        <v>0</v>
      </c>
      <c r="G46" s="99">
        <v>0.2</v>
      </c>
      <c r="H46" s="37">
        <f>G46</f>
        <v>0.2</v>
      </c>
      <c r="I46" s="4">
        <f>H46*$C$2</f>
        <v>1328</v>
      </c>
      <c r="J46" s="51">
        <f>(D46+E46+F46+I46)*$C$3</f>
        <v>416.11673999999999</v>
      </c>
      <c r="K46" s="6"/>
      <c r="L46" s="17"/>
    </row>
    <row r="47" spans="1:13" ht="31.5" x14ac:dyDescent="0.5">
      <c r="A47" s="104" t="s">
        <v>39</v>
      </c>
      <c r="B47" s="123"/>
      <c r="C47" s="124"/>
      <c r="D47" s="32"/>
      <c r="E47" s="92"/>
      <c r="F47" s="123"/>
      <c r="G47" s="124"/>
      <c r="H47" s="32"/>
      <c r="I47" s="2"/>
      <c r="J47" s="52">
        <f>J48</f>
        <v>396.82656000000003</v>
      </c>
      <c r="K47" s="10">
        <v>380</v>
      </c>
      <c r="L47" s="10">
        <f t="shared" ref="L47" si="52">K47-J47</f>
        <v>-16.826560000000029</v>
      </c>
    </row>
    <row r="48" spans="1:13" ht="15.75" thickBot="1" x14ac:dyDescent="0.3">
      <c r="A48" s="121" t="s">
        <v>379</v>
      </c>
      <c r="B48" s="102">
        <v>1</v>
      </c>
      <c r="C48" s="103">
        <f>16800/2</f>
        <v>8400</v>
      </c>
      <c r="D48" s="37">
        <f t="shared" ref="D48" si="53">B48*C48</f>
        <v>8400</v>
      </c>
      <c r="E48" s="39">
        <f>D48*0.1</f>
        <v>840</v>
      </c>
      <c r="F48" s="102">
        <v>0</v>
      </c>
      <c r="G48" s="103">
        <v>0.3</v>
      </c>
      <c r="H48" s="37">
        <f>G48</f>
        <v>0.3</v>
      </c>
      <c r="I48" s="4">
        <f>H48*$C$2</f>
        <v>1992</v>
      </c>
      <c r="J48" s="51">
        <f>(D48+E48+F48+I48)*$C$3</f>
        <v>396.82656000000003</v>
      </c>
      <c r="K48" s="6"/>
      <c r="L48" s="1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workbookViewId="0">
      <selection activeCell="A5" sqref="A5:XFD27"/>
    </sheetView>
  </sheetViews>
  <sheetFormatPr defaultRowHeight="15" x14ac:dyDescent="0.25"/>
  <cols>
    <col min="1" max="1" width="32" bestFit="1" customWidth="1"/>
    <col min="2" max="2" width="8.140625" customWidth="1"/>
    <col min="3" max="3" width="11.28515625" bestFit="1" customWidth="1"/>
    <col min="6" max="6" width="11" customWidth="1"/>
    <col min="7" max="7" width="7.140625" customWidth="1"/>
    <col min="10" max="10" width="11.28515625" customWidth="1"/>
    <col min="11" max="11" width="13.28515625" customWidth="1"/>
    <col min="12" max="12" width="11.7109375" customWidth="1"/>
  </cols>
  <sheetData>
    <row r="1" spans="1:13" ht="21" x14ac:dyDescent="0.35">
      <c r="A1" s="55" t="s">
        <v>281</v>
      </c>
      <c r="B1" s="4"/>
      <c r="C1" s="15">
        <v>41777</v>
      </c>
      <c r="D1" s="30"/>
    </row>
    <row r="2" spans="1:13" ht="21" x14ac:dyDescent="0.35">
      <c r="A2" s="55" t="s">
        <v>239</v>
      </c>
      <c r="B2" s="4"/>
      <c r="C2" s="16">
        <v>6780</v>
      </c>
      <c r="D2" s="30"/>
    </row>
    <row r="3" spans="1:13" ht="21" x14ac:dyDescent="0.35">
      <c r="A3" s="55" t="s">
        <v>240</v>
      </c>
      <c r="B3" s="4"/>
      <c r="C3" s="16">
        <v>3.4529999999999998E-2</v>
      </c>
      <c r="D3" s="30"/>
    </row>
    <row r="4" spans="1:13" ht="15.75" thickBot="1" x14ac:dyDescent="0.3"/>
    <row r="5" spans="1:13" ht="45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29" t="s">
        <v>20</v>
      </c>
      <c r="B6" s="123"/>
      <c r="C6" s="124"/>
      <c r="D6" s="32"/>
      <c r="E6" s="92"/>
      <c r="F6" s="123"/>
      <c r="G6" s="124"/>
      <c r="H6" s="32"/>
      <c r="I6" s="2"/>
      <c r="J6" s="52">
        <f>J7</f>
        <v>464.63567999999998</v>
      </c>
      <c r="K6" s="10">
        <v>470</v>
      </c>
      <c r="L6" s="10">
        <f t="shared" ref="L6" si="0">K6-J6</f>
        <v>5.3643200000000206</v>
      </c>
    </row>
    <row r="7" spans="1:13" x14ac:dyDescent="0.25">
      <c r="A7" s="130" t="s">
        <v>406</v>
      </c>
      <c r="B7" s="114">
        <v>1</v>
      </c>
      <c r="C7" s="99">
        <v>11000</v>
      </c>
      <c r="D7" s="37">
        <f t="shared" ref="D7" si="1">B7*C7</f>
        <v>11000</v>
      </c>
      <c r="E7" s="39">
        <f>D7*0.1</f>
        <v>1100</v>
      </c>
      <c r="F7" s="98">
        <v>0</v>
      </c>
      <c r="G7" s="131">
        <v>0.2</v>
      </c>
      <c r="H7" s="37">
        <f>G7</f>
        <v>0.2</v>
      </c>
      <c r="I7" s="4">
        <f>H7*$C$2</f>
        <v>1356</v>
      </c>
      <c r="J7" s="51">
        <f>(D7+E7+F7+I7)*$C$3</f>
        <v>464.63567999999998</v>
      </c>
      <c r="K7" s="6"/>
      <c r="L7" s="17"/>
    </row>
    <row r="8" spans="1:13" ht="31.5" x14ac:dyDescent="0.5">
      <c r="A8" s="129" t="s">
        <v>2</v>
      </c>
      <c r="B8" s="123"/>
      <c r="C8" s="124"/>
      <c r="D8" s="32"/>
      <c r="E8" s="92"/>
      <c r="F8" s="123"/>
      <c r="G8" s="124"/>
      <c r="H8" s="32"/>
      <c r="I8" s="2"/>
      <c r="J8" s="52">
        <f>J9</f>
        <v>532.52166</v>
      </c>
      <c r="K8" s="10">
        <f>604-71</f>
        <v>533</v>
      </c>
      <c r="L8" s="10">
        <f t="shared" ref="L8" si="2">K8-J8</f>
        <v>0.47834000000000287</v>
      </c>
      <c r="M8" s="133" t="s">
        <v>420</v>
      </c>
    </row>
    <row r="9" spans="1:13" x14ac:dyDescent="0.25">
      <c r="A9" s="39" t="s">
        <v>320</v>
      </c>
      <c r="B9" s="98">
        <v>2</v>
      </c>
      <c r="C9" s="99">
        <v>3100</v>
      </c>
      <c r="D9" s="37">
        <f t="shared" ref="D9" si="3">B9*C9</f>
        <v>6200</v>
      </c>
      <c r="E9" s="39">
        <f>D9*0.1</f>
        <v>620</v>
      </c>
      <c r="F9" s="98">
        <v>2500</v>
      </c>
      <c r="G9" s="99">
        <v>0.45</v>
      </c>
      <c r="H9" s="37">
        <f>G9*B9</f>
        <v>0.9</v>
      </c>
      <c r="I9" s="4">
        <f>H9*$C$2</f>
        <v>6102</v>
      </c>
      <c r="J9" s="51">
        <f>(D9+E9+F9+I9)*$C$3</f>
        <v>532.52166</v>
      </c>
      <c r="K9" s="6"/>
      <c r="L9" s="17"/>
    </row>
    <row r="10" spans="1:13" ht="31.5" x14ac:dyDescent="0.5">
      <c r="A10" s="129" t="s">
        <v>407</v>
      </c>
      <c r="B10" s="123"/>
      <c r="C10" s="124"/>
      <c r="D10" s="32"/>
      <c r="E10" s="92"/>
      <c r="F10" s="123"/>
      <c r="G10" s="124"/>
      <c r="H10" s="32"/>
      <c r="I10" s="2"/>
      <c r="J10" s="52">
        <f>J11</f>
        <v>304.07117999999997</v>
      </c>
      <c r="K10" s="10">
        <v>310</v>
      </c>
      <c r="L10" s="10">
        <f t="shared" ref="L10" si="4">K10-J10</f>
        <v>5.9288200000000302</v>
      </c>
    </row>
    <row r="11" spans="1:13" x14ac:dyDescent="0.25">
      <c r="A11" s="130" t="s">
        <v>417</v>
      </c>
      <c r="B11" s="98">
        <v>1</v>
      </c>
      <c r="C11" s="99">
        <v>4500</v>
      </c>
      <c r="D11" s="37">
        <f t="shared" ref="D11" si="5">B11*C11</f>
        <v>4500</v>
      </c>
      <c r="E11" s="39">
        <f>D11*0.1</f>
        <v>450</v>
      </c>
      <c r="F11" s="98">
        <v>2500</v>
      </c>
      <c r="G11" s="99">
        <v>0.2</v>
      </c>
      <c r="H11" s="37">
        <f>G11</f>
        <v>0.2</v>
      </c>
      <c r="I11" s="4">
        <f>H11*$C$2</f>
        <v>1356</v>
      </c>
      <c r="J11" s="51">
        <f>(D11+E11+F11+I11)*$C$3</f>
        <v>304.07117999999997</v>
      </c>
      <c r="K11" s="6"/>
      <c r="L11" s="17"/>
    </row>
    <row r="12" spans="1:13" ht="31.5" x14ac:dyDescent="0.5">
      <c r="A12" s="129" t="s">
        <v>408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323.06268</v>
      </c>
      <c r="K12" s="10">
        <v>327</v>
      </c>
      <c r="L12" s="10">
        <f t="shared" ref="L12" si="6">K12-J12</f>
        <v>3.9373199999999997</v>
      </c>
    </row>
    <row r="13" spans="1:13" x14ac:dyDescent="0.25">
      <c r="A13" s="130" t="s">
        <v>409</v>
      </c>
      <c r="B13" s="98">
        <v>1</v>
      </c>
      <c r="C13" s="99">
        <v>5000</v>
      </c>
      <c r="D13" s="37">
        <f t="shared" ref="D13" si="7">B13*C13</f>
        <v>5000</v>
      </c>
      <c r="E13" s="39">
        <f>D13*0.1</f>
        <v>500</v>
      </c>
      <c r="F13" s="98">
        <v>2500</v>
      </c>
      <c r="G13" s="99">
        <v>0.2</v>
      </c>
      <c r="H13" s="37">
        <f>G13</f>
        <v>0.2</v>
      </c>
      <c r="I13" s="4">
        <f>H13*$C$2</f>
        <v>1356</v>
      </c>
      <c r="J13" s="51">
        <f>(D13+E13+F13+I13)*$C$3</f>
        <v>323.06268</v>
      </c>
      <c r="K13" s="6"/>
      <c r="L13" s="17"/>
    </row>
    <row r="14" spans="1:13" ht="31.5" x14ac:dyDescent="0.5">
      <c r="A14" s="129" t="s">
        <v>410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1387.62258</v>
      </c>
      <c r="K14" s="10">
        <v>1403</v>
      </c>
      <c r="L14" s="10">
        <f t="shared" ref="L14" si="8">K14-J14</f>
        <v>15.377420000000029</v>
      </c>
    </row>
    <row r="15" spans="1:13" x14ac:dyDescent="0.25">
      <c r="A15" s="130" t="s">
        <v>411</v>
      </c>
      <c r="B15" s="98">
        <v>1</v>
      </c>
      <c r="C15" s="99">
        <v>28000</v>
      </c>
      <c r="D15" s="37">
        <f t="shared" ref="D15" si="9">B15*C15</f>
        <v>28000</v>
      </c>
      <c r="E15" s="39">
        <f>D15*0.1</f>
        <v>2800</v>
      </c>
      <c r="F15" s="98">
        <f>2500/2</f>
        <v>1250</v>
      </c>
      <c r="G15" s="99">
        <f>1.2</f>
        <v>1.2</v>
      </c>
      <c r="H15" s="37">
        <f>G15</f>
        <v>1.2</v>
      </c>
      <c r="I15" s="4">
        <f>H15*$C$2</f>
        <v>8136</v>
      </c>
      <c r="J15" s="51">
        <f>(D15+E15+F15+I15)*$C$3</f>
        <v>1387.62258</v>
      </c>
      <c r="K15" s="6"/>
      <c r="L15" s="17"/>
    </row>
    <row r="16" spans="1:13" ht="31.5" x14ac:dyDescent="0.5">
      <c r="A16" s="129" t="s">
        <v>412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1387.62258</v>
      </c>
      <c r="K16" s="10">
        <v>1403</v>
      </c>
      <c r="L16" s="10">
        <f t="shared" ref="L16" si="10">K16-J16</f>
        <v>15.377420000000029</v>
      </c>
    </row>
    <row r="17" spans="1:12" x14ac:dyDescent="0.25">
      <c r="A17" s="130" t="s">
        <v>411</v>
      </c>
      <c r="B17" s="98">
        <v>1</v>
      </c>
      <c r="C17" s="99">
        <v>28000</v>
      </c>
      <c r="D17" s="37">
        <f t="shared" ref="D17" si="11">B17*C17</f>
        <v>28000</v>
      </c>
      <c r="E17" s="39">
        <f>D17*0.1</f>
        <v>2800</v>
      </c>
      <c r="F17" s="98">
        <f>2500/2</f>
        <v>1250</v>
      </c>
      <c r="G17" s="99">
        <f>1.2</f>
        <v>1.2</v>
      </c>
      <c r="H17" s="37">
        <f>G17</f>
        <v>1.2</v>
      </c>
      <c r="I17" s="4">
        <f>H17*$C$2</f>
        <v>8136</v>
      </c>
      <c r="J17" s="51">
        <f>(D17+E17+F17+I17)*$C$3</f>
        <v>1387.62258</v>
      </c>
      <c r="K17" s="6"/>
      <c r="L17" s="17"/>
    </row>
    <row r="18" spans="1:12" ht="31.5" x14ac:dyDescent="0.5">
      <c r="A18" s="129" t="s">
        <v>193</v>
      </c>
      <c r="B18" s="123"/>
      <c r="C18" s="124"/>
      <c r="D18" s="32"/>
      <c r="E18" s="92"/>
      <c r="F18" s="123"/>
      <c r="G18" s="124"/>
      <c r="H18" s="32"/>
      <c r="I18" s="2"/>
      <c r="J18" s="52">
        <f>SUM(J19:J20)</f>
        <v>321.86563999999998</v>
      </c>
      <c r="K18" s="10">
        <v>316</v>
      </c>
      <c r="L18" s="10">
        <f t="shared" ref="L18" si="12">K18-J18</f>
        <v>-5.8656399999999849</v>
      </c>
    </row>
    <row r="19" spans="1:12" x14ac:dyDescent="0.25">
      <c r="A19" s="39" t="s">
        <v>413</v>
      </c>
      <c r="B19" s="98">
        <v>1</v>
      </c>
      <c r="C19" s="99">
        <v>500</v>
      </c>
      <c r="D19" s="37">
        <f t="shared" ref="D19:D20" si="13">B19*C19</f>
        <v>500</v>
      </c>
      <c r="E19" s="39">
        <f>D19*0.1</f>
        <v>50</v>
      </c>
      <c r="F19" s="98">
        <v>2500</v>
      </c>
      <c r="G19" s="99">
        <v>0.2</v>
      </c>
      <c r="H19" s="37">
        <f>G19*B19</f>
        <v>0.2</v>
      </c>
      <c r="I19" s="4">
        <f>H19*$C$2</f>
        <v>1356</v>
      </c>
      <c r="J19" s="51">
        <f>(D19+E19+F19+I19)*$C$3</f>
        <v>152.13917999999998</v>
      </c>
      <c r="K19" s="6"/>
      <c r="L19" s="17"/>
    </row>
    <row r="20" spans="1:12" x14ac:dyDescent="0.25">
      <c r="A20" s="39" t="s">
        <v>67</v>
      </c>
      <c r="B20" s="98">
        <v>1</v>
      </c>
      <c r="C20" s="99">
        <f>9900/3</f>
        <v>3300</v>
      </c>
      <c r="D20" s="37">
        <f t="shared" si="13"/>
        <v>3300</v>
      </c>
      <c r="E20" s="39">
        <f t="shared" ref="E20" si="14">D20*0.1</f>
        <v>330</v>
      </c>
      <c r="F20" s="98">
        <f>2500/3</f>
        <v>833.33333333333337</v>
      </c>
      <c r="G20" s="99">
        <f>0.2/3</f>
        <v>6.6666666666666666E-2</v>
      </c>
      <c r="H20" s="37">
        <f t="shared" ref="H20" si="15">G20*B20</f>
        <v>6.6666666666666666E-2</v>
      </c>
      <c r="I20" s="4">
        <f t="shared" ref="I20" si="16">H20*$C$2</f>
        <v>452</v>
      </c>
      <c r="J20" s="51">
        <f t="shared" ref="J20" si="17">(D20+E20+F20+I20)*$C$3</f>
        <v>169.72645999999997</v>
      </c>
      <c r="K20" s="6"/>
      <c r="L20" s="17"/>
    </row>
    <row r="21" spans="1:12" ht="31.5" x14ac:dyDescent="0.5">
      <c r="A21" s="129" t="s">
        <v>346</v>
      </c>
      <c r="B21" s="123"/>
      <c r="C21" s="124"/>
      <c r="D21" s="32"/>
      <c r="E21" s="92"/>
      <c r="F21" s="123"/>
      <c r="G21" s="124"/>
      <c r="H21" s="32"/>
      <c r="I21" s="2"/>
      <c r="J21" s="52">
        <f>SUM(J22:J23)</f>
        <v>604.28881200000001</v>
      </c>
      <c r="K21" s="10">
        <v>612</v>
      </c>
      <c r="L21" s="10">
        <f t="shared" ref="L21" si="18">K21-J21</f>
        <v>7.7111879999999928</v>
      </c>
    </row>
    <row r="22" spans="1:12" x14ac:dyDescent="0.25">
      <c r="A22" s="130" t="s">
        <v>414</v>
      </c>
      <c r="B22" s="98">
        <v>1</v>
      </c>
      <c r="C22" s="99">
        <v>8300</v>
      </c>
      <c r="D22" s="37">
        <f t="shared" ref="D22:D23" si="19">B22*C22</f>
        <v>8300</v>
      </c>
      <c r="E22" s="39">
        <f>D22*0.1</f>
        <v>830</v>
      </c>
      <c r="F22" s="98">
        <v>0</v>
      </c>
      <c r="G22" s="99">
        <v>0.09</v>
      </c>
      <c r="H22" s="37">
        <f>G22*B22</f>
        <v>0.09</v>
      </c>
      <c r="I22" s="4">
        <f>H22*$C$2</f>
        <v>610.19999999999993</v>
      </c>
      <c r="J22" s="51">
        <f>(D22+E22+F22+I22)*$C$3</f>
        <v>336.32910600000002</v>
      </c>
      <c r="K22" s="6"/>
      <c r="L22" s="17"/>
    </row>
    <row r="23" spans="1:12" x14ac:dyDescent="0.25">
      <c r="A23" s="39" t="s">
        <v>415</v>
      </c>
      <c r="B23" s="98">
        <v>1</v>
      </c>
      <c r="C23" s="99">
        <v>6500</v>
      </c>
      <c r="D23" s="37">
        <f t="shared" si="19"/>
        <v>6500</v>
      </c>
      <c r="E23" s="39">
        <f t="shared" ref="E23:E26" si="20">D23*0.1</f>
        <v>650</v>
      </c>
      <c r="F23" s="98">
        <v>0</v>
      </c>
      <c r="G23" s="99">
        <v>0.09</v>
      </c>
      <c r="H23" s="37">
        <f t="shared" ref="H23" si="21">G23*B23</f>
        <v>0.09</v>
      </c>
      <c r="I23" s="4">
        <f t="shared" ref="I23" si="22">H23*$C$2</f>
        <v>610.19999999999993</v>
      </c>
      <c r="J23" s="51">
        <f t="shared" ref="J23" si="23">(D23+E23+F23+I23)*$C$3</f>
        <v>267.95970599999998</v>
      </c>
      <c r="K23" s="6"/>
      <c r="L23" s="17"/>
    </row>
    <row r="24" spans="1:12" ht="31.5" x14ac:dyDescent="0.5">
      <c r="A24" s="129" t="s">
        <v>382</v>
      </c>
      <c r="B24" s="123"/>
      <c r="C24" s="124"/>
      <c r="D24" s="32"/>
      <c r="E24" s="92"/>
      <c r="F24" s="123"/>
      <c r="G24" s="124"/>
      <c r="H24" s="32"/>
      <c r="I24" s="2"/>
      <c r="J24" s="52">
        <f>J26+J25</f>
        <v>843.04649699999993</v>
      </c>
      <c r="K24" s="10">
        <f>130+728</f>
        <v>858</v>
      </c>
      <c r="L24" s="10">
        <f>K24-J24</f>
        <v>14.953503000000069</v>
      </c>
    </row>
    <row r="25" spans="1:12" x14ac:dyDescent="0.25">
      <c r="A25" s="130" t="s">
        <v>418</v>
      </c>
      <c r="B25" s="98">
        <v>1</v>
      </c>
      <c r="C25" s="99">
        <f>9900/2</f>
        <v>4950</v>
      </c>
      <c r="D25" s="37">
        <f t="shared" ref="D25:D26" si="24">B25*C25</f>
        <v>4950</v>
      </c>
      <c r="E25" s="39">
        <f t="shared" si="20"/>
        <v>495</v>
      </c>
      <c r="F25" s="98">
        <v>0</v>
      </c>
      <c r="G25" s="99">
        <f>0.53/2</f>
        <v>0.26500000000000001</v>
      </c>
      <c r="H25" s="37">
        <f>G25</f>
        <v>0.26500000000000001</v>
      </c>
      <c r="I25" s="4">
        <f>H25*$C$2</f>
        <v>1796.7</v>
      </c>
      <c r="J25" s="51">
        <f>(D25+E25+F25+I25)*$C$3</f>
        <v>250.05590099999998</v>
      </c>
      <c r="K25" s="6"/>
      <c r="L25" s="17"/>
    </row>
    <row r="26" spans="1:12" ht="15.75" thickBot="1" x14ac:dyDescent="0.3">
      <c r="A26" s="39" t="s">
        <v>416</v>
      </c>
      <c r="B26" s="102">
        <v>1</v>
      </c>
      <c r="C26" s="103">
        <v>12900</v>
      </c>
      <c r="D26" s="37">
        <f t="shared" si="24"/>
        <v>12900</v>
      </c>
      <c r="E26" s="39">
        <f t="shared" si="20"/>
        <v>1290</v>
      </c>
      <c r="F26" s="102">
        <v>0</v>
      </c>
      <c r="G26" s="103">
        <v>0.44</v>
      </c>
      <c r="H26" s="37">
        <f>G26</f>
        <v>0.44</v>
      </c>
      <c r="I26" s="4">
        <f>H26*$C$2</f>
        <v>2983.2</v>
      </c>
      <c r="J26" s="51">
        <f>(D26+E26+F26+I26)*$C$3</f>
        <v>592.99059599999998</v>
      </c>
      <c r="K26" s="6"/>
      <c r="L26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workbookViewId="0">
      <selection activeCell="A5" sqref="A5:XFD24"/>
    </sheetView>
  </sheetViews>
  <sheetFormatPr defaultRowHeight="15" x14ac:dyDescent="0.25"/>
  <cols>
    <col min="1" max="1" width="33" customWidth="1"/>
    <col min="3" max="3" width="17.7109375" customWidth="1"/>
    <col min="10" max="10" width="10.7109375" customWidth="1"/>
    <col min="11" max="11" width="9.5703125" bestFit="1" customWidth="1"/>
    <col min="12" max="12" width="11.42578125" customWidth="1"/>
  </cols>
  <sheetData>
    <row r="1" spans="1:13" ht="21" x14ac:dyDescent="0.35">
      <c r="A1" s="55" t="s">
        <v>281</v>
      </c>
      <c r="B1" s="4"/>
      <c r="C1" s="15">
        <v>41817</v>
      </c>
      <c r="D1" s="30"/>
    </row>
    <row r="2" spans="1:13" ht="21" x14ac:dyDescent="0.35">
      <c r="A2" s="55" t="s">
        <v>239</v>
      </c>
      <c r="B2" s="4"/>
      <c r="C2" s="16">
        <v>7420</v>
      </c>
      <c r="D2" s="30"/>
    </row>
    <row r="3" spans="1:13" ht="21" x14ac:dyDescent="0.35">
      <c r="A3" s="55" t="s">
        <v>240</v>
      </c>
      <c r="B3" s="4"/>
      <c r="C3" s="16">
        <v>3.3779999999999998E-2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29" t="s">
        <v>165</v>
      </c>
      <c r="B6" s="123"/>
      <c r="C6" s="124"/>
      <c r="D6" s="32"/>
      <c r="E6" s="92"/>
      <c r="F6" s="123"/>
      <c r="G6" s="124"/>
      <c r="H6" s="32"/>
      <c r="I6" s="2"/>
      <c r="J6" s="52">
        <f>J7</f>
        <v>1723.6853039999999</v>
      </c>
      <c r="K6" s="10">
        <v>1739</v>
      </c>
      <c r="L6" s="10">
        <f t="shared" ref="L6" si="0">K6-J6</f>
        <v>15.31469600000014</v>
      </c>
    </row>
    <row r="7" spans="1:13" x14ac:dyDescent="0.25">
      <c r="A7" s="39" t="s">
        <v>421</v>
      </c>
      <c r="B7" s="98">
        <v>1</v>
      </c>
      <c r="C7" s="99">
        <v>36000</v>
      </c>
      <c r="D7" s="37">
        <f t="shared" ref="D7" si="1">B7*C7</f>
        <v>36000</v>
      </c>
      <c r="E7" s="39">
        <f>D7*0.1</f>
        <v>3600</v>
      </c>
      <c r="F7" s="98">
        <v>0</v>
      </c>
      <c r="G7" s="99">
        <v>1.54</v>
      </c>
      <c r="H7" s="37">
        <f>G7</f>
        <v>1.54</v>
      </c>
      <c r="I7" s="4">
        <f>H7*$C$2</f>
        <v>11426.800000000001</v>
      </c>
      <c r="J7" s="51">
        <f>(D7+E7+F7+I7)*$C$3</f>
        <v>1723.6853039999999</v>
      </c>
      <c r="K7" s="6"/>
      <c r="L7" s="17"/>
    </row>
    <row r="8" spans="1:13" ht="31.5" x14ac:dyDescent="0.5">
      <c r="A8" s="129" t="s">
        <v>346</v>
      </c>
      <c r="B8" s="123"/>
      <c r="C8" s="124"/>
      <c r="D8" s="32"/>
      <c r="E8" s="92"/>
      <c r="F8" s="123"/>
      <c r="G8" s="124"/>
      <c r="H8" s="32"/>
      <c r="I8" s="2"/>
      <c r="J8" s="52">
        <f>J9</f>
        <v>264.085284</v>
      </c>
      <c r="K8" s="10">
        <v>258</v>
      </c>
      <c r="L8" s="10">
        <f t="shared" ref="L8" si="2">K8-J8</f>
        <v>-6.0852840000000015</v>
      </c>
      <c r="M8" s="133"/>
    </row>
    <row r="9" spans="1:13" x14ac:dyDescent="0.25">
      <c r="A9" s="130" t="s">
        <v>422</v>
      </c>
      <c r="B9" s="98">
        <v>1</v>
      </c>
      <c r="C9" s="99">
        <v>6500</v>
      </c>
      <c r="D9" s="37">
        <f t="shared" ref="D9" si="3">B9*C9</f>
        <v>6500</v>
      </c>
      <c r="E9" s="39">
        <f>D9*0.1</f>
        <v>650</v>
      </c>
      <c r="F9" s="98">
        <v>0</v>
      </c>
      <c r="G9" s="99">
        <v>0.09</v>
      </c>
      <c r="H9" s="37">
        <f>G9*B9</f>
        <v>0.09</v>
      </c>
      <c r="I9" s="4">
        <f>H9*$C$2</f>
        <v>667.8</v>
      </c>
      <c r="J9" s="51">
        <f>(D9+E9+F9+I9)*$C$3</f>
        <v>264.085284</v>
      </c>
      <c r="K9" s="6"/>
      <c r="L9" s="17"/>
    </row>
    <row r="10" spans="1:13" ht="31.5" x14ac:dyDescent="0.5">
      <c r="A10" s="129" t="s">
        <v>2</v>
      </c>
      <c r="B10" s="123"/>
      <c r="C10" s="124"/>
      <c r="D10" s="32"/>
      <c r="E10" s="92"/>
      <c r="F10" s="123"/>
      <c r="G10" s="124"/>
      <c r="H10" s="32"/>
      <c r="I10" s="2"/>
      <c r="J10" s="52">
        <f>J11</f>
        <v>780.04775999999993</v>
      </c>
      <c r="K10" s="10">
        <v>787</v>
      </c>
      <c r="L10" s="10">
        <f t="shared" ref="L10" si="4">K10-J10</f>
        <v>6.9522400000000744</v>
      </c>
    </row>
    <row r="11" spans="1:13" x14ac:dyDescent="0.25">
      <c r="A11" s="39" t="s">
        <v>423</v>
      </c>
      <c r="B11" s="134">
        <v>1</v>
      </c>
      <c r="C11" s="135">
        <v>15010</v>
      </c>
      <c r="D11" s="37">
        <f t="shared" ref="D11" si="5">B11*C11</f>
        <v>15010</v>
      </c>
      <c r="E11" s="39">
        <f>D11*0.1</f>
        <v>1501</v>
      </c>
      <c r="F11" s="98">
        <v>2500</v>
      </c>
      <c r="G11" s="99">
        <v>0.55000000000000004</v>
      </c>
      <c r="H11" s="37">
        <f>G11</f>
        <v>0.55000000000000004</v>
      </c>
      <c r="I11" s="4">
        <f>H11*$C$2</f>
        <v>4081.0000000000005</v>
      </c>
      <c r="J11" s="51">
        <f>(D11+E11+F11+I11)*$C$3</f>
        <v>780.04775999999993</v>
      </c>
      <c r="K11" s="6"/>
      <c r="L11" s="17"/>
    </row>
    <row r="12" spans="1:13" ht="31.5" x14ac:dyDescent="0.5">
      <c r="A12" s="129" t="s">
        <v>39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772.75127999999995</v>
      </c>
      <c r="K12" s="10">
        <v>797</v>
      </c>
      <c r="L12" s="10">
        <f t="shared" ref="L12" si="6">K12-J12</f>
        <v>24.248720000000048</v>
      </c>
    </row>
    <row r="13" spans="1:13" x14ac:dyDescent="0.25">
      <c r="A13" s="39" t="s">
        <v>424</v>
      </c>
      <c r="B13" s="134">
        <v>1</v>
      </c>
      <c r="C13" s="135">
        <v>15400</v>
      </c>
      <c r="D13" s="37">
        <f t="shared" ref="D13" si="7">B13*C13</f>
        <v>15400</v>
      </c>
      <c r="E13" s="39">
        <f>D13*0.1</f>
        <v>1540</v>
      </c>
      <c r="F13" s="98">
        <v>0</v>
      </c>
      <c r="G13" s="99">
        <v>0.8</v>
      </c>
      <c r="H13" s="37">
        <f>G13</f>
        <v>0.8</v>
      </c>
      <c r="I13" s="4">
        <f>H13*$C$2</f>
        <v>5936</v>
      </c>
      <c r="J13" s="51">
        <f>(D13+E13+F13+I13)*$C$3</f>
        <v>772.75127999999995</v>
      </c>
      <c r="K13" s="6"/>
      <c r="L13" s="17"/>
    </row>
    <row r="14" spans="1:13" ht="31.5" x14ac:dyDescent="0.5">
      <c r="A14" s="129" t="s">
        <v>425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425.513148</v>
      </c>
      <c r="K14" s="10">
        <v>429</v>
      </c>
      <c r="L14" s="10">
        <f t="shared" ref="L14" si="8">K14-J14</f>
        <v>3.486851999999999</v>
      </c>
    </row>
    <row r="15" spans="1:13" x14ac:dyDescent="0.25">
      <c r="A15" s="39" t="s">
        <v>426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99">
        <v>0.23</v>
      </c>
      <c r="H15" s="37">
        <f>G15</f>
        <v>0.23</v>
      </c>
      <c r="I15" s="4">
        <f>H15*$C$2</f>
        <v>1706.6000000000001</v>
      </c>
      <c r="J15" s="51">
        <f>(D15+E15+F15+I15)*$C$3</f>
        <v>425.513148</v>
      </c>
      <c r="K15" s="6"/>
      <c r="L15" s="17"/>
    </row>
    <row r="16" spans="1:13" ht="31.5" x14ac:dyDescent="0.5">
      <c r="A16" s="129" t="s">
        <v>427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417.24380399999995</v>
      </c>
      <c r="K16" s="10">
        <v>450</v>
      </c>
      <c r="L16" s="10">
        <f t="shared" ref="L16" si="10">K16-J16</f>
        <v>32.756196000000045</v>
      </c>
    </row>
    <row r="17" spans="1:13" x14ac:dyDescent="0.25">
      <c r="A17" s="39" t="s">
        <v>428</v>
      </c>
      <c r="B17" s="98">
        <v>1</v>
      </c>
      <c r="C17" s="99">
        <v>5900</v>
      </c>
      <c r="D17" s="37">
        <f t="shared" ref="D17" si="11">B17*C17</f>
        <v>5900</v>
      </c>
      <c r="E17" s="39">
        <f>D17*0.1</f>
        <v>590</v>
      </c>
      <c r="F17" s="98">
        <v>0</v>
      </c>
      <c r="G17" s="99">
        <v>0.79</v>
      </c>
      <c r="H17" s="37">
        <f>G17</f>
        <v>0.79</v>
      </c>
      <c r="I17" s="4">
        <f>H17*$C$2</f>
        <v>5861.8</v>
      </c>
      <c r="J17" s="51">
        <f>(D17+E17+F17+I17)*$C$3</f>
        <v>417.24380399999995</v>
      </c>
      <c r="K17" s="6"/>
      <c r="L17" s="17"/>
    </row>
    <row r="18" spans="1:13" ht="31.5" x14ac:dyDescent="0.5">
      <c r="A18" s="142" t="s">
        <v>429</v>
      </c>
      <c r="B18" s="123"/>
      <c r="C18" s="124"/>
      <c r="D18" s="32"/>
      <c r="E18" s="92"/>
      <c r="F18" s="123"/>
      <c r="G18" s="124"/>
      <c r="H18" s="32"/>
      <c r="I18" s="2"/>
      <c r="J18" s="52">
        <f>SUM(J19:J20)</f>
        <v>335.00977199999994</v>
      </c>
      <c r="K18" s="10">
        <v>550</v>
      </c>
      <c r="L18" s="10">
        <f t="shared" ref="L18" si="12">K18-J18</f>
        <v>214.99022800000006</v>
      </c>
    </row>
    <row r="19" spans="1:13" x14ac:dyDescent="0.25">
      <c r="A19" s="39" t="s">
        <v>430</v>
      </c>
      <c r="B19" s="118"/>
      <c r="C19" s="143"/>
      <c r="D19" s="144"/>
      <c r="E19" s="143"/>
      <c r="F19" s="118"/>
      <c r="G19" s="143"/>
      <c r="H19" s="144"/>
      <c r="I19" s="18"/>
      <c r="J19" s="78"/>
      <c r="K19" s="6"/>
      <c r="L19" s="17"/>
    </row>
    <row r="20" spans="1:13" x14ac:dyDescent="0.25">
      <c r="A20" s="39" t="s">
        <v>431</v>
      </c>
      <c r="B20" s="98">
        <v>1</v>
      </c>
      <c r="C20" s="99">
        <v>4800</v>
      </c>
      <c r="D20" s="37">
        <f t="shared" ref="D20" si="13">B20*C20</f>
        <v>4800</v>
      </c>
      <c r="E20" s="39">
        <f t="shared" ref="E20" si="14">D20*0.1</f>
        <v>480</v>
      </c>
      <c r="F20" s="98">
        <f>2300/2</f>
        <v>1150</v>
      </c>
      <c r="G20" s="99">
        <v>0.47</v>
      </c>
      <c r="H20" s="37">
        <f t="shared" ref="H20" si="15">G20*B20</f>
        <v>0.47</v>
      </c>
      <c r="I20" s="4">
        <f t="shared" ref="I20" si="16">H20*$C$2</f>
        <v>3487.3999999999996</v>
      </c>
      <c r="J20" s="51">
        <f t="shared" ref="J20" si="17">(D20+E20+F20+I20)*$C$3</f>
        <v>335.00977199999994</v>
      </c>
      <c r="K20" s="6"/>
      <c r="L20" s="17"/>
    </row>
    <row r="21" spans="1:13" ht="31.5" x14ac:dyDescent="0.5">
      <c r="A21" s="129" t="s">
        <v>331</v>
      </c>
      <c r="B21" s="123"/>
      <c r="C21" s="124"/>
      <c r="D21" s="32"/>
      <c r="E21" s="92"/>
      <c r="F21" s="123"/>
      <c r="G21" s="124"/>
      <c r="H21" s="32"/>
      <c r="I21" s="2"/>
      <c r="J21" s="52">
        <f>J24+J22+J23</f>
        <v>2565.6990959999998</v>
      </c>
      <c r="K21" s="10">
        <f>789+2088</f>
        <v>2877</v>
      </c>
      <c r="L21" s="10">
        <f>K21-J21</f>
        <v>311.30090400000017</v>
      </c>
      <c r="M21" s="132" t="s">
        <v>435</v>
      </c>
    </row>
    <row r="22" spans="1:13" x14ac:dyDescent="0.25">
      <c r="A22" s="130" t="s">
        <v>432</v>
      </c>
      <c r="B22" s="136">
        <v>1</v>
      </c>
      <c r="C22" s="137">
        <v>18400</v>
      </c>
      <c r="D22" s="37">
        <f t="shared" ref="D22" si="18">B22*C22</f>
        <v>18400</v>
      </c>
      <c r="E22" s="39">
        <f t="shared" ref="E22" si="19">D22*0.1</f>
        <v>1840</v>
      </c>
      <c r="F22" s="114">
        <v>0</v>
      </c>
      <c r="G22" s="137">
        <v>0.54</v>
      </c>
      <c r="H22" s="37">
        <f>G22</f>
        <v>0.54</v>
      </c>
      <c r="I22" s="4">
        <f>H22*$C$2</f>
        <v>4006.8</v>
      </c>
      <c r="J22" s="51">
        <f>(D22+E22+F22+I22)*$C$3</f>
        <v>819.05690399999992</v>
      </c>
      <c r="K22" s="6"/>
      <c r="L22" s="17"/>
    </row>
    <row r="23" spans="1:13" x14ac:dyDescent="0.25">
      <c r="A23" s="130" t="s">
        <v>433</v>
      </c>
      <c r="B23" s="136">
        <v>1</v>
      </c>
      <c r="C23" s="137">
        <v>18400</v>
      </c>
      <c r="D23" s="37">
        <f t="shared" ref="D23:D24" si="20">B23*C23</f>
        <v>18400</v>
      </c>
      <c r="E23" s="39">
        <f t="shared" ref="E23:E24" si="21">D23*0.1</f>
        <v>1840</v>
      </c>
      <c r="F23" s="114">
        <v>0</v>
      </c>
      <c r="G23" s="137">
        <v>0.48</v>
      </c>
      <c r="H23" s="37">
        <f t="shared" ref="H23:H24" si="22">G23</f>
        <v>0.48</v>
      </c>
      <c r="I23" s="4">
        <f t="shared" ref="I23:I24" si="23">H23*$C$2</f>
        <v>3561.6</v>
      </c>
      <c r="J23" s="51">
        <f t="shared" ref="J23:J24" si="24">(D23+E23+F23+I23)*$C$3</f>
        <v>804.01804799999991</v>
      </c>
      <c r="K23" s="6"/>
      <c r="L23" s="17"/>
    </row>
    <row r="24" spans="1:13" ht="15.75" thickBot="1" x14ac:dyDescent="0.3">
      <c r="A24" s="130" t="s">
        <v>434</v>
      </c>
      <c r="B24" s="138">
        <v>1</v>
      </c>
      <c r="C24" s="139">
        <v>22400</v>
      </c>
      <c r="D24" s="37">
        <f t="shared" si="20"/>
        <v>22400</v>
      </c>
      <c r="E24" s="39">
        <f t="shared" si="21"/>
        <v>2240</v>
      </c>
      <c r="F24" s="140">
        <v>0</v>
      </c>
      <c r="G24" s="139">
        <v>0.44</v>
      </c>
      <c r="H24" s="37">
        <f t="shared" si="22"/>
        <v>0.44</v>
      </c>
      <c r="I24" s="4">
        <f t="shared" si="23"/>
        <v>3264.8</v>
      </c>
      <c r="J24" s="51">
        <f t="shared" si="24"/>
        <v>942.62414399999989</v>
      </c>
      <c r="K24" s="6"/>
      <c r="L24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topLeftCell="A4" zoomScale="90" zoomScaleNormal="90" workbookViewId="0">
      <selection activeCell="K8" sqref="K8"/>
    </sheetView>
  </sheetViews>
  <sheetFormatPr defaultRowHeight="15" x14ac:dyDescent="0.25"/>
  <cols>
    <col min="1" max="1" width="34.5703125" customWidth="1"/>
    <col min="3" max="3" width="18.42578125" customWidth="1"/>
    <col min="10" max="10" width="10.140625" customWidth="1"/>
    <col min="11" max="11" width="15.42578125" customWidth="1"/>
    <col min="12" max="12" width="10.7109375" customWidth="1"/>
  </cols>
  <sheetData>
    <row r="1" spans="1:13" ht="21" x14ac:dyDescent="0.35">
      <c r="A1" s="55" t="s">
        <v>281</v>
      </c>
      <c r="B1" s="4"/>
      <c r="C1" s="15">
        <v>41834</v>
      </c>
      <c r="D1" s="30"/>
    </row>
    <row r="2" spans="1:13" ht="21" x14ac:dyDescent="0.35">
      <c r="A2" s="55" t="s">
        <v>239</v>
      </c>
      <c r="B2" s="4"/>
      <c r="C2" s="16">
        <v>7550</v>
      </c>
      <c r="D2" s="30"/>
    </row>
    <row r="3" spans="1:13" ht="21" x14ac:dyDescent="0.35">
      <c r="A3" s="55" t="s">
        <v>240</v>
      </c>
      <c r="B3" s="4"/>
      <c r="C3" s="16">
        <v>3.4200000000000001E-2</v>
      </c>
      <c r="D3" s="30"/>
    </row>
    <row r="5" spans="1:13" ht="15.75" thickBot="1" x14ac:dyDescent="0.3"/>
    <row r="6" spans="1:13" ht="60" x14ac:dyDescent="0.25">
      <c r="A6" s="91"/>
      <c r="B6" s="94" t="s">
        <v>3</v>
      </c>
      <c r="C6" s="95" t="s">
        <v>348</v>
      </c>
      <c r="D6" s="93" t="s">
        <v>5</v>
      </c>
      <c r="E6" s="91" t="s">
        <v>401</v>
      </c>
      <c r="F6" s="94" t="s">
        <v>350</v>
      </c>
      <c r="G6" s="95" t="s">
        <v>7</v>
      </c>
      <c r="H6" s="93" t="s">
        <v>10</v>
      </c>
      <c r="I6" s="8" t="s">
        <v>351</v>
      </c>
      <c r="J6" s="49" t="s">
        <v>16</v>
      </c>
      <c r="K6" s="8" t="s">
        <v>143</v>
      </c>
      <c r="L6" s="8" t="s">
        <v>144</v>
      </c>
    </row>
    <row r="7" spans="1:13" ht="31.5" x14ac:dyDescent="0.5">
      <c r="A7" s="129" t="s">
        <v>425</v>
      </c>
      <c r="B7" s="123"/>
      <c r="C7" s="124"/>
      <c r="D7" s="32"/>
      <c r="E7" s="92"/>
      <c r="F7" s="123"/>
      <c r="G7" s="124"/>
      <c r="H7" s="32"/>
      <c r="I7" s="2"/>
      <c r="J7" s="52">
        <f>SUM(J8:J12)</f>
        <v>2219.6484</v>
      </c>
      <c r="K7" s="10">
        <f>2171+71+62</f>
        <v>2304</v>
      </c>
      <c r="L7" s="10">
        <f>K7-J7</f>
        <v>84.351599999999962</v>
      </c>
      <c r="M7" s="132"/>
    </row>
    <row r="8" spans="1:13" x14ac:dyDescent="0.25">
      <c r="A8" s="130" t="s">
        <v>67</v>
      </c>
      <c r="B8" s="136">
        <v>1</v>
      </c>
      <c r="C8" s="137">
        <v>10900</v>
      </c>
      <c r="D8" s="37">
        <f t="shared" ref="D8:D12" si="0">B8*C8</f>
        <v>10900</v>
      </c>
      <c r="E8" s="39">
        <f t="shared" ref="E8:E12" si="1">D8*0.1</f>
        <v>1090</v>
      </c>
      <c r="F8" s="114">
        <v>0</v>
      </c>
      <c r="G8" s="137">
        <v>0.35</v>
      </c>
      <c r="H8" s="37">
        <f>G8</f>
        <v>0.35</v>
      </c>
      <c r="I8" s="4">
        <f>H8*$C$2</f>
        <v>2642.5</v>
      </c>
      <c r="J8" s="51">
        <f>(D8+E8+F8+I8)*$C$3</f>
        <v>500.43150000000003</v>
      </c>
      <c r="K8" s="6"/>
      <c r="L8" s="17"/>
    </row>
    <row r="9" spans="1:13" x14ac:dyDescent="0.25">
      <c r="A9" s="130" t="s">
        <v>199</v>
      </c>
      <c r="B9" s="136">
        <v>1</v>
      </c>
      <c r="C9" s="137">
        <v>7200</v>
      </c>
      <c r="D9" s="37">
        <f t="shared" ref="D9:D10" si="2">B9*C9</f>
        <v>7200</v>
      </c>
      <c r="E9" s="39">
        <f t="shared" ref="E9:E10" si="3">D9*0.1</f>
        <v>720</v>
      </c>
      <c r="F9" s="114">
        <v>0</v>
      </c>
      <c r="G9" s="137">
        <v>0.1</v>
      </c>
      <c r="H9" s="37">
        <f t="shared" ref="H9:H10" si="4">G9</f>
        <v>0.1</v>
      </c>
      <c r="I9" s="4">
        <f t="shared" ref="I9:I10" si="5">H9*$C$2</f>
        <v>755</v>
      </c>
      <c r="J9" s="51">
        <f t="shared" ref="J9:J10" si="6">(D9+E9+F9+I9)*$C$3</f>
        <v>296.685</v>
      </c>
      <c r="K9" s="6"/>
      <c r="L9" s="17"/>
    </row>
    <row r="10" spans="1:13" x14ac:dyDescent="0.25">
      <c r="A10" s="130" t="s">
        <v>437</v>
      </c>
      <c r="B10" s="136">
        <v>1</v>
      </c>
      <c r="C10" s="137">
        <v>7900</v>
      </c>
      <c r="D10" s="37">
        <f t="shared" si="2"/>
        <v>7900</v>
      </c>
      <c r="E10" s="39">
        <f t="shared" si="3"/>
        <v>790</v>
      </c>
      <c r="F10" s="114">
        <v>2500</v>
      </c>
      <c r="G10" s="137">
        <v>0.33</v>
      </c>
      <c r="H10" s="37">
        <f t="shared" si="4"/>
        <v>0.33</v>
      </c>
      <c r="I10" s="4">
        <f t="shared" si="5"/>
        <v>2491.5</v>
      </c>
      <c r="J10" s="51">
        <f t="shared" si="6"/>
        <v>467.90730000000002</v>
      </c>
      <c r="K10" s="6"/>
      <c r="L10" s="17"/>
    </row>
    <row r="11" spans="1:13" x14ac:dyDescent="0.25">
      <c r="A11" s="130" t="s">
        <v>438</v>
      </c>
      <c r="B11" s="145">
        <v>2</v>
      </c>
      <c r="C11" s="137">
        <v>2700</v>
      </c>
      <c r="D11" s="37">
        <f>B11*C11</f>
        <v>5400</v>
      </c>
      <c r="E11" s="39">
        <f>D11*0.1</f>
        <v>540</v>
      </c>
      <c r="F11" s="114">
        <v>2500</v>
      </c>
      <c r="G11" s="137">
        <v>0.15</v>
      </c>
      <c r="H11" s="37">
        <f>G11*B11</f>
        <v>0.3</v>
      </c>
      <c r="I11" s="4">
        <f>H11*$C$2</f>
        <v>2265</v>
      </c>
      <c r="J11" s="51">
        <f>(D11+E11+F11+I11)*$C$3</f>
        <v>366.11099999999999</v>
      </c>
      <c r="K11" s="6"/>
      <c r="L11" s="17"/>
    </row>
    <row r="12" spans="1:13" x14ac:dyDescent="0.25">
      <c r="A12" s="130" t="s">
        <v>105</v>
      </c>
      <c r="B12" s="136">
        <v>1</v>
      </c>
      <c r="C12" s="137">
        <v>11800</v>
      </c>
      <c r="D12" s="37">
        <f t="shared" si="0"/>
        <v>11800</v>
      </c>
      <c r="E12" s="39">
        <f t="shared" si="1"/>
        <v>1180</v>
      </c>
      <c r="F12" s="114">
        <v>0</v>
      </c>
      <c r="G12" s="137">
        <v>0.56000000000000005</v>
      </c>
      <c r="H12" s="37">
        <f t="shared" ref="H12" si="7">G12</f>
        <v>0.56000000000000005</v>
      </c>
      <c r="I12" s="4">
        <f t="shared" ref="I12" si="8">H12*$C$2</f>
        <v>4228</v>
      </c>
      <c r="J12" s="51">
        <f t="shared" ref="J12" si="9">(D12+E12+F12+I12)*$C$3</f>
        <v>588.5136</v>
      </c>
      <c r="K12" s="6"/>
      <c r="L12" s="17"/>
    </row>
    <row r="13" spans="1:13" ht="31.5" x14ac:dyDescent="0.5">
      <c r="A13" s="129" t="s">
        <v>331</v>
      </c>
      <c r="B13" s="146"/>
      <c r="C13" s="147"/>
      <c r="D13" s="32"/>
      <c r="E13" s="92"/>
      <c r="F13" s="146"/>
      <c r="G13" s="147"/>
      <c r="H13" s="32"/>
      <c r="I13" s="2"/>
      <c r="J13" s="52">
        <f>J16+J14+J15</f>
        <v>2418.4187999999999</v>
      </c>
      <c r="K13" s="10">
        <f>2350+49</f>
        <v>2399</v>
      </c>
      <c r="L13" s="10">
        <f>K13-J13</f>
        <v>-19.418799999999919</v>
      </c>
      <c r="M13" s="132"/>
    </row>
    <row r="14" spans="1:13" x14ac:dyDescent="0.25">
      <c r="A14" s="130" t="s">
        <v>439</v>
      </c>
      <c r="B14" s="98">
        <v>1</v>
      </c>
      <c r="C14" s="99">
        <f>19900+9800</f>
        <v>29700</v>
      </c>
      <c r="D14" s="37">
        <f t="shared" ref="D14:D16" si="10">B14*C14</f>
        <v>29700</v>
      </c>
      <c r="E14" s="39">
        <f t="shared" ref="E14:E16" si="11">D14*0.1</f>
        <v>2970</v>
      </c>
      <c r="F14" s="98">
        <v>2500</v>
      </c>
      <c r="G14" s="99">
        <v>0.4</v>
      </c>
      <c r="H14" s="37">
        <f>G14</f>
        <v>0.4</v>
      </c>
      <c r="I14" s="4">
        <f>H14*$C$2</f>
        <v>3020</v>
      </c>
      <c r="J14" s="51">
        <f>(D14+E14+F14+I14)*$C$3</f>
        <v>1306.098</v>
      </c>
      <c r="K14" s="6"/>
      <c r="L14" s="17"/>
    </row>
    <row r="15" spans="1:13" x14ac:dyDescent="0.25">
      <c r="A15" s="130" t="s">
        <v>440</v>
      </c>
      <c r="B15" s="98">
        <v>1</v>
      </c>
      <c r="C15" s="99">
        <f>19900-5000</f>
        <v>14900</v>
      </c>
      <c r="D15" s="37">
        <f t="shared" si="10"/>
        <v>14900</v>
      </c>
      <c r="E15" s="39">
        <f t="shared" si="11"/>
        <v>1490</v>
      </c>
      <c r="F15" s="98">
        <v>0</v>
      </c>
      <c r="G15" s="99">
        <v>0.4</v>
      </c>
      <c r="H15" s="37">
        <f t="shared" ref="H15:H16" si="12">G15</f>
        <v>0.4</v>
      </c>
      <c r="I15" s="4">
        <f t="shared" ref="I15:I16" si="13">H15*$C$2</f>
        <v>3020</v>
      </c>
      <c r="J15" s="51">
        <f t="shared" ref="J15:J16" si="14">(D15+E15+F15+I15)*$C$3</f>
        <v>663.822</v>
      </c>
      <c r="K15" s="6"/>
      <c r="L15" s="17"/>
    </row>
    <row r="16" spans="1:13" x14ac:dyDescent="0.25">
      <c r="A16" s="39" t="s">
        <v>57</v>
      </c>
      <c r="B16" s="98">
        <v>1</v>
      </c>
      <c r="C16" s="99">
        <v>10000</v>
      </c>
      <c r="D16" s="37">
        <f t="shared" si="10"/>
        <v>10000</v>
      </c>
      <c r="E16" s="39">
        <f t="shared" si="11"/>
        <v>1000</v>
      </c>
      <c r="F16" s="98">
        <v>0</v>
      </c>
      <c r="G16" s="99">
        <v>0.28000000000000003</v>
      </c>
      <c r="H16" s="37">
        <f t="shared" si="12"/>
        <v>0.28000000000000003</v>
      </c>
      <c r="I16" s="4">
        <f t="shared" si="13"/>
        <v>2114</v>
      </c>
      <c r="J16" s="51">
        <f t="shared" si="14"/>
        <v>448.49880000000002</v>
      </c>
      <c r="K16" s="6"/>
      <c r="L16" s="17"/>
    </row>
    <row r="17" spans="1:13" ht="31.5" x14ac:dyDescent="0.5">
      <c r="A17" s="129" t="s">
        <v>165</v>
      </c>
      <c r="B17" s="123"/>
      <c r="C17" s="124"/>
      <c r="D17" s="32"/>
      <c r="E17" s="92"/>
      <c r="F17" s="123"/>
      <c r="G17" s="124"/>
      <c r="H17" s="32"/>
      <c r="I17" s="2"/>
      <c r="J17" s="52">
        <f>J18</f>
        <v>522.55889999999999</v>
      </c>
      <c r="K17" s="10">
        <f>511-59+71</f>
        <v>523</v>
      </c>
      <c r="L17" s="10">
        <f t="shared" ref="L17" si="15">K17-J17</f>
        <v>0.44110000000000582</v>
      </c>
      <c r="M17" s="132" t="s">
        <v>453</v>
      </c>
    </row>
    <row r="18" spans="1:13" x14ac:dyDescent="0.25">
      <c r="A18" s="39" t="s">
        <v>450</v>
      </c>
      <c r="B18" s="114">
        <v>1</v>
      </c>
      <c r="C18" s="115">
        <v>11900</v>
      </c>
      <c r="D18" s="37">
        <f t="shared" ref="D18" si="16">B18*C18</f>
        <v>11900</v>
      </c>
      <c r="E18" s="39">
        <f>D18*0.1</f>
        <v>1190</v>
      </c>
      <c r="F18" s="114">
        <v>0</v>
      </c>
      <c r="G18" s="115">
        <v>0.28999999999999998</v>
      </c>
      <c r="H18" s="37">
        <f>G18</f>
        <v>0.28999999999999998</v>
      </c>
      <c r="I18" s="4">
        <f>H18*$C$2</f>
        <v>2189.5</v>
      </c>
      <c r="J18" s="51">
        <f>(D18+E18+F18+I18)*$C$3</f>
        <v>522.55889999999999</v>
      </c>
      <c r="K18" s="6"/>
      <c r="L18" s="17"/>
    </row>
    <row r="19" spans="1:13" ht="31.5" x14ac:dyDescent="0.5">
      <c r="A19" s="129" t="s">
        <v>441</v>
      </c>
      <c r="B19" s="123"/>
      <c r="C19" s="124"/>
      <c r="D19" s="32"/>
      <c r="E19" s="92"/>
      <c r="F19" s="123"/>
      <c r="G19" s="124"/>
      <c r="H19" s="32"/>
      <c r="I19" s="2"/>
      <c r="J19" s="52">
        <f>J20</f>
        <v>1544.9850000000001</v>
      </c>
      <c r="K19" s="10">
        <f>1511+34</f>
        <v>1545</v>
      </c>
      <c r="L19" s="10">
        <f t="shared" ref="L19" si="17">K19-J19</f>
        <v>1.4999999999872671E-2</v>
      </c>
      <c r="M19" s="133"/>
    </row>
    <row r="20" spans="1:13" x14ac:dyDescent="0.25">
      <c r="A20" s="39" t="s">
        <v>442</v>
      </c>
      <c r="B20" s="125">
        <v>5</v>
      </c>
      <c r="C20" s="115">
        <v>5700</v>
      </c>
      <c r="D20" s="37">
        <f t="shared" ref="D20" si="18">B20*C20</f>
        <v>28500</v>
      </c>
      <c r="E20" s="39">
        <f>D20*0.1</f>
        <v>2850</v>
      </c>
      <c r="F20" s="114">
        <v>2500</v>
      </c>
      <c r="G20" s="115">
        <v>0.3</v>
      </c>
      <c r="H20" s="37">
        <f>G20*B20</f>
        <v>1.5</v>
      </c>
      <c r="I20" s="4">
        <f>H20*$C$2</f>
        <v>11325</v>
      </c>
      <c r="J20" s="51">
        <f>(D20+E20+F20+I20)*$C$3</f>
        <v>1544.9850000000001</v>
      </c>
      <c r="K20" s="6"/>
      <c r="L20" s="17"/>
    </row>
    <row r="21" spans="1:13" ht="31.5" x14ac:dyDescent="0.5">
      <c r="A21" s="129" t="s">
        <v>445</v>
      </c>
      <c r="B21" s="123"/>
      <c r="C21" s="124"/>
      <c r="D21" s="32"/>
      <c r="E21" s="92"/>
      <c r="F21" s="123"/>
      <c r="G21" s="124"/>
      <c r="H21" s="32"/>
      <c r="I21" s="2"/>
      <c r="J21" s="52">
        <f>J22</f>
        <v>741.64409999999998</v>
      </c>
      <c r="K21" s="10">
        <f>726+16</f>
        <v>742</v>
      </c>
      <c r="L21" s="10">
        <f t="shared" ref="L21" si="19">K21-J21</f>
        <v>0.35590000000001965</v>
      </c>
    </row>
    <row r="22" spans="1:13" x14ac:dyDescent="0.25">
      <c r="A22" s="39" t="s">
        <v>446</v>
      </c>
      <c r="B22" s="98">
        <v>1</v>
      </c>
      <c r="C22" s="99">
        <v>16900</v>
      </c>
      <c r="D22" s="37">
        <f t="shared" ref="D22" si="20">B22*C22</f>
        <v>16900</v>
      </c>
      <c r="E22" s="39">
        <f>D22*0.1</f>
        <v>1690</v>
      </c>
      <c r="F22" s="98">
        <v>0</v>
      </c>
      <c r="G22" s="99">
        <v>0.41</v>
      </c>
      <c r="H22" s="37">
        <f>G22</f>
        <v>0.41</v>
      </c>
      <c r="I22" s="4">
        <f>H22*$C$2</f>
        <v>3095.5</v>
      </c>
      <c r="J22" s="51">
        <f>(D22+E22+F22+I22)*$C$3</f>
        <v>741.64409999999998</v>
      </c>
      <c r="K22" s="6"/>
      <c r="L22" s="17"/>
    </row>
    <row r="23" spans="1:13" ht="31.5" x14ac:dyDescent="0.5">
      <c r="A23" s="129" t="s">
        <v>225</v>
      </c>
      <c r="B23" s="123"/>
      <c r="C23" s="124"/>
      <c r="D23" s="32"/>
      <c r="E23" s="92"/>
      <c r="F23" s="123"/>
      <c r="G23" s="124"/>
      <c r="H23" s="32"/>
      <c r="I23" s="2"/>
      <c r="J23" s="52">
        <f>J24</f>
        <v>741.64409999999998</v>
      </c>
      <c r="K23" s="10">
        <f>726+18</f>
        <v>744</v>
      </c>
      <c r="L23" s="10">
        <f t="shared" ref="L23" si="21">K23-J23</f>
        <v>2.3559000000000196</v>
      </c>
    </row>
    <row r="24" spans="1:13" x14ac:dyDescent="0.25">
      <c r="A24" s="39" t="s">
        <v>446</v>
      </c>
      <c r="B24" s="98">
        <v>1</v>
      </c>
      <c r="C24" s="99">
        <v>16900</v>
      </c>
      <c r="D24" s="37">
        <f t="shared" ref="D24" si="22">B24*C24</f>
        <v>16900</v>
      </c>
      <c r="E24" s="39">
        <f>D24*0.1</f>
        <v>1690</v>
      </c>
      <c r="F24" s="98">
        <v>0</v>
      </c>
      <c r="G24" s="99">
        <v>0.41</v>
      </c>
      <c r="H24" s="37">
        <f>G24</f>
        <v>0.41</v>
      </c>
      <c r="I24" s="4">
        <f>H24*$C$2</f>
        <v>3095.5</v>
      </c>
      <c r="J24" s="51">
        <f>(D24+E24+F24+I24)*$C$3</f>
        <v>741.64409999999998</v>
      </c>
      <c r="K24" s="6"/>
      <c r="L24" s="17"/>
    </row>
    <row r="25" spans="1:13" ht="31.5" x14ac:dyDescent="0.5">
      <c r="A25" s="129" t="s">
        <v>447</v>
      </c>
      <c r="B25" s="123"/>
      <c r="C25" s="124"/>
      <c r="D25" s="32"/>
      <c r="E25" s="92"/>
      <c r="F25" s="123"/>
      <c r="G25" s="124"/>
      <c r="H25" s="32"/>
      <c r="I25" s="2"/>
      <c r="J25" s="52">
        <f>J26</f>
        <v>370.82204999999999</v>
      </c>
      <c r="K25" s="10">
        <f>363+8</f>
        <v>371</v>
      </c>
      <c r="L25" s="10">
        <f t="shared" ref="L25" si="23">K25-J25</f>
        <v>0.17795000000000982</v>
      </c>
    </row>
    <row r="26" spans="1:13" x14ac:dyDescent="0.25">
      <c r="A26" s="39" t="s">
        <v>448</v>
      </c>
      <c r="B26" s="98">
        <v>1</v>
      </c>
      <c r="C26" s="99">
        <f>16900/2</f>
        <v>8450</v>
      </c>
      <c r="D26" s="37">
        <f t="shared" ref="D26" si="24">B26*C26</f>
        <v>8450</v>
      </c>
      <c r="E26" s="39">
        <f>D26*0.1</f>
        <v>845</v>
      </c>
      <c r="F26" s="98">
        <v>0</v>
      </c>
      <c r="G26" s="99">
        <f>0.41/2</f>
        <v>0.20499999999999999</v>
      </c>
      <c r="H26" s="37">
        <f>G26</f>
        <v>0.20499999999999999</v>
      </c>
      <c r="I26" s="4">
        <f>H26*$C$2</f>
        <v>1547.75</v>
      </c>
      <c r="J26" s="51">
        <f>(D26+E26+F26+I26)*$C$3</f>
        <v>370.82204999999999</v>
      </c>
      <c r="K26" s="6"/>
      <c r="L26" s="17"/>
    </row>
    <row r="27" spans="1:13" ht="31.5" x14ac:dyDescent="0.5">
      <c r="A27" s="129" t="s">
        <v>449</v>
      </c>
      <c r="B27" s="123"/>
      <c r="C27" s="124"/>
      <c r="D27" s="32"/>
      <c r="E27" s="92"/>
      <c r="F27" s="123"/>
      <c r="G27" s="124"/>
      <c r="H27" s="32"/>
      <c r="I27" s="2"/>
      <c r="J27" s="52">
        <f>J28</f>
        <v>370.82204999999999</v>
      </c>
      <c r="K27" s="10">
        <f>363+8</f>
        <v>371</v>
      </c>
      <c r="L27" s="10">
        <f t="shared" ref="L27" si="25">K27-J27</f>
        <v>0.17795000000000982</v>
      </c>
    </row>
    <row r="28" spans="1:13" x14ac:dyDescent="0.25">
      <c r="A28" s="39" t="s">
        <v>448</v>
      </c>
      <c r="B28" s="98">
        <v>1</v>
      </c>
      <c r="C28" s="99">
        <f>16900/2</f>
        <v>8450</v>
      </c>
      <c r="D28" s="37">
        <f t="shared" ref="D28" si="26">B28*C28</f>
        <v>8450</v>
      </c>
      <c r="E28" s="39">
        <f>D28*0.1</f>
        <v>845</v>
      </c>
      <c r="F28" s="98">
        <v>0</v>
      </c>
      <c r="G28" s="99">
        <f>0.41/2</f>
        <v>0.20499999999999999</v>
      </c>
      <c r="H28" s="37">
        <f>G28</f>
        <v>0.20499999999999999</v>
      </c>
      <c r="I28" s="4">
        <f>H28*$C$2</f>
        <v>1547.75</v>
      </c>
      <c r="J28" s="51">
        <f>(D28+E28+F28+I28)*$C$3</f>
        <v>370.82204999999999</v>
      </c>
      <c r="K28" s="6"/>
      <c r="L28" s="17"/>
    </row>
    <row r="29" spans="1:13" ht="31.5" x14ac:dyDescent="0.5">
      <c r="A29" s="129" t="s">
        <v>443</v>
      </c>
      <c r="B29" s="123"/>
      <c r="C29" s="124"/>
      <c r="D29" s="32"/>
      <c r="E29" s="92"/>
      <c r="F29" s="123"/>
      <c r="G29" s="124"/>
      <c r="H29" s="32"/>
      <c r="I29" s="2"/>
      <c r="J29" s="52">
        <f>J30</f>
        <v>983.76300000000003</v>
      </c>
      <c r="K29" s="10">
        <f>962+22</f>
        <v>984</v>
      </c>
      <c r="L29" s="10">
        <f t="shared" ref="L29" si="27">K29-J29</f>
        <v>0.23699999999996635</v>
      </c>
    </row>
    <row r="30" spans="1:13" x14ac:dyDescent="0.25">
      <c r="A30" s="39" t="s">
        <v>444</v>
      </c>
      <c r="B30" s="114">
        <v>3</v>
      </c>
      <c r="C30" s="115">
        <v>5900</v>
      </c>
      <c r="D30" s="37">
        <f t="shared" ref="D30" si="28">B30*C30</f>
        <v>17700</v>
      </c>
      <c r="E30" s="39">
        <f>D30*0.1</f>
        <v>1770</v>
      </c>
      <c r="F30" s="114">
        <v>2500</v>
      </c>
      <c r="G30" s="115">
        <v>0.3</v>
      </c>
      <c r="H30" s="37">
        <f>G30*B30</f>
        <v>0.89999999999999991</v>
      </c>
      <c r="I30" s="4">
        <f>H30*$C$2</f>
        <v>6794.9999999999991</v>
      </c>
      <c r="J30" s="51">
        <f>(D30+E30+F30+I30)*$C$3</f>
        <v>983.76300000000003</v>
      </c>
      <c r="K30" s="6"/>
      <c r="L30" s="17"/>
    </row>
    <row r="31" spans="1:13" ht="31.5" x14ac:dyDescent="0.5">
      <c r="A31" s="142" t="s">
        <v>429</v>
      </c>
      <c r="B31" s="123"/>
      <c r="C31" s="124"/>
      <c r="D31" s="32"/>
      <c r="E31" s="92"/>
      <c r="F31" s="123"/>
      <c r="G31" s="124"/>
      <c r="H31" s="32"/>
      <c r="I31" s="2"/>
      <c r="J31" s="52">
        <f>SUM(J32:J33)</f>
        <v>212.9178</v>
      </c>
      <c r="K31" s="10"/>
      <c r="L31" s="10">
        <f t="shared" ref="L31" si="29">K31-J31</f>
        <v>-212.9178</v>
      </c>
    </row>
    <row r="32" spans="1:13" ht="15.75" thickBot="1" x14ac:dyDescent="0.3">
      <c r="A32" s="39" t="s">
        <v>430</v>
      </c>
      <c r="B32" s="140">
        <v>1</v>
      </c>
      <c r="C32" s="148">
        <f>11900/3</f>
        <v>3966.6666666666665</v>
      </c>
      <c r="D32" s="141">
        <f t="shared" ref="D32" si="30">B32*C32</f>
        <v>3966.6666666666665</v>
      </c>
      <c r="E32" s="149">
        <f>D32*0.1</f>
        <v>396.66666666666669</v>
      </c>
      <c r="F32" s="140">
        <v>0</v>
      </c>
      <c r="G32" s="148">
        <f>0.74/3</f>
        <v>0.24666666666666667</v>
      </c>
      <c r="H32" s="141">
        <f>G32*B32</f>
        <v>0.24666666666666667</v>
      </c>
      <c r="I32" s="4">
        <f>H32*$C$2</f>
        <v>1862.3333333333335</v>
      </c>
      <c r="J32" s="51">
        <f>(D32+E32+F32+I32)*$C$3</f>
        <v>212.9178</v>
      </c>
      <c r="K32" s="6"/>
      <c r="L32" s="1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A5" sqref="A5:XFD14"/>
    </sheetView>
  </sheetViews>
  <sheetFormatPr defaultRowHeight="15" x14ac:dyDescent="0.25"/>
  <cols>
    <col min="1" max="1" width="36.5703125" customWidth="1"/>
    <col min="3" max="3" width="19.5703125" customWidth="1"/>
    <col min="11" max="11" width="11.7109375" customWidth="1"/>
    <col min="12" max="12" width="11.5703125" customWidth="1"/>
  </cols>
  <sheetData>
    <row r="1" spans="1:13" ht="21" x14ac:dyDescent="0.35">
      <c r="A1" s="55" t="s">
        <v>281</v>
      </c>
      <c r="B1" s="4"/>
      <c r="C1" s="15">
        <v>41847</v>
      </c>
      <c r="D1" s="30"/>
    </row>
    <row r="2" spans="1:13" ht="21" x14ac:dyDescent="0.35">
      <c r="A2" s="55" t="s">
        <v>239</v>
      </c>
      <c r="B2" s="4"/>
      <c r="C2" s="16">
        <v>7470</v>
      </c>
      <c r="D2" s="30"/>
    </row>
    <row r="3" spans="1:13" ht="21" x14ac:dyDescent="0.35">
      <c r="A3" s="55" t="s">
        <v>240</v>
      </c>
      <c r="B3" s="4"/>
      <c r="C3" s="16">
        <v>3.5000000000000003E-2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0" t="s">
        <v>382</v>
      </c>
      <c r="B6" s="151"/>
      <c r="C6" s="151"/>
      <c r="D6" s="32"/>
      <c r="E6" s="92"/>
      <c r="F6" s="146"/>
      <c r="G6" s="147"/>
      <c r="H6" s="32"/>
      <c r="I6" s="2"/>
      <c r="J6" s="52">
        <f>J8+J7</f>
        <v>975.33800000000008</v>
      </c>
      <c r="K6" s="10">
        <f>939+36</f>
        <v>975</v>
      </c>
      <c r="L6" s="10">
        <f>K6-J6</f>
        <v>-0.33800000000007913</v>
      </c>
      <c r="M6" s="132"/>
    </row>
    <row r="7" spans="1:13" x14ac:dyDescent="0.25">
      <c r="A7" s="4" t="s">
        <v>262</v>
      </c>
      <c r="B7" s="4">
        <v>1</v>
      </c>
      <c r="C7" s="4">
        <v>7900</v>
      </c>
      <c r="D7" s="37">
        <f t="shared" ref="D7:D8" si="0">B7*C7</f>
        <v>7900</v>
      </c>
      <c r="E7" s="39">
        <f t="shared" ref="E7:E8" si="1">D7*0.1</f>
        <v>790</v>
      </c>
      <c r="F7" s="4">
        <v>2500</v>
      </c>
      <c r="G7" s="4">
        <v>0.3</v>
      </c>
      <c r="H7" s="37">
        <f>G7</f>
        <v>0.3</v>
      </c>
      <c r="I7" s="4">
        <f>H7*$C$2</f>
        <v>2241</v>
      </c>
      <c r="J7" s="51">
        <f>(D7+E7+F7+I7)*$C$3</f>
        <v>470.08500000000004</v>
      </c>
      <c r="K7" s="6"/>
      <c r="L7" s="17"/>
    </row>
    <row r="8" spans="1:13" x14ac:dyDescent="0.25">
      <c r="A8" s="4" t="s">
        <v>454</v>
      </c>
      <c r="B8" s="4">
        <v>1</v>
      </c>
      <c r="C8" s="4">
        <v>9900</v>
      </c>
      <c r="D8" s="37">
        <f t="shared" si="0"/>
        <v>9900</v>
      </c>
      <c r="E8" s="39">
        <f t="shared" si="1"/>
        <v>990</v>
      </c>
      <c r="F8" s="4">
        <v>2500</v>
      </c>
      <c r="G8" s="4">
        <v>0.14000000000000001</v>
      </c>
      <c r="H8" s="37">
        <f t="shared" ref="H8" si="2">G8</f>
        <v>0.14000000000000001</v>
      </c>
      <c r="I8" s="4">
        <f t="shared" ref="I8" si="3">H8*$C$2</f>
        <v>1045.8000000000002</v>
      </c>
      <c r="J8" s="51">
        <f t="shared" ref="J8" si="4">(D8+E8+F8+I8)*$C$3</f>
        <v>505.25300000000004</v>
      </c>
      <c r="K8" s="6"/>
      <c r="L8" s="17"/>
    </row>
    <row r="9" spans="1:13" ht="31.5" x14ac:dyDescent="0.5">
      <c r="A9" s="152" t="s">
        <v>455</v>
      </c>
      <c r="B9" s="151"/>
      <c r="C9" s="151"/>
      <c r="D9" s="32"/>
      <c r="E9" s="92"/>
      <c r="F9" s="151"/>
      <c r="G9" s="151"/>
      <c r="H9" s="32"/>
      <c r="I9" s="2"/>
      <c r="J9" s="52">
        <f>J10</f>
        <v>494.79500000000007</v>
      </c>
      <c r="K9" s="10">
        <f>484+11</f>
        <v>495</v>
      </c>
      <c r="L9" s="10">
        <f t="shared" ref="L9" si="5">K9-J9</f>
        <v>0.20499999999992724</v>
      </c>
      <c r="M9" s="132"/>
    </row>
    <row r="10" spans="1:13" x14ac:dyDescent="0.25">
      <c r="A10" s="4" t="s">
        <v>456</v>
      </c>
      <c r="B10" s="4">
        <v>1</v>
      </c>
      <c r="C10" s="4">
        <v>9900</v>
      </c>
      <c r="D10" s="37">
        <f t="shared" ref="D10" si="6">B10*C10</f>
        <v>9900</v>
      </c>
      <c r="E10" s="39">
        <f>D10*0.1</f>
        <v>990</v>
      </c>
      <c r="F10" s="5">
        <v>2500</v>
      </c>
      <c r="G10" s="5">
        <v>0.1</v>
      </c>
      <c r="H10" s="37">
        <f>G10</f>
        <v>0.1</v>
      </c>
      <c r="I10" s="4">
        <f>H10*$C$2</f>
        <v>747</v>
      </c>
      <c r="J10" s="51">
        <f>(D10+E10+F10+I10)*$C$3</f>
        <v>494.79500000000007</v>
      </c>
      <c r="K10" s="6"/>
      <c r="L10" s="17"/>
    </row>
    <row r="11" spans="1:13" ht="31.5" x14ac:dyDescent="0.5">
      <c r="A11" s="150" t="s">
        <v>39</v>
      </c>
      <c r="B11" s="151"/>
      <c r="C11" s="151"/>
      <c r="D11" s="32"/>
      <c r="E11" s="92"/>
      <c r="F11" s="151"/>
      <c r="G11" s="151"/>
      <c r="H11" s="32"/>
      <c r="I11" s="2"/>
      <c r="J11" s="52">
        <f>J12</f>
        <v>537.73300000000006</v>
      </c>
      <c r="K11" s="10">
        <f>519+11</f>
        <v>530</v>
      </c>
      <c r="L11" s="10">
        <f t="shared" ref="L11" si="7">K11-J11</f>
        <v>-7.7330000000000609</v>
      </c>
      <c r="M11" s="133"/>
    </row>
    <row r="12" spans="1:13" x14ac:dyDescent="0.25">
      <c r="A12" s="17" t="s">
        <v>457</v>
      </c>
      <c r="B12" s="4">
        <v>1</v>
      </c>
      <c r="C12" s="4">
        <v>10300</v>
      </c>
      <c r="D12" s="37">
        <f t="shared" ref="D12" si="8">B12*C12</f>
        <v>10300</v>
      </c>
      <c r="E12" s="39">
        <f>D12*0.1</f>
        <v>1030</v>
      </c>
      <c r="F12" s="4">
        <v>0</v>
      </c>
      <c r="G12" s="4">
        <v>0.54</v>
      </c>
      <c r="H12" s="37">
        <f>G12*B12</f>
        <v>0.54</v>
      </c>
      <c r="I12" s="4">
        <f>H12*$C$2</f>
        <v>4033.8</v>
      </c>
      <c r="J12" s="51">
        <f>(D12+E12+F12+I12)*$C$3</f>
        <v>537.73300000000006</v>
      </c>
      <c r="K12" s="6"/>
      <c r="L12" s="17"/>
    </row>
    <row r="13" spans="1:13" ht="31.5" x14ac:dyDescent="0.5">
      <c r="A13" s="150" t="s">
        <v>458</v>
      </c>
      <c r="B13" s="151"/>
      <c r="C13" s="151"/>
      <c r="D13" s="32"/>
      <c r="E13" s="92"/>
      <c r="F13" s="151"/>
      <c r="G13" s="151"/>
      <c r="H13" s="32"/>
      <c r="I13" s="2"/>
      <c r="J13" s="52">
        <f>J14</f>
        <v>423.08000000000004</v>
      </c>
      <c r="K13" s="10">
        <f>421+2</f>
        <v>423</v>
      </c>
      <c r="L13" s="10">
        <f t="shared" ref="L13" si="9">K13-J13</f>
        <v>-8.0000000000040927E-2</v>
      </c>
    </row>
    <row r="14" spans="1:13" x14ac:dyDescent="0.25">
      <c r="A14" s="4" t="s">
        <v>459</v>
      </c>
      <c r="B14" s="21">
        <v>1</v>
      </c>
      <c r="C14" s="21">
        <v>6000</v>
      </c>
      <c r="D14" s="4">
        <f t="shared" ref="D14" si="10">B14*C14</f>
        <v>6000</v>
      </c>
      <c r="E14" s="4">
        <f>D14*0.1</f>
        <v>600</v>
      </c>
      <c r="F14" s="21">
        <v>2500</v>
      </c>
      <c r="G14" s="21">
        <v>0.4</v>
      </c>
      <c r="H14" s="4">
        <f>G14</f>
        <v>0.4</v>
      </c>
      <c r="I14" s="4">
        <f>H14*$C$2</f>
        <v>2988</v>
      </c>
      <c r="J14" s="51">
        <f>(D14+E14+F14+I14)*$C$3</f>
        <v>423.08000000000004</v>
      </c>
      <c r="K14" s="6"/>
      <c r="L1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3"/>
  <sheetViews>
    <sheetView topLeftCell="A49" zoomScale="61" zoomScaleNormal="61" workbookViewId="0">
      <selection activeCell="D1" sqref="D1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41320</v>
      </c>
    </row>
    <row r="2" spans="1:12" ht="28.5" x14ac:dyDescent="0.45">
      <c r="A2" s="13" t="s">
        <v>13</v>
      </c>
      <c r="B2" s="4"/>
      <c r="C2" s="16">
        <v>7</v>
      </c>
    </row>
    <row r="3" spans="1:12" ht="28.5" x14ac:dyDescent="0.45">
      <c r="A3" s="13" t="s">
        <v>14</v>
      </c>
      <c r="B3" s="4"/>
      <c r="C3" s="16"/>
    </row>
    <row r="4" spans="1:12" ht="28.5" x14ac:dyDescent="0.45">
      <c r="A4" s="13" t="s">
        <v>11</v>
      </c>
      <c r="B4" s="4"/>
      <c r="C4" s="16">
        <f>30.3</f>
        <v>30.3</v>
      </c>
    </row>
    <row r="5" spans="1:12" ht="28.5" x14ac:dyDescent="0.45">
      <c r="A5" s="13" t="s">
        <v>12</v>
      </c>
      <c r="B5" s="4"/>
      <c r="C5" s="16"/>
    </row>
    <row r="6" spans="1:12" ht="18.75" x14ac:dyDescent="0.3">
      <c r="A6" s="14" t="s">
        <v>18</v>
      </c>
      <c r="C6" s="19" t="s">
        <v>43</v>
      </c>
    </row>
    <row r="7" spans="1:12" x14ac:dyDescent="0.25">
      <c r="C7" s="19" t="s">
        <v>73</v>
      </c>
    </row>
    <row r="8" spans="1:12" x14ac:dyDescent="0.25">
      <c r="C8" s="19"/>
    </row>
    <row r="9" spans="1:12" ht="45" x14ac:dyDescent="0.2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 t="s">
        <v>144</v>
      </c>
    </row>
    <row r="10" spans="1:12" ht="26.25" x14ac:dyDescent="0.4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1698.5624500000001</v>
      </c>
      <c r="K10" s="11">
        <v>1699</v>
      </c>
      <c r="L10" s="10">
        <f>J10-K10</f>
        <v>-0.43754999999987376</v>
      </c>
    </row>
    <row r="11" spans="1:12" ht="26.25" x14ac:dyDescent="0.4">
      <c r="A11" s="3" t="s">
        <v>77</v>
      </c>
      <c r="B11" s="4">
        <v>2</v>
      </c>
      <c r="C11" s="5">
        <v>8.57</v>
      </c>
      <c r="D11" s="4">
        <f>B11*C11</f>
        <v>17.14</v>
      </c>
      <c r="E11" s="4">
        <f>D11*0.05</f>
        <v>0.8570000000000001</v>
      </c>
      <c r="F11" s="4">
        <v>2.38</v>
      </c>
      <c r="G11" s="4">
        <f>0.2*B11</f>
        <v>0.4</v>
      </c>
      <c r="H11" s="4">
        <f>G11*$C$2</f>
        <v>2.8000000000000003</v>
      </c>
      <c r="I11" s="4">
        <f>D11+F11+H11+E11</f>
        <v>23.177</v>
      </c>
      <c r="J11" s="9">
        <f>I11*$C$4</f>
        <v>702.26310000000001</v>
      </c>
      <c r="K11" s="9"/>
      <c r="L11" s="10"/>
    </row>
    <row r="12" spans="1:12" ht="32.25" x14ac:dyDescent="0.4">
      <c r="A12" s="3" t="s">
        <v>78</v>
      </c>
      <c r="B12" s="4">
        <v>2</v>
      </c>
      <c r="C12" s="5">
        <v>6.11</v>
      </c>
      <c r="D12" s="4">
        <f t="shared" ref="D12:D14" si="0">B12*C12</f>
        <v>12.22</v>
      </c>
      <c r="E12" s="4">
        <f t="shared" ref="E12:E14" si="1">D12*0.05</f>
        <v>0.6110000000000001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2.8000000000000003</v>
      </c>
      <c r="I12" s="4">
        <f t="shared" ref="I12:I22" si="3">D12+F12+H12+E12</f>
        <v>16.311</v>
      </c>
      <c r="J12" s="9">
        <f t="shared" ref="J12:J62" si="4">I12*$C$4</f>
        <v>494.22329999999999</v>
      </c>
      <c r="K12" s="9"/>
      <c r="L12" s="10"/>
    </row>
    <row r="13" spans="1:12" ht="26.25" x14ac:dyDescent="0.4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1.4000000000000001</v>
      </c>
      <c r="I13" s="4">
        <f t="shared" si="3"/>
        <v>6.605666666666667</v>
      </c>
      <c r="J13" s="9">
        <f t="shared" si="4"/>
        <v>200.15170000000001</v>
      </c>
      <c r="K13" s="9"/>
      <c r="L13" s="10"/>
    </row>
    <row r="14" spans="1:12" ht="26.25" x14ac:dyDescent="0.4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2.1</v>
      </c>
      <c r="I14" s="4">
        <f t="shared" si="3"/>
        <v>9.9644999999999992</v>
      </c>
      <c r="J14" s="9">
        <f t="shared" si="4"/>
        <v>301.92435</v>
      </c>
      <c r="K14" s="9"/>
      <c r="L14" s="10"/>
    </row>
    <row r="15" spans="1:12" ht="26.25" x14ac:dyDescent="0.4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2659.468875</v>
      </c>
      <c r="K15" s="10">
        <v>2659</v>
      </c>
      <c r="L15" s="10">
        <f t="shared" ref="L15:L74" si="6">J15-K15</f>
        <v>0.46887500000002547</v>
      </c>
    </row>
    <row r="16" spans="1:12" ht="26.25" x14ac:dyDescent="0.4">
      <c r="A16" s="17" t="s">
        <v>47</v>
      </c>
      <c r="B16" s="4">
        <v>3</v>
      </c>
      <c r="C16" s="4">
        <v>11</v>
      </c>
      <c r="D16" s="4">
        <f>B16*C16</f>
        <v>33</v>
      </c>
      <c r="E16" s="4">
        <f>D16*0.05</f>
        <v>1.6500000000000001</v>
      </c>
      <c r="F16" s="4">
        <v>0</v>
      </c>
      <c r="G16" s="4">
        <f>0.3*B16</f>
        <v>0.89999999999999991</v>
      </c>
      <c r="H16" s="4">
        <f t="shared" si="2"/>
        <v>6.2999999999999989</v>
      </c>
      <c r="I16" s="4">
        <f t="shared" si="3"/>
        <v>40.949999999999996</v>
      </c>
      <c r="J16" s="9">
        <f t="shared" si="4"/>
        <v>1240.7849999999999</v>
      </c>
      <c r="K16" s="9"/>
      <c r="L16" s="10"/>
    </row>
    <row r="17" spans="1:12" ht="26.25" x14ac:dyDescent="0.4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2.38/5*B17</f>
        <v>1.4279999999999999</v>
      </c>
      <c r="G17" s="4">
        <f>0.3*B17</f>
        <v>0.89999999999999991</v>
      </c>
      <c r="H17" s="4">
        <f t="shared" si="2"/>
        <v>6.2999999999999989</v>
      </c>
      <c r="I17" s="4">
        <f t="shared" si="3"/>
        <v>32.928000000000004</v>
      </c>
      <c r="J17" s="9">
        <f t="shared" si="4"/>
        <v>997.7184000000002</v>
      </c>
      <c r="K17" s="9"/>
      <c r="L17" s="10"/>
    </row>
    <row r="18" spans="1:12" ht="26.25" x14ac:dyDescent="0.4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1.4000000000000001</v>
      </c>
      <c r="I18" s="4">
        <f t="shared" si="3"/>
        <v>8.2634999999999987</v>
      </c>
      <c r="J18" s="9">
        <f t="shared" si="4"/>
        <v>250.38404999999997</v>
      </c>
      <c r="K18" s="9"/>
      <c r="L18" s="10"/>
    </row>
    <row r="19" spans="1:12" ht="26.25" x14ac:dyDescent="0.4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0.70000000000000007</v>
      </c>
      <c r="I19" s="4">
        <f t="shared" si="3"/>
        <v>5.6297500000000005</v>
      </c>
      <c r="J19" s="9">
        <f t="shared" si="4"/>
        <v>170.58142500000002</v>
      </c>
      <c r="K19" s="9"/>
      <c r="L19" s="10"/>
    </row>
    <row r="20" spans="1:12" ht="26.25" x14ac:dyDescent="0.4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1273.1757</v>
      </c>
      <c r="K20" s="10">
        <v>1273</v>
      </c>
      <c r="L20" s="10">
        <f t="shared" si="6"/>
        <v>0.17570000000000618</v>
      </c>
    </row>
    <row r="21" spans="1:12" ht="26.25" x14ac:dyDescent="0.4">
      <c r="A21" s="3" t="s">
        <v>80</v>
      </c>
      <c r="B21" s="4">
        <v>3</v>
      </c>
      <c r="C21" s="5">
        <v>6.11</v>
      </c>
      <c r="D21" s="4">
        <f>B21*C21</f>
        <v>18.330000000000002</v>
      </c>
      <c r="E21" s="4">
        <f>D21*0.05</f>
        <v>0.91650000000000009</v>
      </c>
      <c r="F21" s="12">
        <f>2.38/7*B21</f>
        <v>1.02</v>
      </c>
      <c r="G21" s="4">
        <f>0.2*B21</f>
        <v>0.60000000000000009</v>
      </c>
      <c r="H21" s="4">
        <f t="shared" si="2"/>
        <v>4.2000000000000011</v>
      </c>
      <c r="I21" s="4">
        <f t="shared" si="3"/>
        <v>24.466500000000003</v>
      </c>
      <c r="J21" s="9">
        <f t="shared" si="4"/>
        <v>741.33495000000016</v>
      </c>
      <c r="K21" s="9"/>
      <c r="L21" s="10"/>
    </row>
    <row r="22" spans="1:12" ht="26.25" x14ac:dyDescent="0.4">
      <c r="A22" s="3" t="s">
        <v>81</v>
      </c>
      <c r="B22" s="4">
        <v>3</v>
      </c>
      <c r="C22" s="5"/>
      <c r="D22" s="4">
        <v>8.4499999999999993</v>
      </c>
      <c r="E22" s="4">
        <f>D22*0.05</f>
        <v>0.42249999999999999</v>
      </c>
      <c r="F22" s="12">
        <v>2.38</v>
      </c>
      <c r="G22" s="4">
        <f>0.3*B22</f>
        <v>0.89999999999999991</v>
      </c>
      <c r="H22" s="4">
        <f t="shared" si="2"/>
        <v>6.2999999999999989</v>
      </c>
      <c r="I22" s="4">
        <f t="shared" si="3"/>
        <v>17.552499999999995</v>
      </c>
      <c r="J22" s="9">
        <f t="shared" si="4"/>
        <v>531.84074999999984</v>
      </c>
      <c r="K22" s="9"/>
      <c r="L22" s="10"/>
    </row>
    <row r="23" spans="1:12" ht="26.25" x14ac:dyDescent="0.4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634.70925</v>
      </c>
      <c r="K23" s="10">
        <v>700</v>
      </c>
      <c r="L23" s="10">
        <f>K23-J23</f>
        <v>65.290750000000003</v>
      </c>
    </row>
    <row r="24" spans="1:12" ht="26.25" x14ac:dyDescent="0.4">
      <c r="A24" s="7" t="s">
        <v>44</v>
      </c>
      <c r="B24" s="4">
        <v>1</v>
      </c>
      <c r="C24" s="5">
        <v>9.39</v>
      </c>
      <c r="D24" s="4">
        <f>B24*C24</f>
        <v>9.39</v>
      </c>
      <c r="E24" s="4">
        <f t="shared" ref="E24:E25" si="8">D24*0.05</f>
        <v>0.46950000000000003</v>
      </c>
      <c r="F24" s="4">
        <v>0</v>
      </c>
      <c r="G24" s="4">
        <f>0.56*B24</f>
        <v>0.56000000000000005</v>
      </c>
      <c r="H24" s="4">
        <f>G24*$C$2</f>
        <v>3.9200000000000004</v>
      </c>
      <c r="I24" s="4">
        <f>D24+F24+H24+E24</f>
        <v>13.779500000000001</v>
      </c>
      <c r="J24" s="9">
        <f t="shared" si="4"/>
        <v>417.51885000000004</v>
      </c>
      <c r="K24" s="9"/>
      <c r="L24" s="10"/>
    </row>
    <row r="25" spans="1:12" ht="26.25" x14ac:dyDescent="0.4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2.1</v>
      </c>
      <c r="I25" s="4">
        <f>D25+F25+H25+E25</f>
        <v>7.1679999999999993</v>
      </c>
      <c r="J25" s="9">
        <f t="shared" si="4"/>
        <v>217.19039999999998</v>
      </c>
      <c r="K25" s="9"/>
      <c r="L25" s="10"/>
    </row>
    <row r="26" spans="1:12" ht="26.25" x14ac:dyDescent="0.4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1570.4944500000001</v>
      </c>
      <c r="K26" s="10">
        <v>1570</v>
      </c>
      <c r="L26" s="10">
        <f t="shared" si="6"/>
        <v>0.49445000000014261</v>
      </c>
    </row>
    <row r="27" spans="1:12" ht="26.25" x14ac:dyDescent="0.4">
      <c r="A27" s="7" t="s">
        <v>74</v>
      </c>
      <c r="B27" s="4">
        <v>1</v>
      </c>
      <c r="C27" s="5">
        <v>15.41</v>
      </c>
      <c r="D27" s="4">
        <v>15.41</v>
      </c>
      <c r="E27" s="4">
        <f>D27*0.05</f>
        <v>0.77050000000000007</v>
      </c>
      <c r="F27" s="4">
        <v>2.38</v>
      </c>
      <c r="G27" s="4">
        <v>0.3</v>
      </c>
      <c r="H27" s="4">
        <f>G27*$C$2</f>
        <v>2.1</v>
      </c>
      <c r="I27" s="4">
        <f>D27+F27+H27+E27</f>
        <v>20.660499999999999</v>
      </c>
      <c r="J27" s="9">
        <f t="shared" si="4"/>
        <v>626.01315</v>
      </c>
      <c r="K27" s="9"/>
      <c r="L27" s="10"/>
    </row>
    <row r="28" spans="1:12" ht="26.25" x14ac:dyDescent="0.4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2.1</v>
      </c>
      <c r="I28" s="4">
        <f>D28+F28+H28+E28</f>
        <v>16.198</v>
      </c>
      <c r="J28" s="9">
        <f t="shared" si="4"/>
        <v>490.79940000000005</v>
      </c>
      <c r="K28" s="9"/>
      <c r="L28" s="10"/>
    </row>
    <row r="29" spans="1:12" ht="32.25" x14ac:dyDescent="0.4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2.1</v>
      </c>
      <c r="I29" s="4">
        <f>D29+F29+H29+E29</f>
        <v>14.972999999999999</v>
      </c>
      <c r="J29" s="9">
        <f t="shared" si="4"/>
        <v>453.68189999999998</v>
      </c>
      <c r="K29" s="9"/>
      <c r="L29" s="10"/>
    </row>
    <row r="30" spans="1:12" ht="26.25" x14ac:dyDescent="0.4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745.58452499999999</v>
      </c>
      <c r="K30" s="10">
        <f>1250-515</f>
        <v>735</v>
      </c>
      <c r="L30" s="10">
        <f>K30-J30</f>
        <v>-10.584524999999985</v>
      </c>
    </row>
    <row r="31" spans="1:12" ht="26.25" x14ac:dyDescent="0.4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2.8000000000000003</v>
      </c>
      <c r="I31" s="4">
        <f>D31+F31+H31+E31</f>
        <v>18.977</v>
      </c>
      <c r="J31" s="9">
        <f t="shared" si="4"/>
        <v>575.00310000000002</v>
      </c>
      <c r="K31" s="9"/>
      <c r="L31" s="10"/>
    </row>
    <row r="32" spans="1:12" ht="26.25" x14ac:dyDescent="0.4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0.70000000000000007</v>
      </c>
      <c r="I32" s="4">
        <f t="shared" ref="I32" si="11">D32+F32+H32+E32</f>
        <v>5.6297500000000005</v>
      </c>
      <c r="J32" s="9">
        <f t="shared" si="4"/>
        <v>170.58142500000002</v>
      </c>
      <c r="K32" s="9"/>
      <c r="L32" s="10"/>
    </row>
    <row r="33" spans="1:12" ht="26.25" x14ac:dyDescent="0.4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2368.5207</v>
      </c>
      <c r="K33" s="10">
        <v>2400</v>
      </c>
      <c r="L33" s="10">
        <f>K33-J33</f>
        <v>31.479299999999967</v>
      </c>
    </row>
    <row r="34" spans="1:12" ht="26.25" x14ac:dyDescent="0.4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2.38</v>
      </c>
      <c r="G34" s="4">
        <v>0.4</v>
      </c>
      <c r="H34" s="4">
        <f>G34*$C$2</f>
        <v>2.8000000000000003</v>
      </c>
      <c r="I34" s="4">
        <f>D34+F34+H34+E34</f>
        <v>13.3385</v>
      </c>
      <c r="J34" s="9">
        <f t="shared" si="4"/>
        <v>404.15654999999998</v>
      </c>
      <c r="K34" s="9"/>
      <c r="L34" s="10"/>
    </row>
    <row r="35" spans="1:12" ht="26.25" x14ac:dyDescent="0.4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2.38</v>
      </c>
      <c r="G35" s="4">
        <v>0.2</v>
      </c>
      <c r="H35" s="4">
        <f t="shared" ref="H35:H39" si="13">G35*$C$2</f>
        <v>1.4000000000000001</v>
      </c>
      <c r="I35" s="4">
        <f t="shared" ref="I35:I39" si="14">D35+F35+H35+E35</f>
        <v>12.400500000000001</v>
      </c>
      <c r="J35" s="9">
        <f t="shared" si="4"/>
        <v>375.73515000000003</v>
      </c>
      <c r="K35" s="9"/>
      <c r="L35" s="10"/>
    </row>
    <row r="36" spans="1:12" ht="26.25" x14ac:dyDescent="0.4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2.38</v>
      </c>
      <c r="G36" s="4">
        <v>0.2</v>
      </c>
      <c r="H36" s="4">
        <f t="shared" si="13"/>
        <v>1.4000000000000001</v>
      </c>
      <c r="I36" s="4">
        <f t="shared" si="14"/>
        <v>11.508000000000001</v>
      </c>
      <c r="J36" s="9">
        <f t="shared" si="4"/>
        <v>348.69240000000002</v>
      </c>
      <c r="K36" s="9"/>
      <c r="L36" s="10"/>
    </row>
    <row r="37" spans="1:12" ht="26.25" x14ac:dyDescent="0.4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2.38</v>
      </c>
      <c r="G37" s="4">
        <v>0.2</v>
      </c>
      <c r="H37" s="4">
        <f t="shared" si="13"/>
        <v>1.4000000000000001</v>
      </c>
      <c r="I37" s="4">
        <f t="shared" si="14"/>
        <v>11.938499999999999</v>
      </c>
      <c r="J37" s="9">
        <f t="shared" si="4"/>
        <v>361.73654999999997</v>
      </c>
      <c r="K37" s="9"/>
      <c r="L37" s="10"/>
    </row>
    <row r="38" spans="1:12" ht="26.25" x14ac:dyDescent="0.4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2.38</v>
      </c>
      <c r="G38" s="4">
        <v>0.3</v>
      </c>
      <c r="H38" s="4">
        <f t="shared" si="13"/>
        <v>2.1</v>
      </c>
      <c r="I38" s="4">
        <f t="shared" si="14"/>
        <v>12.638499999999999</v>
      </c>
      <c r="J38" s="9">
        <f t="shared" si="4"/>
        <v>382.94654999999995</v>
      </c>
      <c r="K38" s="9"/>
      <c r="L38" s="10"/>
    </row>
    <row r="39" spans="1:12" ht="26.25" x14ac:dyDescent="0.4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2.38</v>
      </c>
      <c r="G39" s="4">
        <v>0.3</v>
      </c>
      <c r="H39" s="4">
        <f t="shared" si="13"/>
        <v>2.1</v>
      </c>
      <c r="I39" s="4">
        <f t="shared" si="14"/>
        <v>16.344999999999999</v>
      </c>
      <c r="J39" s="9">
        <f t="shared" si="4"/>
        <v>495.25349999999997</v>
      </c>
      <c r="K39" s="9"/>
      <c r="L39" s="10"/>
    </row>
    <row r="40" spans="1:12" ht="26.25" x14ac:dyDescent="0.4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200.15170000000001</v>
      </c>
      <c r="K40" s="10">
        <v>200</v>
      </c>
      <c r="L40" s="10">
        <f t="shared" si="6"/>
        <v>0.15170000000000528</v>
      </c>
    </row>
    <row r="41" spans="1:12" ht="26.25" x14ac:dyDescent="0.4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1.4000000000000001</v>
      </c>
      <c r="I41" s="4">
        <f>D41+F41+H41+E41</f>
        <v>6.605666666666667</v>
      </c>
      <c r="J41" s="9">
        <f t="shared" si="4"/>
        <v>200.15170000000001</v>
      </c>
      <c r="K41" s="9"/>
      <c r="L41" s="10"/>
    </row>
    <row r="42" spans="1:12" ht="26.25" x14ac:dyDescent="0.4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458.71170000000001</v>
      </c>
      <c r="K42" s="10">
        <v>459</v>
      </c>
      <c r="L42" s="10">
        <f t="shared" si="6"/>
        <v>-0.28829999999999245</v>
      </c>
    </row>
    <row r="43" spans="1:12" ht="26.25" x14ac:dyDescent="0.4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v>2.38</v>
      </c>
      <c r="G43" s="4">
        <f>0.2*B43</f>
        <v>0.2</v>
      </c>
      <c r="H43" s="4">
        <f>G43*$C$2</f>
        <v>1.4000000000000001</v>
      </c>
      <c r="I43" s="4">
        <f>D43+F43+H43+E43</f>
        <v>9.7439999999999998</v>
      </c>
      <c r="J43" s="9">
        <f t="shared" si="4"/>
        <v>295.2432</v>
      </c>
      <c r="K43" s="9"/>
      <c r="L43" s="10"/>
    </row>
    <row r="44" spans="1:12" ht="26.25" x14ac:dyDescent="0.4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0.70000000000000007</v>
      </c>
      <c r="I44" s="4">
        <f>D44+F44+H44+E44</f>
        <v>5.3950000000000005</v>
      </c>
      <c r="J44" s="9">
        <f t="shared" si="4"/>
        <v>163.46850000000001</v>
      </c>
      <c r="K44" s="9"/>
      <c r="L44" s="10"/>
    </row>
    <row r="45" spans="1:12" ht="26.25" x14ac:dyDescent="0.4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1913.6722500000001</v>
      </c>
      <c r="K45" s="10">
        <v>1914</v>
      </c>
      <c r="L45" s="10">
        <f t="shared" si="6"/>
        <v>-0.3277499999999236</v>
      </c>
    </row>
    <row r="46" spans="1:12" ht="26.25" x14ac:dyDescent="0.4">
      <c r="A46" s="7" t="s">
        <v>55</v>
      </c>
      <c r="B46" s="4">
        <v>1</v>
      </c>
      <c r="C46" s="5">
        <v>2.66</v>
      </c>
      <c r="D46" s="4">
        <f>C46*B46</f>
        <v>2.66</v>
      </c>
      <c r="E46" s="4">
        <f>D46*0.05</f>
        <v>0.13300000000000001</v>
      </c>
      <c r="F46" s="4">
        <v>2.38</v>
      </c>
      <c r="G46" s="4">
        <v>0.2</v>
      </c>
      <c r="H46" s="4">
        <f>G46*$C$2</f>
        <v>1.4000000000000001</v>
      </c>
      <c r="I46" s="4">
        <f>D46+F46+H46+E46</f>
        <v>6.5730000000000004</v>
      </c>
      <c r="J46" s="9">
        <f t="shared" si="4"/>
        <v>199.1619</v>
      </c>
      <c r="K46" s="9"/>
      <c r="L46" s="10"/>
    </row>
    <row r="47" spans="1:12" ht="26.25" x14ac:dyDescent="0.4">
      <c r="A47" s="7" t="s">
        <v>56</v>
      </c>
      <c r="B47" s="4">
        <v>1</v>
      </c>
      <c r="C47" s="4">
        <v>3.61</v>
      </c>
      <c r="D47" s="4">
        <v>3.61</v>
      </c>
      <c r="E47" s="4">
        <f t="shared" ref="E47:E50" si="18">D47*0.05</f>
        <v>0.18049999999999999</v>
      </c>
      <c r="F47" s="4">
        <v>2.38</v>
      </c>
      <c r="G47" s="4">
        <v>0.3</v>
      </c>
      <c r="H47" s="4">
        <f>G47*$C$2</f>
        <v>2.1</v>
      </c>
      <c r="I47" s="4">
        <f>D47+F47+H47+E47</f>
        <v>8.2705000000000002</v>
      </c>
      <c r="J47" s="9">
        <f t="shared" si="4"/>
        <v>250.59615000000002</v>
      </c>
      <c r="K47" s="9"/>
      <c r="L47" s="10"/>
    </row>
    <row r="48" spans="1:12" ht="26.25" x14ac:dyDescent="0.4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v>2.38</v>
      </c>
      <c r="G48" s="4">
        <v>0.3</v>
      </c>
      <c r="H48" s="4">
        <f>G48*$C$2</f>
        <v>2.1</v>
      </c>
      <c r="I48" s="4">
        <f>D48+F48+H48+E48</f>
        <v>12.523</v>
      </c>
      <c r="J48" s="9">
        <f t="shared" si="4"/>
        <v>379.44690000000003</v>
      </c>
      <c r="K48" s="9"/>
      <c r="L48" s="10"/>
    </row>
    <row r="49" spans="1:12" ht="26.25" x14ac:dyDescent="0.4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5.25</v>
      </c>
      <c r="I49" s="4">
        <f>D49+F49+H49+E49</f>
        <v>16.705500000000001</v>
      </c>
      <c r="J49" s="9">
        <f t="shared" si="4"/>
        <v>506.17665000000005</v>
      </c>
      <c r="K49" s="9"/>
      <c r="L49" s="10"/>
    </row>
    <row r="50" spans="1:12" ht="26.25" x14ac:dyDescent="0.4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2.38</v>
      </c>
      <c r="G50" s="4">
        <v>0.6</v>
      </c>
      <c r="H50" s="4">
        <f>G50*$C$2</f>
        <v>4.2</v>
      </c>
      <c r="I50" s="4">
        <f>D50+F50+H50+E50</f>
        <v>19.0855</v>
      </c>
      <c r="J50" s="9">
        <f t="shared" si="4"/>
        <v>578.29065000000003</v>
      </c>
      <c r="K50" s="9"/>
      <c r="L50" s="10"/>
    </row>
    <row r="51" spans="1:12" ht="26.25" x14ac:dyDescent="0.4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818.24644999999998</v>
      </c>
      <c r="K51" s="10">
        <v>818</v>
      </c>
      <c r="L51" s="10">
        <f t="shared" si="6"/>
        <v>0.24644999999998163</v>
      </c>
    </row>
    <row r="52" spans="1:12" ht="26.25" x14ac:dyDescent="0.4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f>2.38/3</f>
        <v>0.79333333333333333</v>
      </c>
      <c r="G52" s="4">
        <f>0.4*B52</f>
        <v>0.4</v>
      </c>
      <c r="H52" s="4">
        <f>G52*$C$2</f>
        <v>2.8000000000000003</v>
      </c>
      <c r="I52" s="4">
        <f>D52+F52+H52+E52</f>
        <v>12.455333333333334</v>
      </c>
      <c r="J52" s="9">
        <f t="shared" si="4"/>
        <v>377.39660000000003</v>
      </c>
      <c r="K52" s="9"/>
      <c r="L52" s="10"/>
    </row>
    <row r="53" spans="1:12" ht="26.25" x14ac:dyDescent="0.4">
      <c r="A53" s="7" t="s">
        <v>61</v>
      </c>
      <c r="B53" s="4">
        <v>1</v>
      </c>
      <c r="C53" s="4">
        <v>8.5399999999999991</v>
      </c>
      <c r="D53" s="4">
        <f t="shared" si="19"/>
        <v>8.5399999999999991</v>
      </c>
      <c r="E53" s="4">
        <f t="shared" ref="E53:E54" si="20">D53*0.05</f>
        <v>0.42699999999999999</v>
      </c>
      <c r="F53" s="4">
        <v>0</v>
      </c>
      <c r="G53" s="4">
        <f>0.2*B53</f>
        <v>0.2</v>
      </c>
      <c r="H53" s="4">
        <f>G53*$C$2</f>
        <v>1.4000000000000001</v>
      </c>
      <c r="I53" s="4">
        <f>D53+F53+H53+E53</f>
        <v>10.366999999999999</v>
      </c>
      <c r="J53" s="9">
        <f t="shared" si="4"/>
        <v>314.12009999999998</v>
      </c>
      <c r="K53" s="9"/>
      <c r="L53" s="10"/>
    </row>
    <row r="54" spans="1:12" ht="26.25" x14ac:dyDescent="0.4">
      <c r="A54" s="7" t="s">
        <v>62</v>
      </c>
      <c r="B54" s="4">
        <v>1</v>
      </c>
      <c r="C54" s="4">
        <v>2.65</v>
      </c>
      <c r="D54" s="4">
        <f>C54</f>
        <v>2.65</v>
      </c>
      <c r="E54" s="4">
        <f t="shared" si="20"/>
        <v>0.13250000000000001</v>
      </c>
      <c r="F54" s="4">
        <v>0</v>
      </c>
      <c r="G54" s="4">
        <v>0.2</v>
      </c>
      <c r="H54" s="4">
        <f>G54*$C$2</f>
        <v>1.4000000000000001</v>
      </c>
      <c r="I54" s="4">
        <f>D54+F54+H54+E54</f>
        <v>4.1825000000000001</v>
      </c>
      <c r="J54" s="9">
        <f t="shared" si="4"/>
        <v>126.72975000000001</v>
      </c>
      <c r="K54" s="9"/>
      <c r="L54" s="10"/>
    </row>
    <row r="55" spans="1:12" ht="26.25" x14ac:dyDescent="0.4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1781.64</v>
      </c>
      <c r="K55" s="10">
        <v>1782</v>
      </c>
      <c r="L55" s="10">
        <f t="shared" si="6"/>
        <v>-0.35999999999989996</v>
      </c>
    </row>
    <row r="56" spans="1:12" ht="26.25" x14ac:dyDescent="0.4">
      <c r="A56" s="7" t="s">
        <v>63</v>
      </c>
      <c r="B56" s="4">
        <v>1</v>
      </c>
      <c r="C56" s="5">
        <v>8.44</v>
      </c>
      <c r="D56" s="4">
        <f t="shared" ref="D56:D59" si="21">B56*C56</f>
        <v>8.44</v>
      </c>
      <c r="E56" s="4">
        <f>D56*0.05</f>
        <v>0.42199999999999999</v>
      </c>
      <c r="F56" s="4">
        <f>2.38/3</f>
        <v>0.79333333333333333</v>
      </c>
      <c r="G56" s="4">
        <f>0.4*B56</f>
        <v>0.4</v>
      </c>
      <c r="H56" s="4">
        <f>G56*$C$2</f>
        <v>2.8000000000000003</v>
      </c>
      <c r="I56" s="4">
        <f>D56+F56+H56+E56</f>
        <v>12.455333333333334</v>
      </c>
      <c r="J56" s="9">
        <f t="shared" si="4"/>
        <v>377.39660000000003</v>
      </c>
      <c r="K56" s="9"/>
      <c r="L56" s="10"/>
    </row>
    <row r="57" spans="1:12" ht="26.25" x14ac:dyDescent="0.4">
      <c r="A57" s="7" t="s">
        <v>64</v>
      </c>
      <c r="B57" s="4">
        <v>2</v>
      </c>
      <c r="C57" s="4">
        <v>8.57</v>
      </c>
      <c r="D57" s="4">
        <f t="shared" si="21"/>
        <v>17.14</v>
      </c>
      <c r="E57" s="4">
        <f t="shared" ref="E57:E59" si="22">D57*0.05</f>
        <v>0.8570000000000001</v>
      </c>
      <c r="F57" s="4">
        <v>0</v>
      </c>
      <c r="G57" s="4">
        <f>0.2*B57</f>
        <v>0.4</v>
      </c>
      <c r="H57" s="4">
        <f>G57*$C$2</f>
        <v>2.8000000000000003</v>
      </c>
      <c r="I57" s="4">
        <f>D57+F57+H57+E57</f>
        <v>20.797000000000001</v>
      </c>
      <c r="J57" s="9">
        <f t="shared" si="4"/>
        <v>630.14910000000009</v>
      </c>
      <c r="K57" s="9"/>
      <c r="L57" s="10"/>
    </row>
    <row r="58" spans="1:12" ht="26.25" x14ac:dyDescent="0.4">
      <c r="A58" s="7" t="s">
        <v>65</v>
      </c>
      <c r="B58" s="4">
        <v>2</v>
      </c>
      <c r="C58" s="4">
        <v>4.58</v>
      </c>
      <c r="D58" s="4">
        <f t="shared" si="21"/>
        <v>9.16</v>
      </c>
      <c r="E58" s="4">
        <f t="shared" si="22"/>
        <v>0.45800000000000002</v>
      </c>
      <c r="F58" s="18">
        <f>2.38/6</f>
        <v>0.39666666666666667</v>
      </c>
      <c r="G58" s="4">
        <f t="shared" ref="G58" si="23">0.2*B58</f>
        <v>0.4</v>
      </c>
      <c r="H58" s="4">
        <f>G58*$C$2</f>
        <v>2.8000000000000003</v>
      </c>
      <c r="I58" s="4">
        <f>D58+F58+H58+E58</f>
        <v>12.814666666666668</v>
      </c>
      <c r="J58" s="9">
        <f t="shared" si="4"/>
        <v>388.28440000000006</v>
      </c>
      <c r="K58" s="9"/>
      <c r="L58" s="10"/>
    </row>
    <row r="59" spans="1:12" ht="26.25" x14ac:dyDescent="0.4">
      <c r="A59" s="7" t="s">
        <v>66</v>
      </c>
      <c r="B59" s="4">
        <v>1</v>
      </c>
      <c r="C59" s="4">
        <v>7.86</v>
      </c>
      <c r="D59" s="4">
        <f t="shared" si="21"/>
        <v>7.86</v>
      </c>
      <c r="E59" s="4">
        <f t="shared" si="22"/>
        <v>0.39300000000000002</v>
      </c>
      <c r="F59" s="4">
        <v>2.38</v>
      </c>
      <c r="G59" s="4">
        <v>0.3</v>
      </c>
      <c r="H59" s="4">
        <f>G59*$C$2</f>
        <v>2.1</v>
      </c>
      <c r="I59" s="4">
        <f>D59+F59+H59+E59</f>
        <v>12.733000000000001</v>
      </c>
      <c r="J59" s="9">
        <f t="shared" si="4"/>
        <v>385.80990000000003</v>
      </c>
      <c r="K59" s="9"/>
      <c r="L59" s="10"/>
    </row>
    <row r="60" spans="1:12" ht="26.25" x14ac:dyDescent="0.4">
      <c r="A60" s="1" t="s">
        <v>29</v>
      </c>
      <c r="B60" s="2"/>
      <c r="C60" s="2"/>
      <c r="D60" s="2"/>
      <c r="E60" s="2"/>
      <c r="F60" s="2"/>
      <c r="G60" s="2"/>
      <c r="H60" s="2"/>
      <c r="I60" s="2"/>
      <c r="J60" s="10">
        <f>SUM(J61:J62)</f>
        <v>838.96154999999999</v>
      </c>
      <c r="K60" s="10">
        <v>839</v>
      </c>
      <c r="L60" s="10">
        <f t="shared" si="6"/>
        <v>-3.8450000000011642E-2</v>
      </c>
    </row>
    <row r="61" spans="1:12" ht="26.25" x14ac:dyDescent="0.4">
      <c r="A61" s="7" t="s">
        <v>67</v>
      </c>
      <c r="B61" s="4">
        <v>1</v>
      </c>
      <c r="C61" s="5">
        <v>13.23</v>
      </c>
      <c r="D61" s="4">
        <f t="shared" ref="D61:D62" si="24">B61*C61</f>
        <v>13.23</v>
      </c>
      <c r="E61" s="4">
        <f>D61*0.05</f>
        <v>0.66150000000000009</v>
      </c>
      <c r="F61" s="4">
        <v>0</v>
      </c>
      <c r="G61" s="4">
        <v>0.36</v>
      </c>
      <c r="H61" s="4">
        <f>G61*$C$2</f>
        <v>2.52</v>
      </c>
      <c r="I61" s="4">
        <f>D61+F61+H61+E61</f>
        <v>16.4115</v>
      </c>
      <c r="J61" s="9">
        <f t="shared" si="4"/>
        <v>497.26845000000003</v>
      </c>
      <c r="K61" s="9"/>
      <c r="L61" s="10"/>
    </row>
    <row r="62" spans="1:12" ht="26.25" x14ac:dyDescent="0.4">
      <c r="A62" s="7" t="s">
        <v>68</v>
      </c>
      <c r="B62" s="4">
        <v>1</v>
      </c>
      <c r="C62" s="4">
        <v>8.74</v>
      </c>
      <c r="D62" s="4">
        <f t="shared" si="24"/>
        <v>8.74</v>
      </c>
      <c r="E62" s="4">
        <f>D62*0.05</f>
        <v>0.43700000000000006</v>
      </c>
      <c r="F62" s="4">
        <v>0</v>
      </c>
      <c r="G62" s="4">
        <v>0.3</v>
      </c>
      <c r="H62" s="4">
        <f>G62*$C$2</f>
        <v>2.1</v>
      </c>
      <c r="I62" s="4">
        <f>D62+F62+H62+E62</f>
        <v>11.276999999999999</v>
      </c>
      <c r="J62" s="9">
        <f t="shared" si="4"/>
        <v>341.69309999999996</v>
      </c>
      <c r="K62" s="9"/>
      <c r="L62" s="10"/>
    </row>
    <row r="63" spans="1:12" ht="26.25" x14ac:dyDescent="0.4">
      <c r="A63" s="1" t="s">
        <v>30</v>
      </c>
      <c r="B63" s="2"/>
      <c r="C63" s="2"/>
      <c r="D63" s="2"/>
      <c r="E63" s="2"/>
      <c r="F63" s="2"/>
      <c r="G63" s="2"/>
      <c r="H63" s="2"/>
      <c r="I63" s="2"/>
      <c r="J63" s="10">
        <f>J64+J65</f>
        <v>510.41864999999996</v>
      </c>
      <c r="K63" s="10">
        <v>510</v>
      </c>
      <c r="L63" s="10">
        <f t="shared" si="6"/>
        <v>0.41864999999995689</v>
      </c>
    </row>
    <row r="64" spans="1:12" ht="26.25" x14ac:dyDescent="0.4">
      <c r="A64" s="7" t="s">
        <v>69</v>
      </c>
      <c r="B64" s="4">
        <v>1</v>
      </c>
      <c r="C64" s="5"/>
      <c r="D64" s="4">
        <f>10.91/3</f>
        <v>3.6366666666666667</v>
      </c>
      <c r="E64" s="4">
        <f>D64*0.05</f>
        <v>0.18183333333333335</v>
      </c>
      <c r="F64" s="4">
        <v>0</v>
      </c>
      <c r="G64" s="4">
        <f>0.75*B64/3</f>
        <v>0.25</v>
      </c>
      <c r="H64" s="4">
        <f>G64*$C$2</f>
        <v>1.75</v>
      </c>
      <c r="I64" s="4">
        <f>D64+F64+H64+E64</f>
        <v>5.5685000000000002</v>
      </c>
      <c r="J64" s="9">
        <f t="shared" ref="J64:J65" si="25">I64*$C$4</f>
        <v>168.72555</v>
      </c>
      <c r="K64" s="9"/>
      <c r="L64" s="10"/>
    </row>
    <row r="65" spans="1:12" ht="26.25" x14ac:dyDescent="0.4">
      <c r="A65" s="7" t="s">
        <v>70</v>
      </c>
      <c r="B65" s="4">
        <v>1</v>
      </c>
      <c r="C65" s="4">
        <v>8.74</v>
      </c>
      <c r="D65" s="4">
        <f t="shared" ref="D65" si="26">B65*C65</f>
        <v>8.74</v>
      </c>
      <c r="E65" s="4">
        <f>D65*0.05</f>
        <v>0.43700000000000006</v>
      </c>
      <c r="F65" s="4">
        <v>0</v>
      </c>
      <c r="G65" s="4">
        <v>0.3</v>
      </c>
      <c r="H65" s="4">
        <f>G65*$C$2</f>
        <v>2.1</v>
      </c>
      <c r="I65" s="4">
        <f>D65+F65+H65+E65</f>
        <v>11.276999999999999</v>
      </c>
      <c r="J65" s="9">
        <f t="shared" si="25"/>
        <v>341.69309999999996</v>
      </c>
      <c r="K65" s="9"/>
      <c r="L65" s="10"/>
    </row>
    <row r="66" spans="1:12" ht="26.25" x14ac:dyDescent="0.4">
      <c r="A66" s="1" t="s">
        <v>31</v>
      </c>
      <c r="B66" s="2"/>
      <c r="C66" s="2"/>
      <c r="D66" s="2"/>
      <c r="E66" s="2"/>
      <c r="F66" s="2"/>
      <c r="G66" s="2"/>
      <c r="H66" s="2"/>
      <c r="I66" s="2"/>
      <c r="J66" s="10">
        <f>J67</f>
        <v>527.81085000000007</v>
      </c>
      <c r="K66" s="10">
        <v>528</v>
      </c>
      <c r="L66" s="10">
        <f t="shared" si="6"/>
        <v>-0.18914999999992688</v>
      </c>
    </row>
    <row r="67" spans="1:12" ht="26.25" x14ac:dyDescent="0.4">
      <c r="A67" s="7" t="s">
        <v>71</v>
      </c>
      <c r="B67" s="4">
        <v>1</v>
      </c>
      <c r="C67" s="5"/>
      <c r="D67" s="4">
        <v>14.59</v>
      </c>
      <c r="E67" s="4">
        <f>D67*0.05</f>
        <v>0.72950000000000004</v>
      </c>
      <c r="F67" s="4">
        <v>0</v>
      </c>
      <c r="G67" s="4">
        <v>0.3</v>
      </c>
      <c r="H67" s="4">
        <f>G67*$C$2</f>
        <v>2.1</v>
      </c>
      <c r="I67" s="4">
        <f>D67+F67+H67+E67</f>
        <v>17.419500000000003</v>
      </c>
      <c r="J67" s="9">
        <f t="shared" ref="J67" si="27">I67*$C$4</f>
        <v>527.81085000000007</v>
      </c>
      <c r="K67" s="9"/>
      <c r="L67" s="10"/>
    </row>
    <row r="68" spans="1:12" ht="26.25" x14ac:dyDescent="0.4">
      <c r="A68" s="1" t="s">
        <v>32</v>
      </c>
      <c r="B68" s="2"/>
      <c r="C68" s="2"/>
      <c r="D68" s="2"/>
      <c r="E68" s="2"/>
      <c r="F68" s="2"/>
      <c r="G68" s="2"/>
      <c r="H68" s="2"/>
      <c r="I68" s="2"/>
      <c r="J68" s="10">
        <f>J69</f>
        <v>494.22329999999999</v>
      </c>
      <c r="K68" s="10">
        <v>500</v>
      </c>
      <c r="L68" s="10">
        <f>K68-J68</f>
        <v>5.7767000000000053</v>
      </c>
    </row>
    <row r="69" spans="1:12" ht="26.25" x14ac:dyDescent="0.4">
      <c r="A69" s="7" t="s">
        <v>72</v>
      </c>
      <c r="B69" s="4">
        <v>2</v>
      </c>
      <c r="C69" s="5">
        <v>6.11</v>
      </c>
      <c r="D69" s="4">
        <f>B69*C69</f>
        <v>12.22</v>
      </c>
      <c r="E69" s="4">
        <f>D69*0.05</f>
        <v>0.6110000000000001</v>
      </c>
      <c r="F69" s="4">
        <f>2.38/7*B69</f>
        <v>0.67999999999999994</v>
      </c>
      <c r="G69" s="4">
        <f>0.2*B69</f>
        <v>0.4</v>
      </c>
      <c r="H69" s="4">
        <f>G69*$C$2</f>
        <v>2.8000000000000003</v>
      </c>
      <c r="I69" s="4">
        <f>D69+F69+H69+E69</f>
        <v>16.311</v>
      </c>
      <c r="J69" s="9">
        <f t="shared" ref="J69" si="28">I69*$C$4</f>
        <v>494.22329999999999</v>
      </c>
      <c r="K69" s="9"/>
      <c r="L69" s="10"/>
    </row>
    <row r="70" spans="1:12" ht="26.25" x14ac:dyDescent="0.4">
      <c r="A70" s="1" t="s">
        <v>36</v>
      </c>
      <c r="B70" s="2"/>
      <c r="C70" s="2"/>
      <c r="D70" s="2"/>
      <c r="E70" s="2"/>
      <c r="F70" s="2"/>
      <c r="G70" s="2"/>
      <c r="H70" s="2"/>
      <c r="I70" s="2"/>
      <c r="J70" s="10">
        <f>J71</f>
        <v>341.16285000000005</v>
      </c>
      <c r="K70" s="10">
        <v>341</v>
      </c>
      <c r="L70" s="10">
        <f t="shared" si="6"/>
        <v>0.16285000000004857</v>
      </c>
    </row>
    <row r="71" spans="1:12" ht="26.25" x14ac:dyDescent="0.4">
      <c r="A71" s="14" t="s">
        <v>35</v>
      </c>
      <c r="B71" s="4">
        <v>2</v>
      </c>
      <c r="C71" s="4">
        <f>9.39/2</f>
        <v>4.6950000000000003</v>
      </c>
      <c r="D71" s="4">
        <f>B71*C71</f>
        <v>9.39</v>
      </c>
      <c r="E71" s="4">
        <f t="shared" ref="E71" si="29">D71*0.05</f>
        <v>0.46950000000000003</v>
      </c>
      <c r="F71" s="18">
        <v>0</v>
      </c>
      <c r="G71" s="4">
        <f>0.2/2*B71</f>
        <v>0.2</v>
      </c>
      <c r="H71" s="4">
        <f>G71*$C$2</f>
        <v>1.4000000000000001</v>
      </c>
      <c r="I71" s="4">
        <f>D71+F71+H71+E71</f>
        <v>11.259500000000001</v>
      </c>
      <c r="J71" s="9">
        <f t="shared" ref="J71:J83" si="30">I71*$C$4</f>
        <v>341.16285000000005</v>
      </c>
      <c r="K71" s="9"/>
      <c r="L71" s="10"/>
    </row>
    <row r="72" spans="1:12" ht="26.25" x14ac:dyDescent="0.4">
      <c r="A72" s="1" t="s">
        <v>37</v>
      </c>
      <c r="B72" s="2"/>
      <c r="C72" s="2"/>
      <c r="D72" s="2"/>
      <c r="E72" s="2"/>
      <c r="F72" s="2"/>
      <c r="G72" s="2"/>
      <c r="H72" s="2"/>
      <c r="I72" s="2"/>
      <c r="J72" s="10">
        <f>J73</f>
        <v>170.58142500000002</v>
      </c>
      <c r="K72" s="10">
        <v>171</v>
      </c>
      <c r="L72" s="10">
        <f t="shared" si="6"/>
        <v>-0.41857499999997572</v>
      </c>
    </row>
    <row r="73" spans="1:12" ht="26.25" x14ac:dyDescent="0.4">
      <c r="A73" s="14" t="s">
        <v>35</v>
      </c>
      <c r="B73" s="4">
        <v>1</v>
      </c>
      <c r="C73" s="4">
        <f>9.39/2*B73</f>
        <v>4.6950000000000003</v>
      </c>
      <c r="D73" s="4">
        <f>B73*C73</f>
        <v>4.6950000000000003</v>
      </c>
      <c r="E73" s="4">
        <f>D73*0.05</f>
        <v>0.23475000000000001</v>
      </c>
      <c r="F73" s="18">
        <v>0</v>
      </c>
      <c r="G73" s="4">
        <f>0.2/2*B73</f>
        <v>0.1</v>
      </c>
      <c r="H73" s="4">
        <f>G73*$C$2</f>
        <v>0.70000000000000007</v>
      </c>
      <c r="I73" s="4">
        <f>D73+F73+H73+E73</f>
        <v>5.6297500000000005</v>
      </c>
      <c r="J73" s="9">
        <f t="shared" si="30"/>
        <v>170.58142500000002</v>
      </c>
      <c r="K73" s="9"/>
      <c r="L73" s="10"/>
    </row>
    <row r="74" spans="1:12" ht="26.25" x14ac:dyDescent="0.4">
      <c r="A74" s="1" t="s">
        <v>38</v>
      </c>
      <c r="B74" s="2"/>
      <c r="C74" s="2"/>
      <c r="D74" s="2"/>
      <c r="E74" s="2"/>
      <c r="F74" s="2"/>
      <c r="G74" s="2"/>
      <c r="H74" s="2"/>
      <c r="I74" s="2"/>
      <c r="J74" s="10">
        <f>J75</f>
        <v>170.58142500000002</v>
      </c>
      <c r="K74" s="10">
        <v>171</v>
      </c>
      <c r="L74" s="10">
        <f t="shared" si="6"/>
        <v>-0.41857499999997572</v>
      </c>
    </row>
    <row r="75" spans="1:12" ht="26.25" x14ac:dyDescent="0.4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0.70000000000000007</v>
      </c>
      <c r="I75" s="4">
        <f>D75+F75+H75+E75</f>
        <v>5.6297500000000005</v>
      </c>
      <c r="J75" s="9">
        <f t="shared" si="30"/>
        <v>170.58142500000002</v>
      </c>
      <c r="K75" s="9"/>
      <c r="L75" s="10"/>
    </row>
    <row r="76" spans="1:12" ht="26.25" x14ac:dyDescent="0.4">
      <c r="A76" s="1" t="s">
        <v>39</v>
      </c>
      <c r="B76" s="2"/>
      <c r="C76" s="2"/>
      <c r="D76" s="2"/>
      <c r="E76" s="2"/>
      <c r="F76" s="2"/>
      <c r="G76" s="2"/>
      <c r="H76" s="2"/>
      <c r="I76" s="2"/>
      <c r="J76" s="10">
        <f>J77</f>
        <v>170.58142500000002</v>
      </c>
      <c r="K76" s="10">
        <v>171</v>
      </c>
      <c r="L76" s="10">
        <f t="shared" ref="L76:L82" si="31">J76-K76</f>
        <v>-0.41857499999997572</v>
      </c>
    </row>
    <row r="77" spans="1:12" ht="26.25" x14ac:dyDescent="0.4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0.70000000000000007</v>
      </c>
      <c r="I77" s="4">
        <f>D77+F77+H77+E77</f>
        <v>5.6297500000000005</v>
      </c>
      <c r="J77" s="9">
        <f t="shared" si="30"/>
        <v>170.58142500000002</v>
      </c>
      <c r="K77" s="9"/>
      <c r="L77" s="10"/>
    </row>
    <row r="78" spans="1:12" ht="26.25" x14ac:dyDescent="0.4">
      <c r="A78" s="1" t="s">
        <v>40</v>
      </c>
      <c r="B78" s="2"/>
      <c r="C78" s="2"/>
      <c r="D78" s="2"/>
      <c r="E78" s="2"/>
      <c r="F78" s="2"/>
      <c r="G78" s="2"/>
      <c r="H78" s="2"/>
      <c r="I78" s="2"/>
      <c r="J78" s="10">
        <f>J79</f>
        <v>170.58142500000002</v>
      </c>
      <c r="K78" s="10">
        <v>171</v>
      </c>
      <c r="L78" s="10">
        <f t="shared" si="31"/>
        <v>-0.41857499999997572</v>
      </c>
    </row>
    <row r="79" spans="1:12" ht="26.25" x14ac:dyDescent="0.4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0.70000000000000007</v>
      </c>
      <c r="I79" s="4">
        <f>D79+F79+H79+E79</f>
        <v>5.6297500000000005</v>
      </c>
      <c r="J79" s="9">
        <f t="shared" si="30"/>
        <v>170.58142500000002</v>
      </c>
      <c r="K79" s="9"/>
      <c r="L79" s="10"/>
    </row>
    <row r="80" spans="1:12" ht="26.25" x14ac:dyDescent="0.4">
      <c r="A80" s="1" t="s">
        <v>41</v>
      </c>
      <c r="B80" s="2"/>
      <c r="C80" s="2"/>
      <c r="D80" s="2"/>
      <c r="E80" s="2"/>
      <c r="F80" s="2"/>
      <c r="G80" s="2"/>
      <c r="H80" s="2"/>
      <c r="I80" s="2"/>
      <c r="J80" s="10">
        <f>J81</f>
        <v>170.58142500000002</v>
      </c>
      <c r="K80" s="10">
        <v>171</v>
      </c>
      <c r="L80" s="10">
        <f t="shared" si="31"/>
        <v>-0.41857499999997572</v>
      </c>
    </row>
    <row r="81" spans="1:12" ht="26.25" x14ac:dyDescent="0.4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0.70000000000000007</v>
      </c>
      <c r="I81" s="4">
        <f>D81+F81+H81+E81</f>
        <v>5.6297500000000005</v>
      </c>
      <c r="J81" s="9">
        <f t="shared" si="30"/>
        <v>170.58142500000002</v>
      </c>
      <c r="K81" s="9"/>
      <c r="L81" s="10"/>
    </row>
    <row r="82" spans="1:12" ht="26.25" x14ac:dyDescent="0.4">
      <c r="A82" s="1" t="s">
        <v>42</v>
      </c>
      <c r="B82" s="2"/>
      <c r="C82" s="2"/>
      <c r="D82" s="2"/>
      <c r="E82" s="2"/>
      <c r="F82" s="2"/>
      <c r="G82" s="2"/>
      <c r="H82" s="2"/>
      <c r="I82" s="2"/>
      <c r="J82" s="10">
        <f>J83</f>
        <v>170.58142500000002</v>
      </c>
      <c r="K82" s="10">
        <v>171</v>
      </c>
      <c r="L82" s="10">
        <f t="shared" si="31"/>
        <v>-0.41857499999997572</v>
      </c>
    </row>
    <row r="83" spans="1:12" ht="18.75" x14ac:dyDescent="0.3">
      <c r="A83" s="20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0.70000000000000007</v>
      </c>
      <c r="I83" s="4">
        <f>D83+F83+H83+E83</f>
        <v>5.6297500000000005</v>
      </c>
      <c r="J83" s="9">
        <f t="shared" si="30"/>
        <v>170.58142500000002</v>
      </c>
      <c r="K83" s="9"/>
      <c r="L83" s="6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D2" sqref="D2:D3"/>
    </sheetView>
  </sheetViews>
  <sheetFormatPr defaultRowHeight="15" x14ac:dyDescent="0.25"/>
  <cols>
    <col min="1" max="1" width="35.140625" customWidth="1"/>
    <col min="3" max="3" width="17.42578125" customWidth="1"/>
    <col min="10" max="10" width="12" customWidth="1"/>
    <col min="11" max="11" width="9.5703125" bestFit="1" customWidth="1"/>
    <col min="12" max="12" width="12.42578125" customWidth="1"/>
  </cols>
  <sheetData>
    <row r="1" spans="1:13" ht="21" x14ac:dyDescent="0.35">
      <c r="A1" s="55" t="s">
        <v>281</v>
      </c>
      <c r="B1" s="4"/>
      <c r="C1" s="15">
        <v>41888</v>
      </c>
      <c r="D1" s="30"/>
    </row>
    <row r="2" spans="1:13" ht="21" x14ac:dyDescent="0.35">
      <c r="A2" s="55" t="s">
        <v>239</v>
      </c>
      <c r="B2" s="4"/>
      <c r="C2" s="16">
        <v>7500</v>
      </c>
      <c r="D2" s="30"/>
    </row>
    <row r="3" spans="1:13" ht="21" x14ac:dyDescent="0.35">
      <c r="A3" s="55" t="s">
        <v>240</v>
      </c>
      <c r="B3" s="4"/>
      <c r="C3" s="16">
        <v>3.5900000000000001E-2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0" t="s">
        <v>460</v>
      </c>
      <c r="B6" s="151"/>
      <c r="C6" s="151"/>
      <c r="D6" s="32"/>
      <c r="E6" s="92"/>
      <c r="F6" s="146"/>
      <c r="G6" s="147"/>
      <c r="H6" s="32"/>
      <c r="I6" s="2"/>
      <c r="J6" s="52">
        <f>J8+J7</f>
        <v>1019.56</v>
      </c>
      <c r="K6" s="10">
        <v>1020</v>
      </c>
      <c r="L6" s="10">
        <f>K6-J6</f>
        <v>0.44000000000005457</v>
      </c>
      <c r="M6" s="132"/>
    </row>
    <row r="7" spans="1:13" x14ac:dyDescent="0.25">
      <c r="A7" s="153" t="s">
        <v>461</v>
      </c>
      <c r="B7" s="153">
        <v>1</v>
      </c>
      <c r="C7" s="153">
        <v>10000</v>
      </c>
      <c r="D7" s="37">
        <f t="shared" ref="D7:D8" si="0">B7*C7</f>
        <v>10000</v>
      </c>
      <c r="E7" s="39">
        <f t="shared" ref="E7:E8" si="1">D7*0.1</f>
        <v>1000</v>
      </c>
      <c r="F7" s="4">
        <v>0</v>
      </c>
      <c r="G7" s="153">
        <v>0.27</v>
      </c>
      <c r="H7" s="37">
        <f>G7</f>
        <v>0.27</v>
      </c>
      <c r="I7" s="4">
        <f>H7*$C$2</f>
        <v>2025.0000000000002</v>
      </c>
      <c r="J7" s="51">
        <f>(D7+E7+F7+I7)*$C$3</f>
        <v>467.59750000000003</v>
      </c>
      <c r="K7" s="6"/>
      <c r="L7" s="17"/>
    </row>
    <row r="8" spans="1:13" x14ac:dyDescent="0.25">
      <c r="A8" s="153" t="s">
        <v>261</v>
      </c>
      <c r="B8" s="153">
        <v>1</v>
      </c>
      <c r="C8" s="153">
        <v>10000</v>
      </c>
      <c r="D8" s="37">
        <f t="shared" si="0"/>
        <v>10000</v>
      </c>
      <c r="E8" s="39">
        <f t="shared" si="1"/>
        <v>1000</v>
      </c>
      <c r="F8" s="4">
        <v>2500</v>
      </c>
      <c r="G8" s="153">
        <v>0.25</v>
      </c>
      <c r="H8" s="37">
        <f t="shared" ref="H8" si="2">G8</f>
        <v>0.25</v>
      </c>
      <c r="I8" s="4">
        <f t="shared" ref="I8" si="3">H8*$C$2</f>
        <v>1875</v>
      </c>
      <c r="J8" s="51">
        <f t="shared" ref="J8" si="4">(D8+E8+F8+I8)*$C$3</f>
        <v>551.96249999999998</v>
      </c>
      <c r="K8" s="6"/>
      <c r="L8" s="17"/>
    </row>
    <row r="9" spans="1:13" ht="31.5" x14ac:dyDescent="0.5">
      <c r="A9" s="150" t="s">
        <v>254</v>
      </c>
      <c r="B9" s="151"/>
      <c r="C9" s="151"/>
      <c r="D9" s="32"/>
      <c r="E9" s="92"/>
      <c r="F9" s="151"/>
      <c r="G9" s="151"/>
      <c r="H9" s="32"/>
      <c r="I9" s="2"/>
      <c r="J9" s="52">
        <f>J11+J10</f>
        <v>1189.3670000000002</v>
      </c>
      <c r="K9" s="10">
        <v>1189</v>
      </c>
      <c r="L9" s="10">
        <f>K9-J9</f>
        <v>-0.36700000000018917</v>
      </c>
      <c r="M9" s="132"/>
    </row>
    <row r="10" spans="1:13" x14ac:dyDescent="0.25">
      <c r="A10" s="17" t="s">
        <v>462</v>
      </c>
      <c r="B10" s="4">
        <v>1</v>
      </c>
      <c r="C10" s="4">
        <v>11900</v>
      </c>
      <c r="D10" s="37">
        <f t="shared" ref="D10:D11" si="5">B10*C10</f>
        <v>11900</v>
      </c>
      <c r="E10" s="39">
        <f t="shared" ref="E10:E11" si="6">D10*0.1</f>
        <v>1190</v>
      </c>
      <c r="F10" s="4">
        <v>3000</v>
      </c>
      <c r="G10" s="4">
        <v>0.3</v>
      </c>
      <c r="H10" s="37">
        <f>G10</f>
        <v>0.3</v>
      </c>
      <c r="I10" s="4">
        <f>H10*$C$2</f>
        <v>2250</v>
      </c>
      <c r="J10" s="51">
        <f>(D10+E10+F10+I10)*$C$3</f>
        <v>658.40600000000006</v>
      </c>
      <c r="K10" s="6"/>
      <c r="L10" s="17"/>
    </row>
    <row r="11" spans="1:13" x14ac:dyDescent="0.25">
      <c r="A11" s="17" t="s">
        <v>463</v>
      </c>
      <c r="B11" s="4">
        <v>1</v>
      </c>
      <c r="C11" s="4">
        <f>1500+9900</f>
        <v>11400</v>
      </c>
      <c r="D11" s="37">
        <f t="shared" si="5"/>
        <v>11400</v>
      </c>
      <c r="E11" s="39">
        <f t="shared" si="6"/>
        <v>1140</v>
      </c>
      <c r="F11" s="4">
        <v>0</v>
      </c>
      <c r="G11" s="4">
        <v>0.3</v>
      </c>
      <c r="H11" s="37">
        <f t="shared" ref="H11" si="7">G11</f>
        <v>0.3</v>
      </c>
      <c r="I11" s="4">
        <f t="shared" ref="I11" si="8">H11*$C$2</f>
        <v>2250</v>
      </c>
      <c r="J11" s="51">
        <f t="shared" ref="J11" si="9">(D11+E11+F11+I11)*$C$3</f>
        <v>530.96100000000001</v>
      </c>
      <c r="K11" s="6"/>
      <c r="L11" s="17"/>
    </row>
    <row r="12" spans="1:13" ht="31.5" x14ac:dyDescent="0.5">
      <c r="A12" s="150" t="s">
        <v>464</v>
      </c>
      <c r="B12" s="151"/>
      <c r="C12" s="151"/>
      <c r="D12" s="32"/>
      <c r="E12" s="92"/>
      <c r="F12" s="151"/>
      <c r="G12" s="151"/>
      <c r="H12" s="32"/>
      <c r="I12" s="2"/>
      <c r="J12" s="52">
        <f>J14+J13</f>
        <v>468.38729999999998</v>
      </c>
      <c r="K12" s="10">
        <v>453</v>
      </c>
      <c r="L12" s="10">
        <f>K12-J12</f>
        <v>-15.387299999999982</v>
      </c>
      <c r="M12" s="132"/>
    </row>
    <row r="13" spans="1:13" x14ac:dyDescent="0.25">
      <c r="A13" s="4" t="s">
        <v>465</v>
      </c>
      <c r="B13" s="4">
        <v>3</v>
      </c>
      <c r="C13" s="4">
        <v>990</v>
      </c>
      <c r="D13" s="37">
        <f t="shared" ref="D13:D14" si="10">B13*C13</f>
        <v>2970</v>
      </c>
      <c r="E13" s="39">
        <f>D13*0.1</f>
        <v>297</v>
      </c>
      <c r="F13" s="4">
        <f>2500/4*3</f>
        <v>1875</v>
      </c>
      <c r="G13" s="4">
        <v>0.14000000000000001</v>
      </c>
      <c r="H13" s="37">
        <f>G13*B13</f>
        <v>0.42000000000000004</v>
      </c>
      <c r="I13" s="4">
        <f>H13*$C$2</f>
        <v>3150.0000000000005</v>
      </c>
      <c r="J13" s="51">
        <f>(D13+E13+F13+I13)*$C$3</f>
        <v>297.68279999999999</v>
      </c>
      <c r="K13" s="6"/>
      <c r="L13" s="17"/>
    </row>
    <row r="14" spans="1:13" x14ac:dyDescent="0.25">
      <c r="A14" s="4" t="s">
        <v>172</v>
      </c>
      <c r="B14" s="4">
        <v>1</v>
      </c>
      <c r="C14" s="4">
        <v>3300</v>
      </c>
      <c r="D14" s="37">
        <f t="shared" si="10"/>
        <v>3300</v>
      </c>
      <c r="E14" s="39">
        <f t="shared" ref="E14" si="11">D14*0.1</f>
        <v>330</v>
      </c>
      <c r="F14" s="4">
        <v>0</v>
      </c>
      <c r="G14" s="4">
        <v>0.15</v>
      </c>
      <c r="H14" s="37">
        <f t="shared" ref="H14" si="12">G14</f>
        <v>0.15</v>
      </c>
      <c r="I14" s="4">
        <f t="shared" ref="I14" si="13">H14*$C$2</f>
        <v>1125</v>
      </c>
      <c r="J14" s="51">
        <f t="shared" ref="J14" si="14">(D14+E14+F14+I14)*$C$3</f>
        <v>170.7045</v>
      </c>
      <c r="K14" s="6"/>
      <c r="L14" s="17"/>
    </row>
    <row r="15" spans="1:13" ht="31.5" x14ac:dyDescent="0.5">
      <c r="A15" s="150" t="s">
        <v>466</v>
      </c>
      <c r="B15" s="151"/>
      <c r="C15" s="151"/>
      <c r="D15" s="32"/>
      <c r="E15" s="92"/>
      <c r="F15" s="151"/>
      <c r="G15" s="151"/>
      <c r="H15" s="32"/>
      <c r="I15" s="2"/>
      <c r="J15" s="52">
        <f>J16</f>
        <v>1373.175</v>
      </c>
      <c r="K15" s="10">
        <v>1373</v>
      </c>
      <c r="L15" s="10">
        <f t="shared" ref="L15" si="15">K15-J15</f>
        <v>-0.17499999999995453</v>
      </c>
      <c r="M15" s="132"/>
    </row>
    <row r="16" spans="1:13" x14ac:dyDescent="0.25">
      <c r="A16" s="4" t="s">
        <v>421</v>
      </c>
      <c r="B16" s="4">
        <v>1</v>
      </c>
      <c r="C16" s="4">
        <v>25000</v>
      </c>
      <c r="D16" s="37">
        <f t="shared" ref="D16" si="16">B16*C16</f>
        <v>25000</v>
      </c>
      <c r="E16" s="39">
        <f>D16*0.1</f>
        <v>2500</v>
      </c>
      <c r="F16" s="4">
        <v>2500</v>
      </c>
      <c r="G16" s="4">
        <v>1.1000000000000001</v>
      </c>
      <c r="H16" s="37">
        <f>G16</f>
        <v>1.1000000000000001</v>
      </c>
      <c r="I16" s="4">
        <f>H16*$C$2</f>
        <v>8250</v>
      </c>
      <c r="J16" s="51">
        <f>(D16+E16+F16+I16)*$C$3</f>
        <v>1373.175</v>
      </c>
      <c r="K16" s="6"/>
      <c r="L16" s="17"/>
    </row>
    <row r="17" spans="1:13" ht="31.5" x14ac:dyDescent="0.5">
      <c r="A17" s="150" t="s">
        <v>20</v>
      </c>
      <c r="B17" s="151"/>
      <c r="C17" s="151"/>
      <c r="D17" s="32"/>
      <c r="E17" s="92"/>
      <c r="F17" s="151"/>
      <c r="G17" s="151"/>
      <c r="H17" s="32"/>
      <c r="I17" s="2"/>
      <c r="J17" s="52">
        <f>J18</f>
        <v>544.42349999999999</v>
      </c>
      <c r="K17" s="10">
        <v>539</v>
      </c>
      <c r="L17" s="10">
        <f t="shared" ref="L17" si="17">K17-J17</f>
        <v>-5.42349999999999</v>
      </c>
      <c r="M17" s="133"/>
    </row>
    <row r="18" spans="1:13" x14ac:dyDescent="0.25">
      <c r="A18" s="4" t="s">
        <v>467</v>
      </c>
      <c r="B18" s="4">
        <v>1</v>
      </c>
      <c r="C18" s="4">
        <v>12900</v>
      </c>
      <c r="D18" s="37">
        <f t="shared" ref="D18" si="18">B18*C18</f>
        <v>12900</v>
      </c>
      <c r="E18" s="39">
        <f>D18*0.1</f>
        <v>1290</v>
      </c>
      <c r="F18" s="4">
        <v>0</v>
      </c>
      <c r="G18" s="4">
        <v>0.13</v>
      </c>
      <c r="H18" s="37">
        <f>G18*B18</f>
        <v>0.13</v>
      </c>
      <c r="I18" s="4">
        <f>H18*$C$2</f>
        <v>975</v>
      </c>
      <c r="J18" s="51">
        <f>(D18+E18+F18+I18)*$C$3</f>
        <v>544.42349999999999</v>
      </c>
      <c r="K18" s="6"/>
      <c r="L18" s="17"/>
    </row>
    <row r="19" spans="1:13" ht="31.5" x14ac:dyDescent="0.5">
      <c r="A19" s="150" t="s">
        <v>165</v>
      </c>
      <c r="B19" s="151"/>
      <c r="C19" s="151"/>
      <c r="D19" s="32"/>
      <c r="E19" s="92"/>
      <c r="F19" s="151"/>
      <c r="G19" s="151"/>
      <c r="H19" s="32"/>
      <c r="I19" s="2"/>
      <c r="J19" s="52">
        <f>J20</f>
        <v>495.95850000000002</v>
      </c>
      <c r="K19" s="10">
        <v>496</v>
      </c>
      <c r="L19" s="10">
        <f t="shared" ref="L19" si="19">K19-J19</f>
        <v>4.1499999999984993E-2</v>
      </c>
      <c r="M19" s="133"/>
    </row>
    <row r="20" spans="1:13" x14ac:dyDescent="0.25">
      <c r="A20" s="4" t="s">
        <v>471</v>
      </c>
      <c r="B20" s="4">
        <v>1</v>
      </c>
      <c r="C20" s="4">
        <v>9900</v>
      </c>
      <c r="D20" s="37">
        <f t="shared" ref="D20" si="20">B20*C20</f>
        <v>9900</v>
      </c>
      <c r="E20" s="39">
        <f>D20*0.1</f>
        <v>990</v>
      </c>
      <c r="F20" s="4">
        <v>0</v>
      </c>
      <c r="G20" s="4">
        <v>0.39</v>
      </c>
      <c r="H20" s="37">
        <f>G20*B20</f>
        <v>0.39</v>
      </c>
      <c r="I20" s="4">
        <f>H20*$C$2</f>
        <v>2925</v>
      </c>
      <c r="J20" s="51">
        <f>(D20+E20+F20+I20)*$C$3</f>
        <v>495.95850000000002</v>
      </c>
      <c r="K20" s="6"/>
      <c r="L20" s="1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"/>
  <sheetViews>
    <sheetView zoomScale="70" zoomScaleNormal="70" workbookViewId="0">
      <selection activeCell="C2" sqref="C2"/>
    </sheetView>
  </sheetViews>
  <sheetFormatPr defaultRowHeight="15" x14ac:dyDescent="0.25"/>
  <cols>
    <col min="1" max="1" width="35.140625" customWidth="1"/>
    <col min="3" max="3" width="17.42578125" customWidth="1"/>
    <col min="10" max="10" width="12" customWidth="1"/>
    <col min="11" max="11" width="10" bestFit="1" customWidth="1"/>
    <col min="12" max="12" width="12.42578125" customWidth="1"/>
  </cols>
  <sheetData>
    <row r="1" spans="1:13" ht="21" x14ac:dyDescent="0.35">
      <c r="A1" s="55" t="s">
        <v>281</v>
      </c>
      <c r="B1" s="4"/>
      <c r="C1" s="15">
        <v>41898</v>
      </c>
      <c r="D1" s="30"/>
    </row>
    <row r="2" spans="1:13" ht="21" x14ac:dyDescent="0.35">
      <c r="A2" s="55" t="s">
        <v>239</v>
      </c>
      <c r="B2" s="4"/>
      <c r="C2" s="16">
        <v>7450</v>
      </c>
      <c r="D2" s="30"/>
    </row>
    <row r="3" spans="1:13" ht="21" x14ac:dyDescent="0.35">
      <c r="A3" s="55" t="s">
        <v>240</v>
      </c>
      <c r="B3" s="4"/>
      <c r="C3" s="16">
        <v>3.7900000000000003E-2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0" t="s">
        <v>447</v>
      </c>
      <c r="B6" s="151"/>
      <c r="C6" s="151"/>
      <c r="D6" s="32"/>
      <c r="E6" s="92"/>
      <c r="F6" s="146"/>
      <c r="G6" s="147"/>
      <c r="H6" s="32"/>
      <c r="I6" s="2"/>
      <c r="J6" s="52">
        <f>SUM(J7:J10)</f>
        <v>2094.5529750000001</v>
      </c>
      <c r="K6" s="10">
        <f>1993+101</f>
        <v>2094</v>
      </c>
      <c r="L6" s="10">
        <f>K6-J6</f>
        <v>-0.55297500000006039</v>
      </c>
      <c r="M6" s="132"/>
    </row>
    <row r="7" spans="1:13" x14ac:dyDescent="0.25">
      <c r="A7" s="3" t="s">
        <v>473</v>
      </c>
      <c r="B7" s="4">
        <v>1</v>
      </c>
      <c r="C7" s="4">
        <v>9900</v>
      </c>
      <c r="D7" s="37">
        <f t="shared" ref="D7:D8" si="0">B7*C7</f>
        <v>9900</v>
      </c>
      <c r="E7" s="39">
        <f t="shared" ref="E7:E8" si="1">D7*0.1</f>
        <v>990</v>
      </c>
      <c r="F7" s="4">
        <v>0</v>
      </c>
      <c r="G7" s="4">
        <v>0.26</v>
      </c>
      <c r="H7" s="37">
        <f>G7</f>
        <v>0.26</v>
      </c>
      <c r="I7" s="4">
        <f>H7*$C$2</f>
        <v>1937</v>
      </c>
      <c r="J7" s="51">
        <f>(D7+E7+F7+I7)*$C$3</f>
        <v>486.14330000000007</v>
      </c>
      <c r="K7" s="6"/>
      <c r="L7" s="17"/>
    </row>
    <row r="8" spans="1:13" x14ac:dyDescent="0.25">
      <c r="A8" s="3" t="s">
        <v>484</v>
      </c>
      <c r="B8" s="4">
        <v>3</v>
      </c>
      <c r="C8" s="4">
        <v>1500</v>
      </c>
      <c r="D8" s="37">
        <f t="shared" si="0"/>
        <v>4500</v>
      </c>
      <c r="E8" s="39">
        <f t="shared" si="1"/>
        <v>450</v>
      </c>
      <c r="F8" s="4">
        <v>2500</v>
      </c>
      <c r="G8" s="5">
        <f>0.29</f>
        <v>0.28999999999999998</v>
      </c>
      <c r="H8" s="37">
        <f>G8*B8</f>
        <v>0.86999999999999988</v>
      </c>
      <c r="I8" s="4">
        <f t="shared" ref="I8" si="2">H8*$C$2</f>
        <v>6481.4999999999991</v>
      </c>
      <c r="J8" s="51">
        <f t="shared" ref="J8" si="3">(D8+E8+F8+I8)*$C$3</f>
        <v>528.00385000000006</v>
      </c>
      <c r="K8" s="6"/>
      <c r="L8" s="17"/>
    </row>
    <row r="9" spans="1:13" x14ac:dyDescent="0.25">
      <c r="A9" s="4" t="s">
        <v>474</v>
      </c>
      <c r="B9" s="4">
        <v>1</v>
      </c>
      <c r="C9" s="4">
        <f>9900/2</f>
        <v>4950</v>
      </c>
      <c r="D9" s="37">
        <f t="shared" ref="D9:D10" si="4">B9*C9</f>
        <v>4950</v>
      </c>
      <c r="E9" s="39">
        <f t="shared" ref="E9:E10" si="5">D9*0.1</f>
        <v>495</v>
      </c>
      <c r="F9" s="4">
        <v>0</v>
      </c>
      <c r="G9" s="4">
        <f>0.41/2</f>
        <v>0.20499999999999999</v>
      </c>
      <c r="H9" s="37">
        <f>G9</f>
        <v>0.20499999999999999</v>
      </c>
      <c r="I9" s="4">
        <f>H9*$C$2</f>
        <v>1527.25</v>
      </c>
      <c r="J9" s="51">
        <f>(D9+E9+F9+I9)*$C$3</f>
        <v>264.24827500000004</v>
      </c>
      <c r="K9" s="6"/>
      <c r="L9" s="17"/>
    </row>
    <row r="10" spans="1:13" x14ac:dyDescent="0.25">
      <c r="A10" s="4" t="s">
        <v>475</v>
      </c>
      <c r="B10" s="4">
        <v>1</v>
      </c>
      <c r="C10" s="4">
        <v>16800</v>
      </c>
      <c r="D10" s="37">
        <f t="shared" si="4"/>
        <v>16800</v>
      </c>
      <c r="E10" s="39">
        <f t="shared" si="5"/>
        <v>1680</v>
      </c>
      <c r="F10" s="4">
        <v>0</v>
      </c>
      <c r="G10" s="4">
        <v>0.41</v>
      </c>
      <c r="H10" s="37">
        <f t="shared" ref="H10" si="6">G10</f>
        <v>0.41</v>
      </c>
      <c r="I10" s="4">
        <f t="shared" ref="I10" si="7">H10*$C$2</f>
        <v>3054.5</v>
      </c>
      <c r="J10" s="51">
        <f t="shared" ref="J10" si="8">(D10+E10+F10+I10)*$C$3</f>
        <v>816.15755000000001</v>
      </c>
      <c r="K10" s="6"/>
      <c r="L10" s="17"/>
    </row>
    <row r="11" spans="1:13" ht="31.5" x14ac:dyDescent="0.5">
      <c r="A11" s="150" t="s">
        <v>2</v>
      </c>
      <c r="B11" s="151"/>
      <c r="C11" s="151"/>
      <c r="D11" s="32"/>
      <c r="E11" s="92"/>
      <c r="F11" s="151"/>
      <c r="G11" s="151"/>
      <c r="H11" s="32"/>
      <c r="I11" s="2"/>
      <c r="J11" s="52">
        <f>SUM(J12:J14)</f>
        <v>1849.2357500000003</v>
      </c>
      <c r="K11" s="10">
        <f>1752+91</f>
        <v>1843</v>
      </c>
      <c r="L11" s="10">
        <f>K11-J11</f>
        <v>-6.2357500000002801</v>
      </c>
      <c r="M11" s="132"/>
    </row>
    <row r="12" spans="1:13" x14ac:dyDescent="0.25">
      <c r="A12" s="4" t="s">
        <v>476</v>
      </c>
      <c r="B12" s="4">
        <v>1</v>
      </c>
      <c r="C12" s="4">
        <v>9800</v>
      </c>
      <c r="D12" s="37">
        <f t="shared" ref="D12:D14" si="9">B12*C12</f>
        <v>9800</v>
      </c>
      <c r="E12" s="39">
        <f t="shared" ref="E12:E14" si="10">D12*0.1</f>
        <v>980</v>
      </c>
      <c r="F12" s="66">
        <v>0</v>
      </c>
      <c r="G12" s="4">
        <v>0.3</v>
      </c>
      <c r="H12" s="37">
        <f>G12</f>
        <v>0.3</v>
      </c>
      <c r="I12" s="4">
        <f>H12*$C$2</f>
        <v>2235</v>
      </c>
      <c r="J12" s="51">
        <f>(D12+E12+F12+I12)*$C$3</f>
        <v>493.26850000000002</v>
      </c>
      <c r="K12" s="6"/>
      <c r="L12" s="17"/>
    </row>
    <row r="13" spans="1:13" x14ac:dyDescent="0.25">
      <c r="A13" s="4" t="s">
        <v>477</v>
      </c>
      <c r="B13" s="4">
        <v>1</v>
      </c>
      <c r="C13" s="4">
        <v>12000</v>
      </c>
      <c r="D13" s="37">
        <f t="shared" si="9"/>
        <v>12000</v>
      </c>
      <c r="E13" s="39">
        <f t="shared" si="10"/>
        <v>1200</v>
      </c>
      <c r="F13" s="66">
        <v>0</v>
      </c>
      <c r="G13" s="4">
        <v>0.3</v>
      </c>
      <c r="H13" s="37">
        <f>G13</f>
        <v>0.3</v>
      </c>
      <c r="I13" s="4">
        <f>H13*$C$2</f>
        <v>2235</v>
      </c>
      <c r="J13" s="51">
        <f>(D13+E13+F13+I13)*$C$3</f>
        <v>584.98650000000009</v>
      </c>
      <c r="K13" s="6"/>
      <c r="L13" s="17"/>
    </row>
    <row r="14" spans="1:13" x14ac:dyDescent="0.25">
      <c r="A14" s="4" t="s">
        <v>478</v>
      </c>
      <c r="B14" s="4">
        <v>1</v>
      </c>
      <c r="C14" s="4">
        <v>16800</v>
      </c>
      <c r="D14" s="37">
        <f t="shared" si="9"/>
        <v>16800</v>
      </c>
      <c r="E14" s="39">
        <f t="shared" si="10"/>
        <v>1680</v>
      </c>
      <c r="F14" s="4">
        <v>0</v>
      </c>
      <c r="G14" s="4">
        <v>0.25</v>
      </c>
      <c r="H14" s="37">
        <f t="shared" ref="H14" si="11">G14</f>
        <v>0.25</v>
      </c>
      <c r="I14" s="4">
        <f t="shared" ref="I14" si="12">H14*$C$2</f>
        <v>1862.5</v>
      </c>
      <c r="J14" s="51">
        <f t="shared" ref="J14" si="13">(D14+E14+F14+I14)*$C$3</f>
        <v>770.98075000000006</v>
      </c>
      <c r="K14" s="6"/>
      <c r="L14" s="17"/>
    </row>
    <row r="15" spans="1:13" ht="31.5" x14ac:dyDescent="0.5">
      <c r="A15" s="150" t="s">
        <v>28</v>
      </c>
      <c r="B15" s="151"/>
      <c r="C15" s="151"/>
      <c r="D15" s="32"/>
      <c r="E15" s="92"/>
      <c r="F15" s="151"/>
      <c r="G15" s="151"/>
      <c r="H15" s="32"/>
      <c r="I15" s="2"/>
      <c r="J15" s="52">
        <f>J17+J16</f>
        <v>1088.9049</v>
      </c>
      <c r="K15" s="10">
        <f>970+111</f>
        <v>1081</v>
      </c>
      <c r="L15" s="10">
        <f>K15-J15</f>
        <v>-7.9048999999999978</v>
      </c>
      <c r="M15" s="132"/>
    </row>
    <row r="16" spans="1:13" x14ac:dyDescent="0.25">
      <c r="A16" s="4" t="s">
        <v>243</v>
      </c>
      <c r="B16" s="5">
        <v>1</v>
      </c>
      <c r="C16" s="5">
        <v>2900</v>
      </c>
      <c r="D16" s="37">
        <f t="shared" ref="D16:D17" si="14">B16*C16</f>
        <v>2900</v>
      </c>
      <c r="E16" s="39">
        <f t="shared" ref="E16:E17" si="15">D16*0.1</f>
        <v>290</v>
      </c>
      <c r="F16" s="5">
        <f>2500/2</f>
        <v>1250</v>
      </c>
      <c r="G16" s="5">
        <v>0.37</v>
      </c>
      <c r="H16" s="37">
        <f>G16</f>
        <v>0.37</v>
      </c>
      <c r="I16" s="4">
        <f>H16*$C$2</f>
        <v>2756.5</v>
      </c>
      <c r="J16" s="51">
        <f>(D16+E16+F16+I16)*$C$3</f>
        <v>272.74735000000004</v>
      </c>
      <c r="K16" s="6"/>
      <c r="L16" s="17"/>
    </row>
    <row r="17" spans="1:13" x14ac:dyDescent="0.25">
      <c r="A17" s="4" t="s">
        <v>475</v>
      </c>
      <c r="B17" s="4">
        <v>1</v>
      </c>
      <c r="C17" s="4">
        <v>16800</v>
      </c>
      <c r="D17" s="37">
        <f t="shared" si="14"/>
        <v>16800</v>
      </c>
      <c r="E17" s="39">
        <f t="shared" si="15"/>
        <v>1680</v>
      </c>
      <c r="F17" s="4">
        <v>0</v>
      </c>
      <c r="G17" s="4">
        <v>0.41</v>
      </c>
      <c r="H17" s="37">
        <f t="shared" ref="H17" si="16">G17</f>
        <v>0.41</v>
      </c>
      <c r="I17" s="4">
        <f t="shared" ref="I17" si="17">H17*$C$2</f>
        <v>3054.5</v>
      </c>
      <c r="J17" s="51">
        <f t="shared" ref="J17" si="18">(D17+E17+F17+I17)*$C$3</f>
        <v>816.15755000000001</v>
      </c>
      <c r="K17" s="6"/>
      <c r="L17" s="17"/>
    </row>
    <row r="18" spans="1:13" ht="31.5" x14ac:dyDescent="0.5">
      <c r="A18" s="150" t="s">
        <v>479</v>
      </c>
      <c r="B18" s="151"/>
      <c r="C18" s="151"/>
      <c r="D18" s="32"/>
      <c r="E18" s="92"/>
      <c r="F18" s="151"/>
      <c r="G18" s="151"/>
      <c r="H18" s="32"/>
      <c r="I18" s="2"/>
      <c r="J18" s="52">
        <f>J19</f>
        <v>264.24827500000004</v>
      </c>
      <c r="K18" s="10">
        <f>251+13</f>
        <v>264</v>
      </c>
      <c r="L18" s="10">
        <f t="shared" ref="L18" si="19">K18-J18</f>
        <v>-0.24827500000003511</v>
      </c>
      <c r="M18" s="132"/>
    </row>
    <row r="19" spans="1:13" x14ac:dyDescent="0.25">
      <c r="A19" s="4" t="s">
        <v>474</v>
      </c>
      <c r="B19" s="4">
        <v>1</v>
      </c>
      <c r="C19" s="4">
        <f>9900/2</f>
        <v>4950</v>
      </c>
      <c r="D19" s="37">
        <f t="shared" ref="D19" si="20">B19*C19</f>
        <v>4950</v>
      </c>
      <c r="E19" s="39">
        <f>D19*0.1</f>
        <v>495</v>
      </c>
      <c r="F19" s="4">
        <v>0</v>
      </c>
      <c r="G19" s="4">
        <f>0.41/2</f>
        <v>0.20499999999999999</v>
      </c>
      <c r="H19" s="37">
        <f>G19</f>
        <v>0.20499999999999999</v>
      </c>
      <c r="I19" s="4">
        <f>H19*$C$2</f>
        <v>1527.25</v>
      </c>
      <c r="J19" s="51">
        <f>(D19+E19+F19+I19)*$C$3</f>
        <v>264.24827500000004</v>
      </c>
      <c r="K19" s="6"/>
      <c r="L19" s="17"/>
    </row>
    <row r="20" spans="1:13" ht="31.5" x14ac:dyDescent="0.5">
      <c r="A20" s="150" t="s">
        <v>480</v>
      </c>
      <c r="B20" s="151"/>
      <c r="C20" s="151"/>
      <c r="D20" s="32"/>
      <c r="E20" s="92"/>
      <c r="F20" s="151"/>
      <c r="G20" s="151"/>
      <c r="H20" s="32"/>
      <c r="I20" s="2"/>
      <c r="J20" s="52">
        <f>J21</f>
        <v>816.15755000000001</v>
      </c>
      <c r="K20" s="10">
        <f>776+40</f>
        <v>816</v>
      </c>
      <c r="L20" s="10">
        <f t="shared" ref="L20" si="21">K20-J20</f>
        <v>-0.15755000000001473</v>
      </c>
      <c r="M20" s="133"/>
    </row>
    <row r="21" spans="1:13" x14ac:dyDescent="0.25">
      <c r="A21" s="4" t="s">
        <v>475</v>
      </c>
      <c r="B21" s="4">
        <v>1</v>
      </c>
      <c r="C21" s="4">
        <v>16800</v>
      </c>
      <c r="D21" s="37">
        <f t="shared" ref="D21" si="22">B21*C21</f>
        <v>16800</v>
      </c>
      <c r="E21" s="39">
        <f>D21*0.1</f>
        <v>1680</v>
      </c>
      <c r="F21" s="4">
        <v>0</v>
      </c>
      <c r="G21" s="4">
        <v>0.41</v>
      </c>
      <c r="H21" s="37">
        <f>G21*B21</f>
        <v>0.41</v>
      </c>
      <c r="I21" s="4">
        <f>H21*$C$2</f>
        <v>3054.5</v>
      </c>
      <c r="J21" s="51">
        <f>(D21+E21+F21+I21)*$C$3</f>
        <v>816.15755000000001</v>
      </c>
      <c r="K21" s="6"/>
      <c r="L21" s="17"/>
    </row>
    <row r="22" spans="1:13" ht="31.5" x14ac:dyDescent="0.5">
      <c r="A22" s="150" t="s">
        <v>460</v>
      </c>
      <c r="B22" s="151"/>
      <c r="C22" s="151"/>
      <c r="D22" s="32"/>
      <c r="E22" s="92"/>
      <c r="F22" s="151"/>
      <c r="G22" s="151"/>
      <c r="H22" s="32"/>
      <c r="I22" s="2"/>
      <c r="J22" s="52">
        <f>J23</f>
        <v>727.98320000000001</v>
      </c>
      <c r="K22" s="10">
        <f>693+35</f>
        <v>728</v>
      </c>
      <c r="L22" s="10">
        <f t="shared" ref="L22" si="23">K22-J22</f>
        <v>1.6799999999989268E-2</v>
      </c>
      <c r="M22" s="133"/>
    </row>
    <row r="23" spans="1:13" x14ac:dyDescent="0.25">
      <c r="A23" s="4" t="s">
        <v>57</v>
      </c>
      <c r="B23" s="4">
        <v>1</v>
      </c>
      <c r="C23" s="4">
        <v>9500</v>
      </c>
      <c r="D23" s="37">
        <f t="shared" ref="D23" si="24">B23*C23</f>
        <v>9500</v>
      </c>
      <c r="E23" s="39">
        <f>D23*0.1</f>
        <v>950</v>
      </c>
      <c r="F23" s="4">
        <v>2500</v>
      </c>
      <c r="G23" s="4">
        <v>0.84</v>
      </c>
      <c r="H23" s="37">
        <f>G23*B23</f>
        <v>0.84</v>
      </c>
      <c r="I23" s="4">
        <f>H23*$C$2</f>
        <v>6258</v>
      </c>
      <c r="J23" s="51">
        <f>(D23+E23+F23+I23)*$C$3</f>
        <v>727.98320000000001</v>
      </c>
      <c r="K23" s="6"/>
      <c r="L23" s="17"/>
    </row>
    <row r="24" spans="1:13" ht="31.5" x14ac:dyDescent="0.5">
      <c r="A24" s="150" t="s">
        <v>331</v>
      </c>
      <c r="B24" s="151"/>
      <c r="C24" s="151"/>
      <c r="D24" s="32"/>
      <c r="E24" s="92"/>
      <c r="F24" s="151"/>
      <c r="G24" s="151"/>
      <c r="H24" s="32"/>
      <c r="I24" s="2"/>
      <c r="J24" s="52">
        <f>J25</f>
        <v>665.59980000000007</v>
      </c>
      <c r="K24" s="10">
        <f>635+29</f>
        <v>664</v>
      </c>
      <c r="L24" s="10">
        <f t="shared" ref="L24" si="25">K24-J24</f>
        <v>-1.5998000000000729</v>
      </c>
      <c r="M24" s="132"/>
    </row>
    <row r="25" spans="1:13" x14ac:dyDescent="0.25">
      <c r="A25" s="17" t="s">
        <v>481</v>
      </c>
      <c r="B25" s="4">
        <v>1</v>
      </c>
      <c r="C25" s="4">
        <v>9900</v>
      </c>
      <c r="D25" s="37">
        <f t="shared" ref="D25" si="26">B25*C25</f>
        <v>9900</v>
      </c>
      <c r="E25" s="39">
        <f>D25*0.1</f>
        <v>990</v>
      </c>
      <c r="F25" s="4">
        <v>2500</v>
      </c>
      <c r="G25" s="4">
        <v>0.56000000000000005</v>
      </c>
      <c r="H25" s="37">
        <f>G25</f>
        <v>0.56000000000000005</v>
      </c>
      <c r="I25" s="4">
        <f>H25*$C$2</f>
        <v>4172</v>
      </c>
      <c r="J25" s="51">
        <f>(D25+E25+F25+I25)*$C$3</f>
        <v>665.59980000000007</v>
      </c>
      <c r="K25" s="6"/>
      <c r="L25" s="17"/>
    </row>
    <row r="26" spans="1:13" ht="31.5" x14ac:dyDescent="0.5">
      <c r="A26" s="150" t="s">
        <v>482</v>
      </c>
      <c r="B26" s="151"/>
      <c r="C26" s="151"/>
      <c r="D26" s="32"/>
      <c r="E26" s="92"/>
      <c r="F26" s="151"/>
      <c r="G26" s="151"/>
      <c r="H26" s="32"/>
      <c r="I26" s="2"/>
      <c r="J26" s="52">
        <f>J27</f>
        <v>816.15755000000001</v>
      </c>
      <c r="K26" s="10">
        <f>776+40</f>
        <v>816</v>
      </c>
      <c r="L26" s="10">
        <f t="shared" ref="L26" si="27">K26-J26</f>
        <v>-0.15755000000001473</v>
      </c>
      <c r="M26" s="133"/>
    </row>
    <row r="27" spans="1:13" x14ac:dyDescent="0.25">
      <c r="A27" s="4" t="s">
        <v>475</v>
      </c>
      <c r="B27" s="4">
        <v>1</v>
      </c>
      <c r="C27" s="4">
        <v>16800</v>
      </c>
      <c r="D27" s="37">
        <f t="shared" ref="D27" si="28">B27*C27</f>
        <v>16800</v>
      </c>
      <c r="E27" s="39">
        <f>D27*0.1</f>
        <v>1680</v>
      </c>
      <c r="F27" s="4">
        <v>0</v>
      </c>
      <c r="G27" s="4">
        <v>0.41</v>
      </c>
      <c r="H27" s="37">
        <f>G27*B27</f>
        <v>0.41</v>
      </c>
      <c r="I27" s="4">
        <f>H27*$C$2</f>
        <v>3054.5</v>
      </c>
      <c r="J27" s="51">
        <f>(D27+E27+F27+I27)*$C$3</f>
        <v>816.15755000000001</v>
      </c>
      <c r="K27" s="6"/>
      <c r="L27" s="17"/>
    </row>
    <row r="28" spans="1:13" ht="31.5" x14ac:dyDescent="0.5">
      <c r="A28" s="150" t="s">
        <v>23</v>
      </c>
      <c r="B28" s="151"/>
      <c r="C28" s="151"/>
      <c r="D28" s="32"/>
      <c r="E28" s="92"/>
      <c r="F28" s="151"/>
      <c r="G28" s="151"/>
      <c r="H28" s="32"/>
      <c r="I28" s="2"/>
      <c r="J28" s="52">
        <f>J29</f>
        <v>816.15755000000001</v>
      </c>
      <c r="K28" s="10">
        <f>776+37</f>
        <v>813</v>
      </c>
      <c r="L28" s="10">
        <f t="shared" ref="L28" si="29">K28-J28</f>
        <v>-3.1575500000000147</v>
      </c>
      <c r="M28" s="133"/>
    </row>
    <row r="29" spans="1:13" x14ac:dyDescent="0.25">
      <c r="A29" s="4" t="s">
        <v>475</v>
      </c>
      <c r="B29" s="4">
        <v>1</v>
      </c>
      <c r="C29" s="4">
        <v>16800</v>
      </c>
      <c r="D29" s="37">
        <f t="shared" ref="D29" si="30">B29*C29</f>
        <v>16800</v>
      </c>
      <c r="E29" s="39">
        <f>D29*0.1</f>
        <v>1680</v>
      </c>
      <c r="F29" s="4">
        <v>0</v>
      </c>
      <c r="G29" s="4">
        <v>0.41</v>
      </c>
      <c r="H29" s="37">
        <f>G29*B29</f>
        <v>0.41</v>
      </c>
      <c r="I29" s="4">
        <f>H29*$C$2</f>
        <v>3054.5</v>
      </c>
      <c r="J29" s="51">
        <f>(D29+E29+F29+I29)*$C$3</f>
        <v>816.15755000000001</v>
      </c>
      <c r="K29" s="6"/>
      <c r="L29" s="17"/>
    </row>
    <row r="30" spans="1:13" ht="31.5" x14ac:dyDescent="0.5">
      <c r="A30" s="150" t="s">
        <v>364</v>
      </c>
      <c r="B30" s="151"/>
      <c r="C30" s="151"/>
      <c r="D30" s="32"/>
      <c r="E30" s="92"/>
      <c r="F30" s="151"/>
      <c r="G30" s="151"/>
      <c r="H30" s="32"/>
      <c r="I30" s="2"/>
      <c r="J30" s="52">
        <f>J31</f>
        <v>282.75295</v>
      </c>
      <c r="K30" s="10">
        <v>269</v>
      </c>
      <c r="L30" s="10">
        <f t="shared" ref="L30" si="31">K30-J30</f>
        <v>-13.752949999999998</v>
      </c>
      <c r="M30" s="133"/>
    </row>
    <row r="31" spans="1:13" x14ac:dyDescent="0.25">
      <c r="A31" s="4" t="s">
        <v>483</v>
      </c>
      <c r="B31" s="4">
        <v>1</v>
      </c>
      <c r="C31" s="4">
        <v>3900</v>
      </c>
      <c r="D31" s="37">
        <f t="shared" ref="D31" si="32">B31*C31</f>
        <v>3900</v>
      </c>
      <c r="E31" s="39">
        <f>D31*0.1</f>
        <v>390</v>
      </c>
      <c r="F31" s="4">
        <v>2500</v>
      </c>
      <c r="G31" s="4">
        <v>0.09</v>
      </c>
      <c r="H31" s="37">
        <f>G31*B31</f>
        <v>0.09</v>
      </c>
      <c r="I31" s="4">
        <f>H31*$C$2</f>
        <v>670.5</v>
      </c>
      <c r="J31" s="51">
        <f>(D31+E31+F31+I31)*$C$3</f>
        <v>282.75295</v>
      </c>
      <c r="K31" s="6"/>
      <c r="L31" s="17"/>
    </row>
    <row r="32" spans="1:13" ht="31.5" x14ac:dyDescent="0.5">
      <c r="A32" s="150" t="s">
        <v>487</v>
      </c>
      <c r="B32" s="151"/>
      <c r="C32" s="151"/>
      <c r="D32" s="32"/>
      <c r="E32" s="92"/>
      <c r="F32" s="151"/>
      <c r="G32" s="151"/>
      <c r="H32" s="32"/>
      <c r="I32" s="2"/>
      <c r="J32" s="52">
        <f>J33</f>
        <v>572.34685000000002</v>
      </c>
      <c r="K32" s="10">
        <v>591</v>
      </c>
      <c r="L32" s="10">
        <f t="shared" ref="L32" si="33">K32-J32</f>
        <v>18.653149999999982</v>
      </c>
      <c r="M32" s="133"/>
    </row>
    <row r="33" spans="1:12" x14ac:dyDescent="0.25">
      <c r="A33" s="4" t="s">
        <v>488</v>
      </c>
      <c r="B33" s="4">
        <v>1</v>
      </c>
      <c r="C33" s="4">
        <v>11900</v>
      </c>
      <c r="D33" s="37">
        <f t="shared" ref="D33" si="34">B33*C33</f>
        <v>11900</v>
      </c>
      <c r="E33" s="39">
        <f>D33*0.1</f>
        <v>1190</v>
      </c>
      <c r="F33" s="4">
        <v>0</v>
      </c>
      <c r="G33" s="4">
        <v>0.27</v>
      </c>
      <c r="H33" s="37">
        <f>G33*B33</f>
        <v>0.27</v>
      </c>
      <c r="I33" s="4">
        <f>H33*$C$2</f>
        <v>2011.5000000000002</v>
      </c>
      <c r="J33" s="51">
        <f>(D33+E33+F33+I33)*$C$3</f>
        <v>572.34685000000002</v>
      </c>
      <c r="K33" s="6"/>
      <c r="L33" s="17"/>
    </row>
  </sheetData>
  <hyperlinks>
    <hyperlink ref="A15" r:id="rId1" display="http://forum.sibmama.ru/viewtopic.php?t=715424&amp;start=12315"/>
    <hyperlink ref="A26" r:id="rId2" display="http://forum.sibmama.ru/viewtopic.php?t=715424&amp;start=12375&amp;sid=dcb6e6a85eed2880dc184add35c1923b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9"/>
  <sheetViews>
    <sheetView zoomScale="70" zoomScaleNormal="70" workbookViewId="0">
      <selection activeCell="K14" sqref="K14"/>
    </sheetView>
  </sheetViews>
  <sheetFormatPr defaultRowHeight="15" x14ac:dyDescent="0.25"/>
  <cols>
    <col min="1" max="1" width="33.42578125" customWidth="1"/>
    <col min="3" max="3" width="17.85546875" customWidth="1"/>
    <col min="10" max="10" width="13.42578125" customWidth="1"/>
    <col min="11" max="11" width="13.28515625" customWidth="1"/>
    <col min="12" max="12" width="12.85546875" customWidth="1"/>
  </cols>
  <sheetData>
    <row r="1" spans="1:13" ht="21" x14ac:dyDescent="0.35">
      <c r="A1" s="55" t="s">
        <v>281</v>
      </c>
      <c r="B1" s="4"/>
      <c r="C1" s="15">
        <v>41919</v>
      </c>
      <c r="D1" s="30"/>
    </row>
    <row r="2" spans="1:13" ht="21" x14ac:dyDescent="0.35">
      <c r="A2" s="55" t="s">
        <v>239</v>
      </c>
      <c r="B2" s="4"/>
      <c r="C2" s="16">
        <v>7450</v>
      </c>
      <c r="D2" s="30"/>
    </row>
    <row r="3" spans="1:13" ht="21" x14ac:dyDescent="0.35">
      <c r="A3" s="55" t="s">
        <v>240</v>
      </c>
      <c r="B3" s="4"/>
      <c r="C3" s="16">
        <v>3.8300000000000001E-2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4" t="s">
        <v>487</v>
      </c>
      <c r="B6" s="146"/>
      <c r="C6" s="147"/>
      <c r="D6" s="155"/>
      <c r="E6" s="92"/>
      <c r="F6" s="146"/>
      <c r="G6" s="147"/>
      <c r="H6" s="32"/>
      <c r="I6" s="2"/>
      <c r="J6" s="52">
        <f>SUM(J7:J9)</f>
        <v>1560.2845500000001</v>
      </c>
      <c r="K6" s="10">
        <f>1551+9</f>
        <v>1560</v>
      </c>
      <c r="L6" s="10">
        <f>K6-J6</f>
        <v>-0.28455000000008113</v>
      </c>
      <c r="M6" s="132"/>
    </row>
    <row r="7" spans="1:13" x14ac:dyDescent="0.25">
      <c r="A7" s="106" t="s">
        <v>57</v>
      </c>
      <c r="B7" s="98">
        <v>1</v>
      </c>
      <c r="C7" s="99">
        <v>9450</v>
      </c>
      <c r="D7" s="37">
        <v>9450</v>
      </c>
      <c r="E7" s="39">
        <f t="shared" ref="E7:E9" si="0">D7*0.1</f>
        <v>945</v>
      </c>
      <c r="F7" s="98">
        <v>2500</v>
      </c>
      <c r="G7" s="99">
        <v>0.38</v>
      </c>
      <c r="H7" s="37">
        <f>G7</f>
        <v>0.38</v>
      </c>
      <c r="I7" s="4">
        <f>H7*$C$2</f>
        <v>2831</v>
      </c>
      <c r="J7" s="51">
        <f>(D7+E7+F7+I7)*$C$3</f>
        <v>602.30579999999998</v>
      </c>
      <c r="K7" s="6"/>
      <c r="L7" s="17"/>
    </row>
    <row r="8" spans="1:13" x14ac:dyDescent="0.25">
      <c r="A8" s="39" t="s">
        <v>489</v>
      </c>
      <c r="B8" s="98">
        <v>1</v>
      </c>
      <c r="C8" s="99">
        <v>4550</v>
      </c>
      <c r="D8" s="37">
        <v>4550</v>
      </c>
      <c r="E8" s="39">
        <f t="shared" si="0"/>
        <v>455</v>
      </c>
      <c r="F8" s="98">
        <v>2500</v>
      </c>
      <c r="G8" s="99">
        <v>1.1000000000000001</v>
      </c>
      <c r="H8" s="37">
        <f>G8*B8</f>
        <v>1.1000000000000001</v>
      </c>
      <c r="I8" s="4">
        <f t="shared" ref="I8" si="1">H8*$C$2</f>
        <v>8195</v>
      </c>
      <c r="J8" s="51">
        <f t="shared" ref="J8" si="2">(D8+E8+F8+I8)*$C$3</f>
        <v>601.31000000000006</v>
      </c>
      <c r="K8" s="6"/>
      <c r="L8" s="17"/>
    </row>
    <row r="9" spans="1:13" x14ac:dyDescent="0.25">
      <c r="A9" s="39" t="s">
        <v>490</v>
      </c>
      <c r="B9" s="98">
        <v>1</v>
      </c>
      <c r="C9" s="99">
        <v>4500</v>
      </c>
      <c r="D9" s="37">
        <v>4500</v>
      </c>
      <c r="E9" s="39">
        <f t="shared" si="0"/>
        <v>450</v>
      </c>
      <c r="F9" s="98">
        <v>2500</v>
      </c>
      <c r="G9" s="99">
        <v>0.25</v>
      </c>
      <c r="H9" s="37">
        <f t="shared" ref="H9" si="3">G9</f>
        <v>0.25</v>
      </c>
      <c r="I9" s="4">
        <f t="shared" ref="I9" si="4">H9*$C$2</f>
        <v>1862.5</v>
      </c>
      <c r="J9" s="51">
        <f t="shared" ref="J9" si="5">(D9+E9+F9+I9)*$C$3</f>
        <v>356.66874999999999</v>
      </c>
      <c r="K9" s="6"/>
      <c r="L9" s="17"/>
    </row>
    <row r="10" spans="1:13" ht="31.5" x14ac:dyDescent="0.5">
      <c r="A10" s="142" t="s">
        <v>160</v>
      </c>
      <c r="B10" s="123"/>
      <c r="C10" s="124"/>
      <c r="D10" s="156"/>
      <c r="E10" s="92"/>
      <c r="F10" s="123"/>
      <c r="G10" s="124"/>
      <c r="H10" s="32"/>
      <c r="I10" s="2"/>
      <c r="J10" s="52">
        <f>J11</f>
        <v>572.96799999999996</v>
      </c>
      <c r="K10" s="10">
        <v>600</v>
      </c>
      <c r="L10" s="10">
        <f t="shared" ref="L10" si="6">K10-J10</f>
        <v>27.032000000000039</v>
      </c>
      <c r="M10" s="132"/>
    </row>
    <row r="11" spans="1:13" x14ac:dyDescent="0.25">
      <c r="A11" s="39" t="s">
        <v>491</v>
      </c>
      <c r="B11" s="98">
        <v>1</v>
      </c>
      <c r="C11" s="99">
        <v>11000</v>
      </c>
      <c r="D11" s="37">
        <v>11000</v>
      </c>
      <c r="E11" s="39">
        <f>D11*0.1</f>
        <v>1100</v>
      </c>
      <c r="F11" s="98">
        <f>2500/4</f>
        <v>625</v>
      </c>
      <c r="G11" s="99">
        <v>0.3</v>
      </c>
      <c r="H11" s="37">
        <f>G11</f>
        <v>0.3</v>
      </c>
      <c r="I11" s="4">
        <f>H11*$C$2</f>
        <v>2235</v>
      </c>
      <c r="J11" s="51">
        <f>(D11+E11+F11+I11)*$C$3</f>
        <v>572.96799999999996</v>
      </c>
      <c r="K11" s="6"/>
      <c r="L11" s="17"/>
    </row>
    <row r="12" spans="1:13" ht="31.5" x14ac:dyDescent="0.5">
      <c r="A12" s="142" t="s">
        <v>39</v>
      </c>
      <c r="B12" s="123"/>
      <c r="C12" s="124"/>
      <c r="D12" s="156"/>
      <c r="E12" s="92"/>
      <c r="F12" s="123"/>
      <c r="G12" s="124"/>
      <c r="H12" s="32"/>
      <c r="I12" s="2"/>
      <c r="J12" s="52">
        <f>J13</f>
        <v>572.96799999999996</v>
      </c>
      <c r="K12" s="10">
        <f>569+4</f>
        <v>573</v>
      </c>
      <c r="L12" s="10">
        <f t="shared" ref="L12" si="7">K12-J12</f>
        <v>3.2000000000039108E-2</v>
      </c>
      <c r="M12" s="133"/>
    </row>
    <row r="13" spans="1:13" x14ac:dyDescent="0.25">
      <c r="A13" s="39" t="s">
        <v>491</v>
      </c>
      <c r="B13" s="98">
        <v>1</v>
      </c>
      <c r="C13" s="99">
        <v>11000</v>
      </c>
      <c r="D13" s="37">
        <v>11000</v>
      </c>
      <c r="E13" s="39">
        <f>D13*0.1</f>
        <v>1100</v>
      </c>
      <c r="F13" s="98">
        <f>2500/4</f>
        <v>625</v>
      </c>
      <c r="G13" s="99">
        <v>0.3</v>
      </c>
      <c r="H13" s="37">
        <f>G13*B13</f>
        <v>0.3</v>
      </c>
      <c r="I13" s="4">
        <f>H13*$C$2</f>
        <v>2235</v>
      </c>
      <c r="J13" s="51">
        <f>(D13+E13+F13+I13)*$C$3</f>
        <v>572.96799999999996</v>
      </c>
      <c r="K13" s="6"/>
      <c r="L13" s="17"/>
    </row>
    <row r="14" spans="1:13" ht="31.5" x14ac:dyDescent="0.5">
      <c r="A14" s="142" t="s">
        <v>492</v>
      </c>
      <c r="B14" s="123"/>
      <c r="C14" s="124"/>
      <c r="D14" s="156"/>
      <c r="E14" s="92"/>
      <c r="F14" s="123"/>
      <c r="G14" s="124"/>
      <c r="H14" s="32"/>
      <c r="I14" s="2"/>
      <c r="J14" s="52">
        <f>J15</f>
        <v>572.96799999999996</v>
      </c>
      <c r="K14" s="10">
        <f>569+4</f>
        <v>573</v>
      </c>
      <c r="L14" s="10">
        <f t="shared" ref="L14" si="8">K14-J14</f>
        <v>3.2000000000039108E-2</v>
      </c>
      <c r="M14" s="133"/>
    </row>
    <row r="15" spans="1:13" x14ac:dyDescent="0.25">
      <c r="A15" s="39" t="s">
        <v>491</v>
      </c>
      <c r="B15" s="98">
        <v>1</v>
      </c>
      <c r="C15" s="99">
        <v>11000</v>
      </c>
      <c r="D15" s="37">
        <v>11000</v>
      </c>
      <c r="E15" s="39">
        <f>D15*0.1</f>
        <v>1100</v>
      </c>
      <c r="F15" s="98">
        <f>2500/4</f>
        <v>625</v>
      </c>
      <c r="G15" s="99">
        <v>0.3</v>
      </c>
      <c r="H15" s="37">
        <f>G15*B15</f>
        <v>0.3</v>
      </c>
      <c r="I15" s="4">
        <f>H15*$C$2</f>
        <v>2235</v>
      </c>
      <c r="J15" s="51">
        <f>(D15+E15+F15+I15)*$C$3</f>
        <v>572.96799999999996</v>
      </c>
      <c r="K15" s="6"/>
      <c r="L15" s="17"/>
    </row>
    <row r="16" spans="1:13" ht="31.5" x14ac:dyDescent="0.5">
      <c r="A16" s="142" t="s">
        <v>493</v>
      </c>
      <c r="B16" s="123"/>
      <c r="C16" s="124"/>
      <c r="D16" s="156"/>
      <c r="E16" s="92"/>
      <c r="F16" s="123"/>
      <c r="G16" s="124"/>
      <c r="H16" s="32"/>
      <c r="I16" s="2"/>
      <c r="J16" s="52">
        <f>J17</f>
        <v>904.28215</v>
      </c>
      <c r="K16" s="10">
        <v>898</v>
      </c>
      <c r="L16" s="10">
        <f t="shared" ref="L16" si="9">K16-J16</f>
        <v>-6.2821500000000015</v>
      </c>
      <c r="M16" s="132"/>
    </row>
    <row r="17" spans="1:13" x14ac:dyDescent="0.25">
      <c r="A17" s="39" t="s">
        <v>494</v>
      </c>
      <c r="B17" s="98">
        <v>1</v>
      </c>
      <c r="C17" s="99">
        <v>19500</v>
      </c>
      <c r="D17" s="37">
        <v>19500</v>
      </c>
      <c r="E17" s="39">
        <f>D17*0.1</f>
        <v>1950</v>
      </c>
      <c r="F17" s="98">
        <v>0</v>
      </c>
      <c r="G17" s="99">
        <v>0.28999999999999998</v>
      </c>
      <c r="H17" s="37">
        <f>G17</f>
        <v>0.28999999999999998</v>
      </c>
      <c r="I17" s="4">
        <f>H17*$C$2</f>
        <v>2160.5</v>
      </c>
      <c r="J17" s="51">
        <f>(D17+E17+F17+I17)*$C$3</f>
        <v>904.28215</v>
      </c>
      <c r="K17" s="6"/>
      <c r="L17" s="17"/>
    </row>
    <row r="18" spans="1:13" ht="31.5" x14ac:dyDescent="0.5">
      <c r="A18" s="142" t="s">
        <v>382</v>
      </c>
      <c r="B18" s="123"/>
      <c r="C18" s="124"/>
      <c r="D18" s="156"/>
      <c r="E18" s="92"/>
      <c r="F18" s="123"/>
      <c r="G18" s="124"/>
      <c r="H18" s="32"/>
      <c r="I18" s="2"/>
      <c r="J18" s="52">
        <f>J19</f>
        <v>1045.5899999999999</v>
      </c>
      <c r="K18" s="10">
        <v>1039</v>
      </c>
      <c r="L18" s="10">
        <f t="shared" ref="L18" si="10">K18-J18</f>
        <v>-6.5899999999999181</v>
      </c>
      <c r="M18" s="133"/>
    </row>
    <row r="19" spans="1:13" x14ac:dyDescent="0.25">
      <c r="A19" s="130" t="s">
        <v>495</v>
      </c>
      <c r="B19" s="157">
        <v>2</v>
      </c>
      <c r="C19" s="99">
        <v>9700</v>
      </c>
      <c r="D19" s="37">
        <f>B19*C19</f>
        <v>19400</v>
      </c>
      <c r="E19" s="39">
        <f>D19*0.1</f>
        <v>1940</v>
      </c>
      <c r="F19" s="98">
        <v>0</v>
      </c>
      <c r="G19" s="99">
        <v>0.4</v>
      </c>
      <c r="H19" s="37">
        <f>G19*B19</f>
        <v>0.8</v>
      </c>
      <c r="I19" s="4">
        <f>H19*$C$2</f>
        <v>5960</v>
      </c>
      <c r="J19" s="51">
        <f>(D19+E19+F19+I19)*$C$3</f>
        <v>1045.5899999999999</v>
      </c>
      <c r="K19" s="6"/>
      <c r="L19" s="17"/>
    </row>
    <row r="20" spans="1:13" ht="31.5" x14ac:dyDescent="0.5">
      <c r="A20" s="142" t="s">
        <v>104</v>
      </c>
      <c r="B20" s="123"/>
      <c r="C20" s="124"/>
      <c r="D20" s="156"/>
      <c r="E20" s="92"/>
      <c r="F20" s="123"/>
      <c r="G20" s="124"/>
      <c r="H20" s="32"/>
      <c r="I20" s="2"/>
      <c r="J20" s="52">
        <f>J21</f>
        <v>362.93080000000003</v>
      </c>
      <c r="K20" s="10">
        <v>360</v>
      </c>
      <c r="L20" s="10">
        <f t="shared" ref="L20" si="11">K20-J20</f>
        <v>-2.9308000000000334</v>
      </c>
      <c r="M20" s="133"/>
    </row>
    <row r="21" spans="1:13" x14ac:dyDescent="0.25">
      <c r="A21" s="130" t="s">
        <v>496</v>
      </c>
      <c r="B21" s="98">
        <v>1</v>
      </c>
      <c r="C21" s="99">
        <v>5800</v>
      </c>
      <c r="D21" s="37">
        <v>5800</v>
      </c>
      <c r="E21" s="39">
        <f>D21*0.1</f>
        <v>580</v>
      </c>
      <c r="F21" s="98">
        <v>2500</v>
      </c>
      <c r="G21" s="99">
        <v>0.08</v>
      </c>
      <c r="H21" s="37">
        <f>G21*B21</f>
        <v>0.08</v>
      </c>
      <c r="I21" s="4">
        <f>H21*$C$2</f>
        <v>596</v>
      </c>
      <c r="J21" s="51">
        <f>(D21+E21+F21+I21)*$C$3</f>
        <v>362.93080000000003</v>
      </c>
      <c r="K21" s="6"/>
      <c r="L21" s="17"/>
    </row>
    <row r="22" spans="1:13" ht="31.5" x14ac:dyDescent="0.5">
      <c r="A22" s="142" t="s">
        <v>331</v>
      </c>
      <c r="B22" s="123"/>
      <c r="C22" s="124"/>
      <c r="D22" s="156"/>
      <c r="E22" s="92"/>
      <c r="F22" s="123"/>
      <c r="G22" s="124"/>
      <c r="H22" s="32"/>
      <c r="I22" s="2"/>
      <c r="J22" s="52">
        <f>J23</f>
        <v>1283.7011</v>
      </c>
      <c r="K22" s="10">
        <v>1275</v>
      </c>
      <c r="L22" s="10">
        <f t="shared" ref="L22" si="12">K22-J22</f>
        <v>-8.7010999999999967</v>
      </c>
      <c r="M22" s="133"/>
    </row>
    <row r="23" spans="1:13" x14ac:dyDescent="0.25">
      <c r="A23" s="39" t="s">
        <v>497</v>
      </c>
      <c r="B23" s="98">
        <v>1</v>
      </c>
      <c r="C23" s="99">
        <v>24900</v>
      </c>
      <c r="D23" s="37">
        <v>24900</v>
      </c>
      <c r="E23" s="39">
        <f>D23*0.1</f>
        <v>2490</v>
      </c>
      <c r="F23" s="98">
        <v>2700</v>
      </c>
      <c r="G23" s="99">
        <v>0.46</v>
      </c>
      <c r="H23" s="37">
        <f>G23*B23</f>
        <v>0.46</v>
      </c>
      <c r="I23" s="4">
        <f>H23*$C$2</f>
        <v>3427</v>
      </c>
      <c r="J23" s="51">
        <f>(D23+E23+F23+I23)*$C$3</f>
        <v>1283.7011</v>
      </c>
      <c r="K23" s="6"/>
      <c r="L23" s="17"/>
    </row>
    <row r="24" spans="1:13" ht="31.5" x14ac:dyDescent="0.5">
      <c r="A24" s="142" t="s">
        <v>175</v>
      </c>
      <c r="B24" s="123"/>
      <c r="C24" s="124"/>
      <c r="D24" s="156"/>
      <c r="E24" s="92"/>
      <c r="F24" s="123"/>
      <c r="G24" s="124"/>
      <c r="H24" s="32"/>
      <c r="I24" s="2"/>
      <c r="J24" s="52">
        <f>J25</f>
        <v>572.96799999999996</v>
      </c>
      <c r="K24" s="10">
        <f>498+42-38</f>
        <v>502</v>
      </c>
      <c r="L24" s="10">
        <f t="shared" ref="L24" si="13">K24-J24</f>
        <v>-70.967999999999961</v>
      </c>
      <c r="M24" s="133" t="s">
        <v>503</v>
      </c>
    </row>
    <row r="25" spans="1:13" x14ac:dyDescent="0.25">
      <c r="A25" s="130" t="s">
        <v>498</v>
      </c>
      <c r="B25" s="98">
        <v>1</v>
      </c>
      <c r="C25" s="99">
        <v>11000</v>
      </c>
      <c r="D25" s="37">
        <v>11000</v>
      </c>
      <c r="E25" s="39">
        <f>D25*0.1</f>
        <v>1100</v>
      </c>
      <c r="F25" s="98">
        <f>2500/4</f>
        <v>625</v>
      </c>
      <c r="G25" s="99">
        <v>0.4</v>
      </c>
      <c r="H25">
        <v>0.3</v>
      </c>
      <c r="I25" s="4">
        <f>H25*$C$2</f>
        <v>2235</v>
      </c>
      <c r="J25" s="51">
        <f>(D25+E25+F25+I25)*$C$3</f>
        <v>572.96799999999996</v>
      </c>
      <c r="K25" s="6"/>
      <c r="L25" s="17"/>
    </row>
    <row r="26" spans="1:13" ht="31.5" x14ac:dyDescent="0.5">
      <c r="A26" s="142" t="s">
        <v>260</v>
      </c>
      <c r="B26" s="123"/>
      <c r="C26" s="124"/>
      <c r="D26" s="156"/>
      <c r="E26" s="92"/>
      <c r="F26" s="123"/>
      <c r="G26" s="124"/>
      <c r="H26" s="32"/>
      <c r="I26" s="2"/>
      <c r="J26" s="52">
        <f>J27</f>
        <v>625.20920000000001</v>
      </c>
      <c r="K26" s="10">
        <f>621+4</f>
        <v>625</v>
      </c>
      <c r="L26" s="10">
        <f t="shared" ref="L26" si="14">K26-J26</f>
        <v>-0.20920000000000982</v>
      </c>
      <c r="M26" s="133"/>
    </row>
    <row r="27" spans="1:13" x14ac:dyDescent="0.25">
      <c r="A27" s="39" t="s">
        <v>499</v>
      </c>
      <c r="B27" s="98">
        <v>1</v>
      </c>
      <c r="C27" s="99">
        <v>10400</v>
      </c>
      <c r="D27" s="37">
        <v>10400</v>
      </c>
      <c r="E27" s="39">
        <f>D27*0.1</f>
        <v>1040</v>
      </c>
      <c r="F27" s="98">
        <v>2500</v>
      </c>
      <c r="G27" s="99">
        <v>0.32</v>
      </c>
      <c r="H27" s="37">
        <f>G27*B27</f>
        <v>0.32</v>
      </c>
      <c r="I27" s="4">
        <f>H27*$C$2</f>
        <v>2384</v>
      </c>
      <c r="J27" s="51">
        <f>(D27+E27+F27+I27)*$C$3</f>
        <v>625.20920000000001</v>
      </c>
      <c r="K27" s="6"/>
      <c r="L27" s="17"/>
    </row>
    <row r="28" spans="1:13" ht="31.5" x14ac:dyDescent="0.5">
      <c r="A28" s="142" t="s">
        <v>500</v>
      </c>
      <c r="B28" s="123"/>
      <c r="C28" s="124"/>
      <c r="D28" s="156"/>
      <c r="E28" s="92"/>
      <c r="F28" s="123"/>
      <c r="G28" s="124"/>
      <c r="H28" s="32"/>
      <c r="I28" s="2"/>
      <c r="J28" s="52">
        <f>J29</f>
        <v>1303.8086000000001</v>
      </c>
      <c r="K28" s="10">
        <v>1295</v>
      </c>
      <c r="L28" s="10">
        <f t="shared" ref="L28" si="15">K28-J28</f>
        <v>-8.8086000000000695</v>
      </c>
      <c r="M28" s="133"/>
    </row>
    <row r="29" spans="1:13" ht="15.75" thickBot="1" x14ac:dyDescent="0.3">
      <c r="A29" s="39" t="s">
        <v>310</v>
      </c>
      <c r="B29" s="102">
        <v>2</v>
      </c>
      <c r="C29" s="103">
        <v>12900</v>
      </c>
      <c r="D29" s="37">
        <f>B29*C29</f>
        <v>25800</v>
      </c>
      <c r="E29" s="39">
        <f>D29*0.1</f>
        <v>2580</v>
      </c>
      <c r="F29" s="102">
        <v>0</v>
      </c>
      <c r="G29" s="103">
        <f>0.38</f>
        <v>0.38</v>
      </c>
      <c r="H29" s="37">
        <f>G29*B29</f>
        <v>0.76</v>
      </c>
      <c r="I29" s="4">
        <f>H29*$C$2</f>
        <v>5662</v>
      </c>
      <c r="J29" s="51">
        <f>(D29+E29+F29+I29)*$C$3</f>
        <v>1303.8086000000001</v>
      </c>
      <c r="K29" s="6"/>
      <c r="L29" s="17"/>
    </row>
  </sheetData>
  <hyperlinks>
    <hyperlink ref="A14" r:id="rId1" display="http://forum.sibmama.ru/viewtopic.php?t=715424&amp;start=12525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16" zoomScale="70" zoomScaleNormal="70" workbookViewId="0">
      <selection activeCell="K48" sqref="K48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41935</v>
      </c>
      <c r="D1" s="30"/>
    </row>
    <row r="2" spans="1:13" ht="21" x14ac:dyDescent="0.35">
      <c r="A2" s="55" t="s">
        <v>239</v>
      </c>
      <c r="B2" s="4"/>
      <c r="C2" s="16">
        <v>7100</v>
      </c>
      <c r="D2" s="30"/>
    </row>
    <row r="3" spans="1:13" ht="21" x14ac:dyDescent="0.35">
      <c r="A3" s="55" t="s">
        <v>240</v>
      </c>
      <c r="B3" s="4"/>
      <c r="C3" s="16">
        <v>4.0500000000000001E-2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2</v>
      </c>
      <c r="B6" s="151"/>
      <c r="C6" s="151"/>
      <c r="D6" s="2"/>
      <c r="E6" s="2"/>
      <c r="F6" s="151"/>
      <c r="G6" s="151"/>
      <c r="H6" s="2"/>
      <c r="I6" s="2"/>
      <c r="J6" s="52">
        <f>SUM(J7:J10)</f>
        <v>3961.6289999999999</v>
      </c>
      <c r="K6" s="10">
        <f>3956+6</f>
        <v>3962</v>
      </c>
      <c r="L6" s="10">
        <f>K6-J6</f>
        <v>0.37100000000009459</v>
      </c>
      <c r="M6" s="132"/>
    </row>
    <row r="7" spans="1:13" x14ac:dyDescent="0.25">
      <c r="A7" s="4" t="s">
        <v>504</v>
      </c>
      <c r="B7" s="4">
        <v>1</v>
      </c>
      <c r="C7" s="4">
        <v>34800</v>
      </c>
      <c r="D7" s="4">
        <f t="shared" ref="D7:D10" si="0">B7*C7</f>
        <v>34800</v>
      </c>
      <c r="E7" s="4">
        <f t="shared" ref="E7:E10" si="1">D7*0.1</f>
        <v>3480</v>
      </c>
      <c r="F7" s="4">
        <v>2500</v>
      </c>
      <c r="G7" s="4">
        <v>0.34</v>
      </c>
      <c r="H7" s="4">
        <f>G7</f>
        <v>0.34</v>
      </c>
      <c r="I7" s="4">
        <f>H7*$C$2</f>
        <v>2414</v>
      </c>
      <c r="J7" s="51">
        <f>(D7+E7+F7+I7)*$C$3</f>
        <v>1749.357</v>
      </c>
      <c r="K7" s="6"/>
      <c r="L7" s="17"/>
    </row>
    <row r="8" spans="1:13" x14ac:dyDescent="0.25">
      <c r="A8" s="4" t="s">
        <v>273</v>
      </c>
      <c r="B8" s="4">
        <v>2</v>
      </c>
      <c r="C8" s="4">
        <v>3900</v>
      </c>
      <c r="D8" s="4">
        <f t="shared" si="0"/>
        <v>7800</v>
      </c>
      <c r="E8" s="4">
        <f t="shared" si="1"/>
        <v>780</v>
      </c>
      <c r="F8" s="4">
        <v>2500</v>
      </c>
      <c r="G8" s="4">
        <v>0.76</v>
      </c>
      <c r="H8" s="4">
        <f>G8*B8</f>
        <v>1.52</v>
      </c>
      <c r="I8" s="4">
        <f t="shared" ref="I8" si="2">H8*$C$2</f>
        <v>10792</v>
      </c>
      <c r="J8" s="51">
        <f t="shared" ref="J8" si="3">(D8+E8+F8+I8)*$C$3</f>
        <v>885.81600000000003</v>
      </c>
      <c r="K8" s="6"/>
      <c r="L8" s="17"/>
    </row>
    <row r="9" spans="1:13" x14ac:dyDescent="0.25">
      <c r="A9" s="4" t="s">
        <v>437</v>
      </c>
      <c r="B9" s="4">
        <v>1</v>
      </c>
      <c r="C9" s="4">
        <v>5990</v>
      </c>
      <c r="D9" s="4">
        <f t="shared" si="0"/>
        <v>5990</v>
      </c>
      <c r="E9" s="4">
        <f t="shared" si="1"/>
        <v>599</v>
      </c>
      <c r="F9" s="4">
        <v>2500</v>
      </c>
      <c r="G9" s="4">
        <v>0.43</v>
      </c>
      <c r="H9" s="4">
        <f>G9</f>
        <v>0.43</v>
      </c>
      <c r="I9" s="4">
        <f>H9*$C$2</f>
        <v>3053</v>
      </c>
      <c r="J9" s="51">
        <f>(D9+E9+F9+I9)*$C$3</f>
        <v>491.75100000000003</v>
      </c>
      <c r="K9" s="6"/>
      <c r="L9" s="17"/>
    </row>
    <row r="10" spans="1:13" x14ac:dyDescent="0.25">
      <c r="A10" s="4" t="s">
        <v>505</v>
      </c>
      <c r="B10" s="4">
        <v>1</v>
      </c>
      <c r="C10" s="4">
        <v>16800</v>
      </c>
      <c r="D10" s="4">
        <f t="shared" si="0"/>
        <v>16800</v>
      </c>
      <c r="E10" s="4">
        <f t="shared" si="1"/>
        <v>1680</v>
      </c>
      <c r="F10" s="4">
        <v>0</v>
      </c>
      <c r="G10" s="18">
        <v>0.3</v>
      </c>
      <c r="H10" s="4">
        <f t="shared" ref="H10" si="4">G10</f>
        <v>0.3</v>
      </c>
      <c r="I10" s="4">
        <f t="shared" ref="I10" si="5">H10*$C$2</f>
        <v>2130</v>
      </c>
      <c r="J10" s="51">
        <f t="shared" ref="J10" si="6">(D10+E10+F10+I10)*$C$3</f>
        <v>834.70500000000004</v>
      </c>
      <c r="K10" s="6"/>
      <c r="L10" s="17"/>
      <c r="M10" s="132"/>
    </row>
    <row r="11" spans="1:13" ht="31.5" x14ac:dyDescent="0.5">
      <c r="A11" s="152" t="s">
        <v>354</v>
      </c>
      <c r="B11" s="151"/>
      <c r="C11" s="151"/>
      <c r="D11" s="2"/>
      <c r="E11" s="2"/>
      <c r="F11" s="151"/>
      <c r="G11" s="151"/>
      <c r="H11" s="2"/>
      <c r="I11" s="2"/>
      <c r="J11" s="52">
        <f>SUM(J12:J13)</f>
        <v>1254.5685000000001</v>
      </c>
      <c r="K11" s="10">
        <f>1200+4</f>
        <v>1204</v>
      </c>
      <c r="L11" s="10">
        <f>K11-J11</f>
        <v>-50.568500000000085</v>
      </c>
    </row>
    <row r="12" spans="1:13" x14ac:dyDescent="0.25">
      <c r="A12" s="4" t="s">
        <v>506</v>
      </c>
      <c r="B12" s="4">
        <v>1</v>
      </c>
      <c r="C12" s="4">
        <v>9900</v>
      </c>
      <c r="D12" s="4">
        <f t="shared" ref="D12:D13" si="7">B12*C12</f>
        <v>9900</v>
      </c>
      <c r="E12" s="4">
        <f t="shared" ref="E12:E13" si="8">D12*0.1</f>
        <v>990</v>
      </c>
      <c r="F12" s="4">
        <f>2500/2</f>
        <v>1250</v>
      </c>
      <c r="G12" s="4">
        <v>0.3</v>
      </c>
      <c r="H12" s="4">
        <f>G12</f>
        <v>0.3</v>
      </c>
      <c r="I12" s="4">
        <f>H12*$C$2</f>
        <v>2130</v>
      </c>
      <c r="J12" s="51">
        <f>(D12+E12+F12+I12)*$C$3</f>
        <v>577.93500000000006</v>
      </c>
      <c r="K12" s="6"/>
      <c r="L12" s="17"/>
      <c r="M12" s="133"/>
    </row>
    <row r="13" spans="1:13" x14ac:dyDescent="0.25">
      <c r="A13" s="4" t="s">
        <v>507</v>
      </c>
      <c r="B13" s="4">
        <v>1</v>
      </c>
      <c r="C13" s="4">
        <v>12800</v>
      </c>
      <c r="D13" s="4">
        <f t="shared" si="7"/>
        <v>12800</v>
      </c>
      <c r="E13" s="4">
        <f t="shared" si="8"/>
        <v>1280</v>
      </c>
      <c r="F13" s="4">
        <v>0</v>
      </c>
      <c r="G13" s="18">
        <v>0.37</v>
      </c>
      <c r="H13" s="4">
        <f t="shared" ref="H13" si="9">G13</f>
        <v>0.37</v>
      </c>
      <c r="I13" s="4">
        <f t="shared" ref="I13" si="10">H13*$C$2</f>
        <v>2627</v>
      </c>
      <c r="J13" s="51">
        <f t="shared" ref="J13" si="11">(D13+E13+F13+I13)*$C$3</f>
        <v>676.63350000000003</v>
      </c>
      <c r="K13" s="6"/>
      <c r="L13" s="17"/>
      <c r="M13" s="133"/>
    </row>
    <row r="14" spans="1:13" ht="31.5" x14ac:dyDescent="0.5">
      <c r="A14" s="152" t="s">
        <v>508</v>
      </c>
      <c r="B14" s="151"/>
      <c r="C14" s="151"/>
      <c r="D14" s="2"/>
      <c r="E14" s="2"/>
      <c r="F14" s="151"/>
      <c r="G14" s="151"/>
      <c r="H14" s="2"/>
      <c r="I14" s="2"/>
      <c r="J14" s="52">
        <f>J16+J15</f>
        <v>1441.395</v>
      </c>
      <c r="K14" s="10">
        <f>1363+78</f>
        <v>1441</v>
      </c>
      <c r="L14" s="10">
        <f>K14-J14</f>
        <v>-0.39499999999998181</v>
      </c>
    </row>
    <row r="15" spans="1:13" x14ac:dyDescent="0.25">
      <c r="A15" s="4" t="s">
        <v>509</v>
      </c>
      <c r="B15" s="4">
        <v>1</v>
      </c>
      <c r="C15" s="4">
        <v>16800</v>
      </c>
      <c r="D15" s="4">
        <f t="shared" ref="D15:D16" si="12">B15*C15</f>
        <v>16800</v>
      </c>
      <c r="E15" s="4">
        <f t="shared" ref="E15:E16" si="13">D15*0.1</f>
        <v>1680</v>
      </c>
      <c r="F15" s="4">
        <v>0</v>
      </c>
      <c r="G15" s="4">
        <v>0.4</v>
      </c>
      <c r="H15" s="4">
        <f>G15</f>
        <v>0.4</v>
      </c>
      <c r="I15" s="4">
        <f>H15*$C$2</f>
        <v>2840</v>
      </c>
      <c r="J15" s="51">
        <f>(D15+E15+F15+I15)*$C$3</f>
        <v>863.46</v>
      </c>
      <c r="K15" s="6"/>
      <c r="L15" s="17"/>
      <c r="M15" s="132"/>
    </row>
    <row r="16" spans="1:13" x14ac:dyDescent="0.25">
      <c r="A16" s="4" t="s">
        <v>506</v>
      </c>
      <c r="B16" s="4">
        <v>1</v>
      </c>
      <c r="C16" s="4">
        <v>9900</v>
      </c>
      <c r="D16" s="4">
        <f t="shared" si="12"/>
        <v>9900</v>
      </c>
      <c r="E16" s="4">
        <f t="shared" si="13"/>
        <v>990</v>
      </c>
      <c r="F16" s="4">
        <f>2500/2</f>
        <v>1250</v>
      </c>
      <c r="G16" s="4">
        <v>0.3</v>
      </c>
      <c r="H16" s="4">
        <f t="shared" ref="H16" si="14">G16</f>
        <v>0.3</v>
      </c>
      <c r="I16" s="42">
        <f t="shared" ref="I16" si="15">H16*$C$2</f>
        <v>2130</v>
      </c>
      <c r="J16" s="51">
        <f t="shared" ref="J16" si="16">(D16+E16+F16+I16)*$C$3</f>
        <v>577.93500000000006</v>
      </c>
      <c r="K16" s="6"/>
      <c r="L16" s="17"/>
    </row>
    <row r="17" spans="1:13" ht="31.5" x14ac:dyDescent="0.5">
      <c r="A17" s="152" t="s">
        <v>458</v>
      </c>
      <c r="B17" s="151"/>
      <c r="C17" s="151"/>
      <c r="D17" s="2"/>
      <c r="E17" s="2"/>
      <c r="F17" s="151"/>
      <c r="G17" s="151"/>
      <c r="H17" s="2"/>
      <c r="I17" s="2"/>
      <c r="J17" s="52">
        <f>J18+J19</f>
        <v>1311.5601000000001</v>
      </c>
      <c r="K17" s="10">
        <f>1248+70</f>
        <v>1318</v>
      </c>
      <c r="L17" s="10">
        <f t="shared" ref="L17" si="17">K17-J17</f>
        <v>6.4398999999998523</v>
      </c>
      <c r="M17" s="133"/>
    </row>
    <row r="18" spans="1:13" x14ac:dyDescent="0.25">
      <c r="A18" s="4" t="s">
        <v>510</v>
      </c>
      <c r="B18" s="4">
        <v>1</v>
      </c>
      <c r="C18" s="4">
        <v>6200</v>
      </c>
      <c r="D18" s="4">
        <f t="shared" ref="D18:D19" si="18">B18*C18</f>
        <v>6200</v>
      </c>
      <c r="E18" s="4">
        <f>D18*0.1</f>
        <v>620</v>
      </c>
      <c r="F18" s="4">
        <f>2500/2</f>
        <v>1250</v>
      </c>
      <c r="G18" s="4">
        <v>0.66</v>
      </c>
      <c r="H18" s="4">
        <f>G18</f>
        <v>0.66</v>
      </c>
      <c r="I18" s="4">
        <f>H18*$C$2</f>
        <v>4686</v>
      </c>
      <c r="J18" s="51">
        <f>(D18+E18+F18+I18)*$C$3</f>
        <v>516.61800000000005</v>
      </c>
      <c r="K18" s="6"/>
      <c r="L18" s="17"/>
    </row>
    <row r="19" spans="1:13" x14ac:dyDescent="0.25">
      <c r="A19" s="158" t="s">
        <v>521</v>
      </c>
      <c r="B19" s="4">
        <v>1</v>
      </c>
      <c r="C19" s="4">
        <f>86250/5</f>
        <v>17250</v>
      </c>
      <c r="D19" s="4">
        <f t="shared" si="18"/>
        <v>17250</v>
      </c>
      <c r="E19" s="4">
        <f>D19*0.1</f>
        <v>1725</v>
      </c>
      <c r="F19" s="4">
        <v>0</v>
      </c>
      <c r="G19" s="4">
        <f>0.46/5</f>
        <v>9.1999999999999998E-2</v>
      </c>
      <c r="H19" s="4">
        <f>G19*B19</f>
        <v>9.1999999999999998E-2</v>
      </c>
      <c r="I19" s="4">
        <f>H19*$C$2</f>
        <v>653.20000000000005</v>
      </c>
      <c r="J19" s="51">
        <f>(D19+E19+F19+I19)*$C$3</f>
        <v>794.9421000000001</v>
      </c>
      <c r="K19" s="6"/>
      <c r="L19" s="17"/>
    </row>
    <row r="20" spans="1:13" ht="31.5" x14ac:dyDescent="0.5">
      <c r="A20" s="152" t="s">
        <v>382</v>
      </c>
      <c r="B20" s="151"/>
      <c r="C20" s="151"/>
      <c r="D20" s="2"/>
      <c r="E20" s="2"/>
      <c r="F20" s="151"/>
      <c r="G20" s="151"/>
      <c r="H20" s="2"/>
      <c r="I20" s="2"/>
      <c r="J20" s="52">
        <f>J21</f>
        <v>516.61800000000005</v>
      </c>
      <c r="K20" s="10">
        <f>486+22</f>
        <v>508</v>
      </c>
      <c r="L20" s="10">
        <f t="shared" ref="L20" si="19">K20-J20</f>
        <v>-8.6180000000000518</v>
      </c>
      <c r="M20" s="133"/>
    </row>
    <row r="21" spans="1:13" x14ac:dyDescent="0.25">
      <c r="A21" s="4" t="s">
        <v>510</v>
      </c>
      <c r="B21" s="4">
        <v>1</v>
      </c>
      <c r="C21" s="4">
        <v>6200</v>
      </c>
      <c r="D21" s="4">
        <f t="shared" ref="D21" si="20">B21*C21</f>
        <v>6200</v>
      </c>
      <c r="E21" s="4">
        <f>D21*0.1</f>
        <v>620</v>
      </c>
      <c r="F21" s="4">
        <f>2500/2</f>
        <v>1250</v>
      </c>
      <c r="G21" s="4">
        <v>0.66</v>
      </c>
      <c r="H21" s="4">
        <f>G21*B21</f>
        <v>0.66</v>
      </c>
      <c r="I21" s="4">
        <f>H21*$C$2</f>
        <v>4686</v>
      </c>
      <c r="J21" s="51">
        <f>(D21+E21+F21+I21)*$C$3</f>
        <v>516.61800000000005</v>
      </c>
      <c r="K21" s="6"/>
      <c r="L21" s="17"/>
    </row>
    <row r="22" spans="1:13" ht="31.5" x14ac:dyDescent="0.5">
      <c r="A22" s="152" t="s">
        <v>131</v>
      </c>
      <c r="B22" s="151"/>
      <c r="C22" s="151"/>
      <c r="D22" s="2"/>
      <c r="E22" s="2"/>
      <c r="F22" s="151"/>
      <c r="G22" s="151"/>
      <c r="H22" s="2"/>
      <c r="I22" s="2"/>
      <c r="J22" s="52">
        <f>J23</f>
        <v>590.53050000000007</v>
      </c>
      <c r="K22" s="10">
        <f>557+26</f>
        <v>583</v>
      </c>
      <c r="L22" s="10">
        <f t="shared" ref="L22" si="21">K22-J22</f>
        <v>-7.5305000000000746</v>
      </c>
      <c r="M22" s="133"/>
    </row>
    <row r="23" spans="1:13" x14ac:dyDescent="0.25">
      <c r="A23" s="4" t="s">
        <v>511</v>
      </c>
      <c r="B23" s="4">
        <v>1</v>
      </c>
      <c r="C23" s="4">
        <v>11900</v>
      </c>
      <c r="D23" s="4">
        <f t="shared" ref="D23" si="22">B23*C23</f>
        <v>11900</v>
      </c>
      <c r="E23" s="4">
        <f>D23*0.1</f>
        <v>1190</v>
      </c>
      <c r="F23" s="4">
        <v>0</v>
      </c>
      <c r="G23" s="4">
        <v>0.21</v>
      </c>
      <c r="H23" s="4">
        <f>G23*B23</f>
        <v>0.21</v>
      </c>
      <c r="I23" s="4">
        <f>H23*$C$2</f>
        <v>1491</v>
      </c>
      <c r="J23" s="51">
        <f>(D23+E23+F23+I23)*$C$3</f>
        <v>590.53050000000007</v>
      </c>
      <c r="K23" s="6"/>
      <c r="L23" s="17"/>
    </row>
    <row r="24" spans="1:13" ht="31.5" x14ac:dyDescent="0.5">
      <c r="A24" s="152" t="s">
        <v>160</v>
      </c>
      <c r="B24" s="151"/>
      <c r="C24" s="151"/>
      <c r="D24" s="2"/>
      <c r="E24" s="2"/>
      <c r="F24" s="151"/>
      <c r="G24" s="151"/>
      <c r="H24" s="2"/>
      <c r="I24" s="2"/>
      <c r="J24" s="52">
        <f>J25+J26</f>
        <v>1011.8331000000001</v>
      </c>
      <c r="K24" s="10">
        <v>1000</v>
      </c>
      <c r="L24" s="10">
        <f t="shared" ref="L24" si="23">K24-J24</f>
        <v>-11.833100000000059</v>
      </c>
      <c r="M24" s="133"/>
    </row>
    <row r="25" spans="1:13" x14ac:dyDescent="0.25">
      <c r="A25" s="4" t="s">
        <v>173</v>
      </c>
      <c r="B25" s="4">
        <v>1</v>
      </c>
      <c r="C25" s="4">
        <v>2820</v>
      </c>
      <c r="D25" s="4">
        <f t="shared" ref="D25:D26" si="24">B25*C25</f>
        <v>2820</v>
      </c>
      <c r="E25" s="4">
        <f>D25*0.1</f>
        <v>282</v>
      </c>
      <c r="F25" s="4">
        <f>2500/3</f>
        <v>833.33333333333337</v>
      </c>
      <c r="G25" s="4">
        <v>0.2</v>
      </c>
      <c r="H25" s="4">
        <f>G25</f>
        <v>0.2</v>
      </c>
      <c r="I25" s="4">
        <f>H25*$C$2</f>
        <v>1420</v>
      </c>
      <c r="J25" s="51">
        <f>(D25+E25+F25+I25)*$C$3</f>
        <v>216.89100000000002</v>
      </c>
      <c r="K25" s="6"/>
      <c r="L25" s="17"/>
    </row>
    <row r="26" spans="1:13" x14ac:dyDescent="0.25">
      <c r="A26" s="158" t="s">
        <v>521</v>
      </c>
      <c r="B26" s="4">
        <v>1</v>
      </c>
      <c r="C26" s="4">
        <f>86250/5</f>
        <v>17250</v>
      </c>
      <c r="D26" s="4">
        <f t="shared" si="24"/>
        <v>17250</v>
      </c>
      <c r="E26" s="4">
        <f>D26*0.1</f>
        <v>1725</v>
      </c>
      <c r="F26" s="4">
        <v>0</v>
      </c>
      <c r="G26" s="4">
        <f>0.46/5</f>
        <v>9.1999999999999998E-2</v>
      </c>
      <c r="H26" s="4">
        <f>G26*B26</f>
        <v>9.1999999999999998E-2</v>
      </c>
      <c r="I26" s="4">
        <f>H26*$C$2</f>
        <v>653.20000000000005</v>
      </c>
      <c r="J26" s="51">
        <f>(D26+E26+F26+I26)*$C$3</f>
        <v>794.9421000000001</v>
      </c>
      <c r="K26" s="6"/>
      <c r="L26" s="17"/>
    </row>
    <row r="27" spans="1:13" ht="31.5" x14ac:dyDescent="0.5">
      <c r="A27" s="152" t="s">
        <v>331</v>
      </c>
      <c r="B27" s="151"/>
      <c r="C27" s="151"/>
      <c r="D27" s="2"/>
      <c r="E27" s="2"/>
      <c r="F27" s="151"/>
      <c r="G27" s="151"/>
      <c r="H27" s="2"/>
      <c r="I27" s="2"/>
      <c r="J27" s="52">
        <f>J28</f>
        <v>275.80500000000001</v>
      </c>
      <c r="K27" s="10">
        <v>400</v>
      </c>
      <c r="L27" s="10">
        <f t="shared" ref="L27" si="25">K27-J27</f>
        <v>124.19499999999999</v>
      </c>
      <c r="M27" s="133"/>
    </row>
    <row r="28" spans="1:13" x14ac:dyDescent="0.25">
      <c r="A28" s="4" t="s">
        <v>512</v>
      </c>
      <c r="B28" s="4">
        <v>1</v>
      </c>
      <c r="C28" s="4">
        <v>4900</v>
      </c>
      <c r="D28" s="4">
        <f t="shared" ref="D28" si="26">B28*C28</f>
        <v>4900</v>
      </c>
      <c r="E28" s="4">
        <f>D28*0.1</f>
        <v>490</v>
      </c>
      <c r="F28" s="4">
        <v>0</v>
      </c>
      <c r="G28" s="4">
        <v>0.2</v>
      </c>
      <c r="H28" s="4">
        <f>G28*B28</f>
        <v>0.2</v>
      </c>
      <c r="I28" s="4">
        <f>H28*$C$2</f>
        <v>1420</v>
      </c>
      <c r="J28" s="51">
        <f>(D28+E28+F28+I28)*$C$3</f>
        <v>275.80500000000001</v>
      </c>
      <c r="K28" s="6"/>
      <c r="L28" s="17"/>
    </row>
    <row r="29" spans="1:13" ht="31.5" x14ac:dyDescent="0.5">
      <c r="A29" s="152" t="s">
        <v>513</v>
      </c>
      <c r="B29" s="151"/>
      <c r="C29" s="151"/>
      <c r="D29" s="2"/>
      <c r="E29" s="2"/>
      <c r="F29" s="151"/>
      <c r="G29" s="151"/>
      <c r="H29" s="2"/>
      <c r="I29" s="2"/>
      <c r="J29" s="52">
        <f>J30</f>
        <v>315.14400000000006</v>
      </c>
      <c r="K29" s="10">
        <f>300+15</f>
        <v>315</v>
      </c>
      <c r="L29" s="10">
        <f t="shared" ref="L29" si="27">K29-J29</f>
        <v>-0.1440000000000623</v>
      </c>
      <c r="M29" s="133"/>
    </row>
    <row r="30" spans="1:13" x14ac:dyDescent="0.25">
      <c r="A30" s="4" t="s">
        <v>514</v>
      </c>
      <c r="B30" s="4">
        <v>2</v>
      </c>
      <c r="C30" s="4">
        <f>7900/3</f>
        <v>2633.3333333333335</v>
      </c>
      <c r="D30" s="4">
        <f t="shared" ref="D30" si="28">B30*C30</f>
        <v>5266.666666666667</v>
      </c>
      <c r="E30" s="4">
        <f>D30*0.1</f>
        <v>526.66666666666674</v>
      </c>
      <c r="F30" s="4">
        <v>0</v>
      </c>
      <c r="G30" s="4">
        <f>0.42/3</f>
        <v>0.13999999999999999</v>
      </c>
      <c r="H30" s="4">
        <f>G30*B30</f>
        <v>0.27999999999999997</v>
      </c>
      <c r="I30" s="4">
        <f>H30*$C$2</f>
        <v>1987.9999999999998</v>
      </c>
      <c r="J30" s="51">
        <f>(D30+E30+F30+I30)*$C$3</f>
        <v>315.14400000000006</v>
      </c>
      <c r="K30" s="6"/>
      <c r="L30" s="17"/>
    </row>
    <row r="31" spans="1:13" ht="31.5" x14ac:dyDescent="0.5">
      <c r="A31" s="150" t="s">
        <v>515</v>
      </c>
      <c r="B31" s="151"/>
      <c r="C31" s="151"/>
      <c r="D31" s="2"/>
      <c r="E31" s="2"/>
      <c r="F31" s="151"/>
      <c r="G31" s="151"/>
      <c r="H31" s="2"/>
      <c r="I31" s="2"/>
      <c r="J31" s="52">
        <f>J32</f>
        <v>794.9421000000001</v>
      </c>
      <c r="K31" s="10">
        <f>747+48</f>
        <v>795</v>
      </c>
      <c r="L31" s="10">
        <f t="shared" ref="L31" si="29">K31-J31</f>
        <v>5.7899999999904139E-2</v>
      </c>
    </row>
    <row r="32" spans="1:13" x14ac:dyDescent="0.25">
      <c r="A32" s="158" t="s">
        <v>521</v>
      </c>
      <c r="B32" s="4">
        <v>1</v>
      </c>
      <c r="C32" s="4">
        <f>86250/5</f>
        <v>17250</v>
      </c>
      <c r="D32" s="4">
        <f t="shared" ref="D32" si="30">B32*C32</f>
        <v>17250</v>
      </c>
      <c r="E32" s="4">
        <f>D32*0.1</f>
        <v>1725</v>
      </c>
      <c r="F32" s="4">
        <v>0</v>
      </c>
      <c r="G32" s="4">
        <f>0.46/5</f>
        <v>9.1999999999999998E-2</v>
      </c>
      <c r="H32" s="4">
        <f>G32*B32</f>
        <v>9.1999999999999998E-2</v>
      </c>
      <c r="I32" s="4">
        <f>H32*$C$2</f>
        <v>653.20000000000005</v>
      </c>
      <c r="J32" s="51">
        <f>(D32+E32+F32+I32)*$C$3</f>
        <v>794.9421000000001</v>
      </c>
      <c r="K32" s="6"/>
      <c r="L32" s="17"/>
    </row>
    <row r="33" spans="1:12" ht="31.5" x14ac:dyDescent="0.5">
      <c r="A33" s="150" t="s">
        <v>516</v>
      </c>
      <c r="B33" s="151"/>
      <c r="C33" s="151"/>
      <c r="D33" s="2"/>
      <c r="E33" s="2"/>
      <c r="F33" s="151"/>
      <c r="G33" s="151"/>
      <c r="H33" s="2"/>
      <c r="I33" s="2"/>
      <c r="J33" s="52">
        <f>J34</f>
        <v>794.9421000000001</v>
      </c>
      <c r="K33" s="10">
        <f>747+48</f>
        <v>795</v>
      </c>
      <c r="L33" s="10">
        <f t="shared" ref="L33" si="31">K33-J33</f>
        <v>5.7899999999904139E-2</v>
      </c>
    </row>
    <row r="34" spans="1:12" x14ac:dyDescent="0.25">
      <c r="A34" s="158" t="s">
        <v>521</v>
      </c>
      <c r="B34" s="4">
        <v>1</v>
      </c>
      <c r="C34" s="4">
        <f>86250/5</f>
        <v>17250</v>
      </c>
      <c r="D34" s="4">
        <f t="shared" ref="D34" si="32">B34*C34</f>
        <v>17250</v>
      </c>
      <c r="E34" s="4">
        <f>D34*0.1</f>
        <v>1725</v>
      </c>
      <c r="F34" s="4">
        <v>0</v>
      </c>
      <c r="G34" s="4">
        <f>0.46/5</f>
        <v>9.1999999999999998E-2</v>
      </c>
      <c r="H34" s="4">
        <f>G34*B34</f>
        <v>9.1999999999999998E-2</v>
      </c>
      <c r="I34" s="4">
        <f>H34*$C$2</f>
        <v>653.20000000000005</v>
      </c>
      <c r="J34" s="51">
        <f>(D34+E34+F34+I34)*$C$3</f>
        <v>794.9421000000001</v>
      </c>
      <c r="K34" s="6"/>
      <c r="L34" s="17"/>
    </row>
    <row r="35" spans="1:12" ht="31.5" x14ac:dyDescent="0.5">
      <c r="A35" s="150" t="s">
        <v>517</v>
      </c>
      <c r="B35" s="151"/>
      <c r="C35" s="151"/>
      <c r="D35" s="2"/>
      <c r="E35" s="2"/>
      <c r="F35" s="151"/>
      <c r="G35" s="151"/>
      <c r="H35" s="2"/>
      <c r="I35" s="2"/>
      <c r="J35" s="52">
        <f>J36</f>
        <v>794.9421000000001</v>
      </c>
      <c r="K35" s="10">
        <f>747+48</f>
        <v>795</v>
      </c>
      <c r="L35" s="10">
        <f t="shared" ref="L35" si="33">K35-J35</f>
        <v>5.7899999999904139E-2</v>
      </c>
    </row>
    <row r="36" spans="1:12" x14ac:dyDescent="0.25">
      <c r="A36" s="158" t="s">
        <v>521</v>
      </c>
      <c r="B36" s="4">
        <v>1</v>
      </c>
      <c r="C36" s="4">
        <f>86250/5</f>
        <v>17250</v>
      </c>
      <c r="D36" s="4">
        <f t="shared" ref="D36" si="34">B36*C36</f>
        <v>17250</v>
      </c>
      <c r="E36" s="4">
        <f>D36*0.1</f>
        <v>1725</v>
      </c>
      <c r="F36" s="4">
        <v>0</v>
      </c>
      <c r="G36" s="4">
        <f>0.46/5</f>
        <v>9.1999999999999998E-2</v>
      </c>
      <c r="H36" s="4">
        <f>G36*B36</f>
        <v>9.1999999999999998E-2</v>
      </c>
      <c r="I36" s="4">
        <f>H36*$C$2</f>
        <v>653.20000000000005</v>
      </c>
      <c r="J36" s="51">
        <f>(D36+E36+F36+I36)*$C$3</f>
        <v>794.9421000000001</v>
      </c>
      <c r="K36" s="6"/>
      <c r="L36" s="17"/>
    </row>
    <row r="37" spans="1:12" ht="31.5" x14ac:dyDescent="0.5">
      <c r="A37" s="150" t="s">
        <v>518</v>
      </c>
      <c r="B37" s="151"/>
      <c r="C37" s="151"/>
      <c r="D37" s="2"/>
      <c r="E37" s="2"/>
      <c r="F37" s="151"/>
      <c r="G37" s="151"/>
      <c r="H37" s="2"/>
      <c r="I37" s="2"/>
      <c r="J37" s="52">
        <f>J38</f>
        <v>794.9421000000001</v>
      </c>
      <c r="K37" s="10">
        <f>747+48</f>
        <v>795</v>
      </c>
      <c r="L37" s="10">
        <f t="shared" ref="L37" si="35">K37-J37</f>
        <v>5.7899999999904139E-2</v>
      </c>
    </row>
    <row r="38" spans="1:12" x14ac:dyDescent="0.25">
      <c r="A38" s="158" t="s">
        <v>521</v>
      </c>
      <c r="B38" s="4">
        <v>1</v>
      </c>
      <c r="C38" s="4">
        <f>86250/5</f>
        <v>17250</v>
      </c>
      <c r="D38" s="4">
        <f t="shared" ref="D38" si="36">B38*C38</f>
        <v>17250</v>
      </c>
      <c r="E38" s="4">
        <f>D38*0.1</f>
        <v>1725</v>
      </c>
      <c r="F38" s="4">
        <v>0</v>
      </c>
      <c r="G38" s="4">
        <f>0.46/5</f>
        <v>9.1999999999999998E-2</v>
      </c>
      <c r="H38" s="4">
        <f>G38*B38</f>
        <v>9.1999999999999998E-2</v>
      </c>
      <c r="I38" s="4">
        <f>H38*$C$2</f>
        <v>653.20000000000005</v>
      </c>
      <c r="J38" s="51">
        <f>(D38+E38+F38+I38)*$C$3</f>
        <v>794.9421000000001</v>
      </c>
      <c r="K38" s="6"/>
      <c r="L38" s="17"/>
    </row>
    <row r="39" spans="1:12" ht="31.5" x14ac:dyDescent="0.5">
      <c r="A39" s="150" t="s">
        <v>519</v>
      </c>
      <c r="B39" s="151"/>
      <c r="C39" s="151"/>
      <c r="D39" s="2"/>
      <c r="E39" s="2"/>
      <c r="F39" s="151"/>
      <c r="G39" s="151"/>
      <c r="H39" s="2"/>
      <c r="I39" s="2"/>
      <c r="J39" s="52">
        <f>J40</f>
        <v>794.9421000000001</v>
      </c>
      <c r="K39" s="10">
        <f>747+48</f>
        <v>795</v>
      </c>
      <c r="L39" s="10">
        <f t="shared" ref="L39" si="37">K39-J39</f>
        <v>5.7899999999904139E-2</v>
      </c>
    </row>
    <row r="40" spans="1:12" x14ac:dyDescent="0.25">
      <c r="A40" s="158" t="s">
        <v>521</v>
      </c>
      <c r="B40" s="4">
        <v>1</v>
      </c>
      <c r="C40" s="4">
        <f>86250/5</f>
        <v>17250</v>
      </c>
      <c r="D40" s="4">
        <f t="shared" ref="D40" si="38">B40*C40</f>
        <v>17250</v>
      </c>
      <c r="E40" s="4">
        <f>D40*0.1</f>
        <v>1725</v>
      </c>
      <c r="F40" s="4">
        <v>0</v>
      </c>
      <c r="G40" s="4">
        <f>0.46/5</f>
        <v>9.1999999999999998E-2</v>
      </c>
      <c r="H40" s="4">
        <f>G40*B40</f>
        <v>9.1999999999999998E-2</v>
      </c>
      <c r="I40" s="4">
        <f>H40*$C$2</f>
        <v>653.20000000000005</v>
      </c>
      <c r="J40" s="51">
        <f>(D40+E40+F40+I40)*$C$3</f>
        <v>794.9421000000001</v>
      </c>
      <c r="K40" s="6"/>
      <c r="L40" s="17"/>
    </row>
    <row r="41" spans="1:12" ht="31.5" x14ac:dyDescent="0.5">
      <c r="A41" s="150" t="s">
        <v>520</v>
      </c>
      <c r="B41" s="151"/>
      <c r="C41" s="151"/>
      <c r="D41" s="2"/>
      <c r="E41" s="2"/>
      <c r="F41" s="151"/>
      <c r="G41" s="151"/>
      <c r="H41" s="2"/>
      <c r="I41" s="2"/>
      <c r="J41" s="52">
        <f>J42</f>
        <v>794.9421000000001</v>
      </c>
      <c r="K41" s="10">
        <f>747+48</f>
        <v>795</v>
      </c>
      <c r="L41" s="10">
        <f t="shared" ref="L41" si="39">K41-J41</f>
        <v>5.7899999999904139E-2</v>
      </c>
    </row>
    <row r="42" spans="1:12" x14ac:dyDescent="0.25">
      <c r="A42" s="158" t="s">
        <v>521</v>
      </c>
      <c r="B42" s="4">
        <v>1</v>
      </c>
      <c r="C42" s="4">
        <f>86250/5</f>
        <v>17250</v>
      </c>
      <c r="D42" s="4">
        <f t="shared" ref="D42" si="40">B42*C42</f>
        <v>17250</v>
      </c>
      <c r="E42" s="4">
        <f>D42*0.1</f>
        <v>1725</v>
      </c>
      <c r="F42" s="4">
        <v>0</v>
      </c>
      <c r="G42" s="4">
        <f>0.46/5</f>
        <v>9.1999999999999998E-2</v>
      </c>
      <c r="H42" s="4">
        <f>G42*B42</f>
        <v>9.1999999999999998E-2</v>
      </c>
      <c r="I42" s="4">
        <f>H42*$C$2</f>
        <v>653.20000000000005</v>
      </c>
      <c r="J42" s="51">
        <f>(D42+E42+F42+I42)*$C$3</f>
        <v>794.9421000000001</v>
      </c>
      <c r="K42" s="6"/>
      <c r="L42" s="17"/>
    </row>
    <row r="43" spans="1:12" ht="31.5" x14ac:dyDescent="0.5">
      <c r="A43" s="150" t="s">
        <v>522</v>
      </c>
      <c r="B43" s="151"/>
      <c r="C43" s="151"/>
      <c r="D43" s="2"/>
      <c r="E43" s="2"/>
      <c r="F43" s="151"/>
      <c r="G43" s="151"/>
      <c r="H43" s="2"/>
      <c r="I43" s="2"/>
      <c r="J43" s="52">
        <f>J44</f>
        <v>794.9421000000001</v>
      </c>
      <c r="K43" s="10">
        <f>747+48</f>
        <v>795</v>
      </c>
      <c r="L43" s="10">
        <f t="shared" ref="L43" si="41">K43-J43</f>
        <v>5.7899999999904139E-2</v>
      </c>
    </row>
    <row r="44" spans="1:12" x14ac:dyDescent="0.25">
      <c r="A44" s="158" t="s">
        <v>521</v>
      </c>
      <c r="B44" s="4">
        <v>1</v>
      </c>
      <c r="C44" s="4">
        <f>86250/5</f>
        <v>17250</v>
      </c>
      <c r="D44" s="4">
        <f t="shared" ref="D44" si="42">B44*C44</f>
        <v>17250</v>
      </c>
      <c r="E44" s="4">
        <f>D44*0.1</f>
        <v>1725</v>
      </c>
      <c r="F44" s="4">
        <v>0</v>
      </c>
      <c r="G44" s="4">
        <f>0.46/5</f>
        <v>9.1999999999999998E-2</v>
      </c>
      <c r="H44" s="4">
        <f>G44*B44</f>
        <v>9.1999999999999998E-2</v>
      </c>
      <c r="I44" s="4">
        <f>H44*$C$2</f>
        <v>653.20000000000005</v>
      </c>
      <c r="J44" s="51">
        <f>(D44+E44+F44+I44)*$C$3</f>
        <v>794.9421000000001</v>
      </c>
      <c r="K44" s="6"/>
      <c r="L44" s="17"/>
    </row>
    <row r="45" spans="1:12" ht="31.5" x14ac:dyDescent="0.5">
      <c r="A45" s="150" t="s">
        <v>39</v>
      </c>
      <c r="B45" s="151"/>
      <c r="C45" s="151"/>
      <c r="D45" s="2"/>
      <c r="E45" s="2"/>
      <c r="F45" s="151"/>
      <c r="G45" s="151"/>
      <c r="H45" s="2"/>
      <c r="I45" s="2"/>
      <c r="J45" s="52">
        <f>J46</f>
        <v>440.63189999999997</v>
      </c>
      <c r="K45" s="10">
        <f>416+25</f>
        <v>441</v>
      </c>
      <c r="L45" s="10">
        <f t="shared" ref="L45" si="43">K45-J45</f>
        <v>0.36810000000002674</v>
      </c>
    </row>
    <row r="46" spans="1:12" x14ac:dyDescent="0.25">
      <c r="A46" s="159" t="s">
        <v>523</v>
      </c>
      <c r="B46" s="4">
        <v>1</v>
      </c>
      <c r="C46" s="4">
        <f>45000/5</f>
        <v>9000</v>
      </c>
      <c r="D46" s="4">
        <f t="shared" ref="D46" si="44">B46*C46</f>
        <v>9000</v>
      </c>
      <c r="E46" s="4">
        <f>D46*0.1</f>
        <v>900</v>
      </c>
      <c r="F46" s="4">
        <v>0</v>
      </c>
      <c r="G46" s="4">
        <f>0.69/5</f>
        <v>0.13799999999999998</v>
      </c>
      <c r="H46" s="4">
        <f>G46*B46</f>
        <v>0.13799999999999998</v>
      </c>
      <c r="I46" s="4">
        <f>H46*$C$2</f>
        <v>979.79999999999984</v>
      </c>
      <c r="J46" s="51">
        <f>(D46+E46+F46+I46)*$C$3</f>
        <v>440.63189999999997</v>
      </c>
      <c r="K46" s="6"/>
      <c r="L46" s="17"/>
    </row>
    <row r="47" spans="1:12" ht="31.5" x14ac:dyDescent="0.5">
      <c r="A47" s="150" t="s">
        <v>364</v>
      </c>
      <c r="B47" s="151"/>
      <c r="C47" s="151"/>
      <c r="D47" s="2"/>
      <c r="E47" s="2"/>
      <c r="F47" s="151"/>
      <c r="G47" s="151"/>
      <c r="H47" s="2"/>
      <c r="I47" s="2"/>
      <c r="J47" s="52">
        <f>J48</f>
        <v>440.63189999999997</v>
      </c>
      <c r="K47" s="10">
        <f>427+17</f>
        <v>444</v>
      </c>
      <c r="L47" s="10">
        <f t="shared" ref="L47" si="45">K47-J47</f>
        <v>3.3681000000000267</v>
      </c>
    </row>
    <row r="48" spans="1:12" x14ac:dyDescent="0.25">
      <c r="A48" s="159" t="s">
        <v>523</v>
      </c>
      <c r="B48" s="4">
        <v>1</v>
      </c>
      <c r="C48" s="4">
        <f>45000/5</f>
        <v>9000</v>
      </c>
      <c r="D48" s="37">
        <f t="shared" ref="D48" si="46">B48*C48</f>
        <v>9000</v>
      </c>
      <c r="E48" s="39">
        <f>D48*0.1</f>
        <v>900</v>
      </c>
      <c r="F48" s="4">
        <v>0</v>
      </c>
      <c r="G48" s="4">
        <f>0.69/5</f>
        <v>0.13799999999999998</v>
      </c>
      <c r="H48" s="37">
        <f>G48*B48</f>
        <v>0.13799999999999998</v>
      </c>
      <c r="I48" s="4">
        <f>H48*$C$2</f>
        <v>979.79999999999984</v>
      </c>
      <c r="J48" s="51">
        <f>(D48+E48+F48+I48)*$C$3</f>
        <v>440.63189999999997</v>
      </c>
      <c r="K48" s="6"/>
      <c r="L48" s="17"/>
    </row>
    <row r="49" spans="1:12" ht="31.5" x14ac:dyDescent="0.5">
      <c r="A49" s="150" t="s">
        <v>524</v>
      </c>
      <c r="B49" s="151"/>
      <c r="C49" s="151"/>
      <c r="D49" s="32"/>
      <c r="E49" s="92"/>
      <c r="F49" s="151"/>
      <c r="G49" s="151"/>
      <c r="H49" s="32"/>
      <c r="I49" s="2"/>
      <c r="J49" s="52">
        <f>J50</f>
        <v>440.63189999999997</v>
      </c>
      <c r="K49" s="10">
        <f>416+25</f>
        <v>441</v>
      </c>
      <c r="L49" s="10">
        <f t="shared" ref="L49" si="47">K49-J49</f>
        <v>0.36810000000002674</v>
      </c>
    </row>
    <row r="50" spans="1:12" x14ac:dyDescent="0.25">
      <c r="A50" s="159" t="s">
        <v>523</v>
      </c>
      <c r="B50" s="4">
        <v>1</v>
      </c>
      <c r="C50" s="4">
        <f>45000/5</f>
        <v>9000</v>
      </c>
      <c r="D50" s="37">
        <f t="shared" ref="D50" si="48">B50*C50</f>
        <v>9000</v>
      </c>
      <c r="E50" s="39">
        <f>D50*0.1</f>
        <v>900</v>
      </c>
      <c r="F50" s="4">
        <v>0</v>
      </c>
      <c r="G50" s="4">
        <f>0.69/5</f>
        <v>0.13799999999999998</v>
      </c>
      <c r="H50" s="37">
        <f>G50*B50</f>
        <v>0.13799999999999998</v>
      </c>
      <c r="I50" s="4">
        <f>H50*$C$2</f>
        <v>979.79999999999984</v>
      </c>
      <c r="J50" s="51">
        <f>(D50+E50+F50+I50)*$C$3</f>
        <v>440.63189999999997</v>
      </c>
      <c r="K50" s="6"/>
      <c r="L50" s="17"/>
    </row>
    <row r="51" spans="1:12" ht="31.5" x14ac:dyDescent="0.5">
      <c r="A51" s="150" t="s">
        <v>525</v>
      </c>
      <c r="B51" s="151"/>
      <c r="C51" s="151"/>
      <c r="D51" s="32"/>
      <c r="E51" s="92"/>
      <c r="F51" s="151"/>
      <c r="G51" s="151"/>
      <c r="H51" s="32"/>
      <c r="I51" s="2"/>
      <c r="J51" s="52">
        <f>J52</f>
        <v>440.63189999999997</v>
      </c>
      <c r="K51" s="10">
        <f>416+25</f>
        <v>441</v>
      </c>
      <c r="L51" s="10">
        <f t="shared" ref="L51" si="49">K51-J51</f>
        <v>0.36810000000002674</v>
      </c>
    </row>
    <row r="52" spans="1:12" x14ac:dyDescent="0.25">
      <c r="A52" s="159" t="s">
        <v>523</v>
      </c>
      <c r="B52" s="4">
        <v>1</v>
      </c>
      <c r="C52" s="4">
        <f>45000/5</f>
        <v>9000</v>
      </c>
      <c r="D52" s="37">
        <f t="shared" ref="D52" si="50">B52*C52</f>
        <v>9000</v>
      </c>
      <c r="E52" s="39">
        <f>D52*0.1</f>
        <v>900</v>
      </c>
      <c r="F52" s="4">
        <v>0</v>
      </c>
      <c r="G52" s="4">
        <f>0.69/5</f>
        <v>0.13799999999999998</v>
      </c>
      <c r="H52" s="37">
        <f>G52*B52</f>
        <v>0.13799999999999998</v>
      </c>
      <c r="I52" s="4">
        <f>H52*$C$2</f>
        <v>979.79999999999984</v>
      </c>
      <c r="J52" s="51">
        <f>(D52+E52+F52+I52)*$C$3</f>
        <v>440.63189999999997</v>
      </c>
      <c r="K52" s="6"/>
      <c r="L52" s="1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zoomScale="80" zoomScaleNormal="80" workbookViewId="0">
      <selection sqref="A1:XFD1048576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41962</v>
      </c>
      <c r="D1" s="30"/>
    </row>
    <row r="2" spans="1:13" ht="21" x14ac:dyDescent="0.35">
      <c r="A2" s="55" t="s">
        <v>239</v>
      </c>
      <c r="B2" s="4"/>
      <c r="C2" s="16">
        <v>7050</v>
      </c>
      <c r="D2" s="30"/>
    </row>
    <row r="3" spans="1:13" ht="21" x14ac:dyDescent="0.35">
      <c r="A3" s="55" t="s">
        <v>240</v>
      </c>
      <c r="B3" s="4"/>
      <c r="C3" s="16">
        <v>4.2000000000000003E-2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529</v>
      </c>
      <c r="B6" s="151"/>
      <c r="C6" s="151"/>
      <c r="D6" s="2"/>
      <c r="E6" s="2"/>
      <c r="F6" s="151"/>
      <c r="G6" s="151"/>
      <c r="H6" s="2"/>
      <c r="I6" s="2"/>
      <c r="J6" s="52">
        <f>J7</f>
        <v>546.21</v>
      </c>
      <c r="K6" s="10">
        <f>54+500</f>
        <v>554</v>
      </c>
      <c r="L6" s="10">
        <f t="shared" ref="L6" si="0">K6-J6</f>
        <v>7.7899999999999636</v>
      </c>
      <c r="M6" s="133"/>
    </row>
    <row r="7" spans="1:13" x14ac:dyDescent="0.25">
      <c r="A7" s="17" t="s">
        <v>530</v>
      </c>
      <c r="B7" s="4">
        <v>1</v>
      </c>
      <c r="C7" s="4">
        <v>9900</v>
      </c>
      <c r="D7" s="4">
        <f t="shared" ref="D7" si="1">B7*C7</f>
        <v>9900</v>
      </c>
      <c r="E7" s="4">
        <f>D7*0.1</f>
        <v>990</v>
      </c>
      <c r="F7" s="4">
        <v>0</v>
      </c>
      <c r="G7" s="4">
        <v>0.3</v>
      </c>
      <c r="H7" s="4">
        <f>G7*B7</f>
        <v>0.3</v>
      </c>
      <c r="I7" s="4">
        <f>H7*$C$2</f>
        <v>2115</v>
      </c>
      <c r="J7" s="51">
        <f>(D7+E7+F7+I7)*$C$3</f>
        <v>546.21</v>
      </c>
      <c r="K7" s="6"/>
      <c r="L7" s="17"/>
    </row>
    <row r="8" spans="1:13" ht="31.5" x14ac:dyDescent="0.5">
      <c r="A8" s="152" t="s">
        <v>2</v>
      </c>
      <c r="B8" s="151"/>
      <c r="C8" s="151"/>
      <c r="D8" s="2"/>
      <c r="E8" s="2"/>
      <c r="F8" s="151"/>
      <c r="G8" s="151"/>
      <c r="H8" s="2"/>
      <c r="I8" s="2"/>
      <c r="J8" s="52">
        <f>J9</f>
        <v>2151.2400000000002</v>
      </c>
      <c r="K8" s="10">
        <f>2077+74</f>
        <v>2151</v>
      </c>
      <c r="L8" s="10">
        <f t="shared" ref="L8" si="2">K8-J8</f>
        <v>-0.24000000000023647</v>
      </c>
    </row>
    <row r="9" spans="1:13" x14ac:dyDescent="0.25">
      <c r="A9" s="17" t="s">
        <v>531</v>
      </c>
      <c r="B9" s="4">
        <v>1</v>
      </c>
      <c r="C9" s="4">
        <v>44000</v>
      </c>
      <c r="D9" s="4">
        <f t="shared" ref="D9" si="3">B9*C9</f>
        <v>44000</v>
      </c>
      <c r="E9" s="4">
        <f>D9*0.1</f>
        <v>4400</v>
      </c>
      <c r="F9" s="4">
        <v>0</v>
      </c>
      <c r="G9" s="4">
        <v>0.4</v>
      </c>
      <c r="H9" s="4">
        <f>G9*B9</f>
        <v>0.4</v>
      </c>
      <c r="I9" s="4">
        <f>H9*$C$2</f>
        <v>2820</v>
      </c>
      <c r="J9" s="51">
        <f>(D9+E9+F9+I9)*$C$3</f>
        <v>2151.2400000000002</v>
      </c>
      <c r="K9" s="6"/>
      <c r="L9" s="17"/>
    </row>
    <row r="10" spans="1:13" ht="31.5" x14ac:dyDescent="0.5">
      <c r="A10" s="152" t="s">
        <v>500</v>
      </c>
      <c r="B10" s="151"/>
      <c r="C10" s="151"/>
      <c r="D10" s="2"/>
      <c r="E10" s="2"/>
      <c r="F10" s="151"/>
      <c r="G10" s="151"/>
      <c r="H10" s="2"/>
      <c r="I10" s="2"/>
      <c r="J10" s="52">
        <f>J11</f>
        <v>3082.9050000000002</v>
      </c>
      <c r="K10" s="10">
        <v>2979</v>
      </c>
      <c r="L10" s="10">
        <f t="shared" ref="L10" si="4">K10-J10</f>
        <v>-103.9050000000002</v>
      </c>
    </row>
    <row r="11" spans="1:13" x14ac:dyDescent="0.25">
      <c r="A11" s="4" t="s">
        <v>532</v>
      </c>
      <c r="B11" s="4">
        <v>5</v>
      </c>
      <c r="C11" s="161">
        <v>12000</v>
      </c>
      <c r="D11" s="4">
        <f t="shared" ref="D11" si="5">B11*C11</f>
        <v>60000</v>
      </c>
      <c r="E11" s="4">
        <f>D11*0.1</f>
        <v>6000</v>
      </c>
      <c r="F11" s="4">
        <v>0</v>
      </c>
      <c r="G11" s="161">
        <v>0.21</v>
      </c>
      <c r="H11" s="4">
        <f>G11*B11</f>
        <v>1.05</v>
      </c>
      <c r="I11" s="4">
        <f>H11*$C$2</f>
        <v>7402.5</v>
      </c>
      <c r="J11" s="51">
        <f>(D11+E11+F11+I11)*$C$3</f>
        <v>3082.9050000000002</v>
      </c>
      <c r="K11" s="6"/>
      <c r="L11" s="17"/>
    </row>
    <row r="12" spans="1:13" ht="31.5" x14ac:dyDescent="0.5">
      <c r="A12" s="152" t="s">
        <v>382</v>
      </c>
      <c r="B12" s="151"/>
      <c r="C12" s="151"/>
      <c r="D12" s="2"/>
      <c r="E12" s="2"/>
      <c r="F12" s="151"/>
      <c r="G12" s="151"/>
      <c r="H12" s="2"/>
      <c r="I12" s="2"/>
      <c r="J12" s="52">
        <f>J13</f>
        <v>202.24260000000001</v>
      </c>
      <c r="K12" s="10">
        <f>196+7</f>
        <v>203</v>
      </c>
      <c r="L12" s="10">
        <f t="shared" ref="L12" si="6">K12-J12</f>
        <v>0.75739999999998986</v>
      </c>
    </row>
    <row r="13" spans="1:13" x14ac:dyDescent="0.25">
      <c r="A13" s="4" t="s">
        <v>533</v>
      </c>
      <c r="B13" s="4">
        <v>3</v>
      </c>
      <c r="C13" s="4">
        <f>11900/10</f>
        <v>1190</v>
      </c>
      <c r="D13" s="4">
        <f t="shared" ref="D13" si="7">B13*C13</f>
        <v>3570</v>
      </c>
      <c r="E13" s="4">
        <f>D13*0.1</f>
        <v>357</v>
      </c>
      <c r="F13" s="4">
        <v>0</v>
      </c>
      <c r="G13" s="4">
        <f>0.42/10</f>
        <v>4.1999999999999996E-2</v>
      </c>
      <c r="H13" s="4">
        <f>G13*B13</f>
        <v>0.126</v>
      </c>
      <c r="I13" s="4">
        <f>H13*$C$2</f>
        <v>888.3</v>
      </c>
      <c r="J13" s="51">
        <f>(D13+E13+F13+I13)*$C$3</f>
        <v>202.24260000000001</v>
      </c>
      <c r="K13" s="6"/>
      <c r="L13" s="17"/>
    </row>
    <row r="14" spans="1:13" ht="31.5" x14ac:dyDescent="0.5">
      <c r="A14" s="152" t="s">
        <v>534</v>
      </c>
      <c r="B14" s="151"/>
      <c r="C14" s="151"/>
      <c r="D14" s="2"/>
      <c r="E14" s="2"/>
      <c r="F14" s="151"/>
      <c r="G14" s="151"/>
      <c r="H14" s="2"/>
      <c r="I14" s="2"/>
      <c r="J14" s="52">
        <f>J15</f>
        <v>134.82839999999999</v>
      </c>
      <c r="K14" s="10">
        <f>130+5</f>
        <v>135</v>
      </c>
      <c r="L14" s="10">
        <f t="shared" ref="L14" si="8">K14-J14</f>
        <v>0.17160000000001219</v>
      </c>
    </row>
    <row r="15" spans="1:13" x14ac:dyDescent="0.25">
      <c r="A15" s="4" t="s">
        <v>535</v>
      </c>
      <c r="B15" s="4">
        <v>2</v>
      </c>
      <c r="C15" s="4">
        <f>11900/10</f>
        <v>1190</v>
      </c>
      <c r="D15" s="4">
        <f t="shared" ref="D15" si="9">B15*C15</f>
        <v>2380</v>
      </c>
      <c r="E15" s="4">
        <f>D15*0.1</f>
        <v>238</v>
      </c>
      <c r="F15" s="4">
        <v>0</v>
      </c>
      <c r="G15" s="4">
        <f>0.42/10</f>
        <v>4.1999999999999996E-2</v>
      </c>
      <c r="H15" s="4">
        <f>G15*B15</f>
        <v>8.3999999999999991E-2</v>
      </c>
      <c r="I15" s="4">
        <f>H15*$C$2</f>
        <v>592.19999999999993</v>
      </c>
      <c r="J15" s="51">
        <f>(D15+E15+F15+I15)*$C$3</f>
        <v>134.82839999999999</v>
      </c>
      <c r="K15" s="6"/>
      <c r="L15" s="1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zoomScale="90" zoomScaleNormal="90" workbookViewId="0">
      <selection sqref="A1:XFD1048576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41992</v>
      </c>
      <c r="D1" s="30"/>
    </row>
    <row r="2" spans="1:13" ht="21" x14ac:dyDescent="0.35">
      <c r="A2" s="55" t="s">
        <v>239</v>
      </c>
      <c r="B2" s="4"/>
      <c r="C2" s="16">
        <v>7050</v>
      </c>
      <c r="D2" s="30"/>
    </row>
    <row r="3" spans="1:13" ht="21" x14ac:dyDescent="0.35">
      <c r="A3" s="55" t="s">
        <v>240</v>
      </c>
      <c r="B3" s="4"/>
      <c r="C3" s="16">
        <v>5.0200000000000002E-2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2" t="s">
        <v>536</v>
      </c>
      <c r="B6" s="123"/>
      <c r="C6" s="124"/>
      <c r="D6" s="32"/>
      <c r="E6" s="92"/>
      <c r="F6" s="123"/>
      <c r="G6" s="124"/>
      <c r="H6" s="32"/>
      <c r="I6" s="2"/>
      <c r="J6" s="52">
        <f>J7</f>
        <v>544.54449999999997</v>
      </c>
      <c r="K6" s="10">
        <v>529</v>
      </c>
      <c r="L6" s="10">
        <f t="shared" ref="L6" si="0">K6-J6</f>
        <v>-15.544499999999971</v>
      </c>
      <c r="M6" s="133"/>
    </row>
    <row r="7" spans="1:13" x14ac:dyDescent="0.25">
      <c r="A7" s="39" t="s">
        <v>57</v>
      </c>
      <c r="B7" s="98">
        <v>1</v>
      </c>
      <c r="C7" s="99">
        <v>8900</v>
      </c>
      <c r="D7" s="37">
        <f t="shared" ref="D7" si="1">B7*C7</f>
        <v>8900</v>
      </c>
      <c r="E7" s="39">
        <f>D7*0.1</f>
        <v>890</v>
      </c>
      <c r="F7" s="98">
        <v>0</v>
      </c>
      <c r="G7" s="99">
        <v>0.15</v>
      </c>
      <c r="H7" s="37">
        <f>G7*B7</f>
        <v>0.15</v>
      </c>
      <c r="I7" s="4">
        <f>H7*$C$2</f>
        <v>1057.5</v>
      </c>
      <c r="J7" s="51">
        <f>(D7+E7+F7+I7)*$C$3</f>
        <v>544.54449999999997</v>
      </c>
      <c r="K7" s="6"/>
      <c r="L7" s="17"/>
    </row>
    <row r="8" spans="1:13" ht="31.5" x14ac:dyDescent="0.5">
      <c r="A8" s="142" t="s">
        <v>537</v>
      </c>
      <c r="B8" s="123"/>
      <c r="C8" s="124"/>
      <c r="D8" s="32"/>
      <c r="E8" s="92"/>
      <c r="F8" s="123"/>
      <c r="G8" s="124"/>
      <c r="H8" s="32"/>
      <c r="I8" s="2"/>
      <c r="J8" s="52">
        <f>J9</f>
        <v>736.96109999999999</v>
      </c>
      <c r="K8" s="10">
        <v>737</v>
      </c>
      <c r="L8" s="10">
        <f t="shared" ref="L8" si="2">K8-J8</f>
        <v>3.8900000000012369E-2</v>
      </c>
    </row>
    <row r="9" spans="1:13" x14ac:dyDescent="0.25">
      <c r="A9" s="39" t="s">
        <v>532</v>
      </c>
      <c r="B9" s="98">
        <v>1</v>
      </c>
      <c r="C9" s="99">
        <v>12000</v>
      </c>
      <c r="D9" s="37">
        <f t="shared" ref="D9" si="3">B9*C9</f>
        <v>12000</v>
      </c>
      <c r="E9" s="39">
        <f>D9*0.1</f>
        <v>1200</v>
      </c>
      <c r="F9" s="98">
        <v>0</v>
      </c>
      <c r="G9" s="99">
        <v>0.21</v>
      </c>
      <c r="H9" s="37">
        <f>G9*B9</f>
        <v>0.21</v>
      </c>
      <c r="I9" s="4">
        <f>H9*$C$2</f>
        <v>1480.5</v>
      </c>
      <c r="J9" s="51">
        <f>(D9+E9+F9+I9)*$C$3</f>
        <v>736.96109999999999</v>
      </c>
      <c r="K9" s="6"/>
      <c r="L9" s="17"/>
    </row>
    <row r="10" spans="1:13" ht="31.5" x14ac:dyDescent="0.5">
      <c r="A10" s="142" t="s">
        <v>538</v>
      </c>
      <c r="B10" s="165" t="s">
        <v>541</v>
      </c>
      <c r="C10" s="124"/>
      <c r="D10" s="32"/>
      <c r="E10" s="92"/>
      <c r="F10" s="123"/>
      <c r="G10" s="124"/>
      <c r="H10" s="32"/>
      <c r="I10" s="2"/>
      <c r="J10" s="52">
        <f>J11</f>
        <v>412.9452</v>
      </c>
      <c r="K10" s="10">
        <v>413</v>
      </c>
      <c r="L10" s="10">
        <f t="shared" ref="L10" si="4">K10-J10</f>
        <v>5.4800000000000182E-2</v>
      </c>
    </row>
    <row r="11" spans="1:13" x14ac:dyDescent="0.25">
      <c r="A11" s="39" t="s">
        <v>112</v>
      </c>
      <c r="B11" s="98">
        <v>3</v>
      </c>
      <c r="C11" s="99">
        <v>1980</v>
      </c>
      <c r="D11" s="37">
        <f t="shared" ref="D11" si="5">B11*C11</f>
        <v>5940</v>
      </c>
      <c r="E11" s="39">
        <f>D11*0.1</f>
        <v>594</v>
      </c>
      <c r="F11" s="98">
        <v>0</v>
      </c>
      <c r="G11" s="99">
        <v>0.08</v>
      </c>
      <c r="H11" s="37">
        <f>G11*B11</f>
        <v>0.24</v>
      </c>
      <c r="I11" s="4">
        <f>H11*$C$2</f>
        <v>1692</v>
      </c>
      <c r="J11" s="51">
        <f>(D11+E11+F11+I11)*$C$3</f>
        <v>412.9452</v>
      </c>
      <c r="K11" s="6"/>
      <c r="L11" s="17"/>
    </row>
    <row r="12" spans="1:13" ht="31.5" x14ac:dyDescent="0.5">
      <c r="A12" s="142" t="s">
        <v>500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3684.8054999999999</v>
      </c>
      <c r="K12" s="10">
        <v>3694</v>
      </c>
      <c r="L12" s="10">
        <f t="shared" ref="L12" si="6">K12-J12</f>
        <v>9.1945000000000618</v>
      </c>
    </row>
    <row r="13" spans="1:13" x14ac:dyDescent="0.25">
      <c r="A13" s="39" t="s">
        <v>532</v>
      </c>
      <c r="B13" s="98">
        <v>5</v>
      </c>
      <c r="C13" s="162">
        <v>12000</v>
      </c>
      <c r="D13" s="37">
        <f t="shared" ref="D13" si="7">B13*C13</f>
        <v>60000</v>
      </c>
      <c r="E13" s="39">
        <f>D13*0.1</f>
        <v>6000</v>
      </c>
      <c r="F13" s="98">
        <v>0</v>
      </c>
      <c r="G13" s="162">
        <v>0.21</v>
      </c>
      <c r="H13" s="37">
        <f>G13*B13</f>
        <v>1.05</v>
      </c>
      <c r="I13" s="4">
        <f>H13*$C$2</f>
        <v>7402.5</v>
      </c>
      <c r="J13" s="51">
        <f>(D13+E13+F13+I13)*$C$3</f>
        <v>3684.8054999999999</v>
      </c>
      <c r="K13" s="6"/>
      <c r="L13" s="17"/>
    </row>
    <row r="14" spans="1:13" ht="31.5" x14ac:dyDescent="0.5">
      <c r="A14" s="142" t="s">
        <v>344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582.06900000000007</v>
      </c>
      <c r="K14" s="10">
        <v>520</v>
      </c>
      <c r="L14" s="10">
        <f t="shared" ref="L14" si="8">K14-J14</f>
        <v>-62.069000000000074</v>
      </c>
    </row>
    <row r="15" spans="1:13" x14ac:dyDescent="0.25">
      <c r="A15" s="164" t="s">
        <v>539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163">
        <v>0.1</v>
      </c>
      <c r="H15" s="37">
        <f>G15*B15</f>
        <v>0.1</v>
      </c>
      <c r="I15" s="4">
        <f>H15*$C$2</f>
        <v>705</v>
      </c>
      <c r="J15" s="51">
        <f>(D15+E15+F15+I15)*$C$3</f>
        <v>582.06900000000007</v>
      </c>
      <c r="K15" s="6"/>
      <c r="L15" s="17"/>
    </row>
    <row r="16" spans="1:13" ht="31.5" x14ac:dyDescent="0.5">
      <c r="A16" s="142" t="s">
        <v>160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590.55280000000005</v>
      </c>
      <c r="K16" s="10">
        <v>538</v>
      </c>
      <c r="L16" s="10">
        <f t="shared" ref="L16" si="10">K16-J16</f>
        <v>-52.552800000000047</v>
      </c>
    </row>
    <row r="17" spans="1:12" x14ac:dyDescent="0.25">
      <c r="A17" s="164" t="s">
        <v>540</v>
      </c>
      <c r="B17" s="98">
        <v>1</v>
      </c>
      <c r="C17" s="99">
        <v>8900</v>
      </c>
      <c r="D17" s="37">
        <f t="shared" ref="D17" si="11">B17*C17</f>
        <v>8900</v>
      </c>
      <c r="E17" s="39">
        <f>D17*0.1</f>
        <v>890</v>
      </c>
      <c r="F17" s="98">
        <v>0</v>
      </c>
      <c r="G17" s="99">
        <v>0.28000000000000003</v>
      </c>
      <c r="H17" s="37">
        <f>G17*B17</f>
        <v>0.28000000000000003</v>
      </c>
      <c r="I17" s="4">
        <f>H17*$C$2</f>
        <v>1974.0000000000002</v>
      </c>
      <c r="J17" s="51">
        <f>(D17+E17+F17+I17)*$C$3</f>
        <v>590.55280000000005</v>
      </c>
      <c r="K17" s="6"/>
      <c r="L17" s="17"/>
    </row>
    <row r="18" spans="1:12" ht="31.5" x14ac:dyDescent="0.5">
      <c r="A18" s="142" t="s">
        <v>382</v>
      </c>
      <c r="B18" s="123"/>
      <c r="C18" s="124"/>
      <c r="D18" s="32"/>
      <c r="E18" s="92"/>
      <c r="F18" s="123"/>
      <c r="G18" s="124"/>
      <c r="H18" s="32"/>
      <c r="I18" s="2"/>
      <c r="J18" s="52">
        <f>J19+J20</f>
        <v>1448.1445000000001</v>
      </c>
      <c r="K18" s="10">
        <v>1448</v>
      </c>
      <c r="L18" s="10">
        <f t="shared" ref="L18" si="12">K18-J18</f>
        <v>-0.14450000000010732</v>
      </c>
    </row>
    <row r="19" spans="1:12" x14ac:dyDescent="0.25">
      <c r="A19" s="164" t="s">
        <v>543</v>
      </c>
      <c r="B19" s="98">
        <v>1</v>
      </c>
      <c r="C19" s="99">
        <v>12800</v>
      </c>
      <c r="D19" s="37">
        <f t="shared" ref="D19" si="13">B19*C19</f>
        <v>12800</v>
      </c>
      <c r="E19" s="39">
        <f>D19*0.1</f>
        <v>1280</v>
      </c>
      <c r="F19" s="98">
        <v>0</v>
      </c>
      <c r="G19" s="163">
        <v>0.41</v>
      </c>
      <c r="H19" s="37">
        <f>G19*B19</f>
        <v>0.41</v>
      </c>
      <c r="I19" s="4">
        <f>H19*$C$2</f>
        <v>2890.5</v>
      </c>
      <c r="J19" s="51">
        <f>(D19+E19+F19+I19)*$C$3</f>
        <v>851.91910000000007</v>
      </c>
      <c r="K19" s="6"/>
      <c r="L19" s="17"/>
    </row>
    <row r="20" spans="1:12" ht="15.75" thickBot="1" x14ac:dyDescent="0.3">
      <c r="A20" s="164" t="s">
        <v>542</v>
      </c>
      <c r="B20" s="102">
        <v>1</v>
      </c>
      <c r="C20" s="103">
        <v>9900</v>
      </c>
      <c r="D20" s="37">
        <f t="shared" ref="D20" si="14">B20*C20</f>
        <v>9900</v>
      </c>
      <c r="E20" s="39">
        <f>D20*0.1</f>
        <v>990</v>
      </c>
      <c r="F20" s="102">
        <v>0</v>
      </c>
      <c r="G20" s="103">
        <v>0.14000000000000001</v>
      </c>
      <c r="H20" s="37">
        <f>G20*B20</f>
        <v>0.14000000000000001</v>
      </c>
      <c r="I20" s="4">
        <f>H20*$C$2</f>
        <v>987.00000000000011</v>
      </c>
      <c r="J20" s="51">
        <f>(D20+E20+F20+I20)*$C$3</f>
        <v>596.22540000000004</v>
      </c>
      <c r="K20" s="6"/>
      <c r="L20" s="17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H35" sqref="H35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41999</v>
      </c>
      <c r="D1" s="30"/>
    </row>
    <row r="2" spans="1:13" ht="21" x14ac:dyDescent="0.35">
      <c r="A2" s="55" t="s">
        <v>239</v>
      </c>
      <c r="B2" s="4"/>
      <c r="C2" s="16">
        <v>7900</v>
      </c>
      <c r="D2" s="30"/>
    </row>
    <row r="3" spans="1:13" ht="21" x14ac:dyDescent="0.35">
      <c r="A3" s="55" t="s">
        <v>240</v>
      </c>
      <c r="B3" s="4"/>
      <c r="C3" s="16">
        <v>4.9000000000000002E-2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546</v>
      </c>
      <c r="B6" s="151"/>
      <c r="C6" s="151"/>
      <c r="D6" s="32"/>
      <c r="E6" s="92"/>
      <c r="F6" s="123"/>
      <c r="G6" s="124"/>
      <c r="H6" s="32"/>
      <c r="I6" s="2"/>
      <c r="J6" s="52">
        <f>J7</f>
        <v>553.553</v>
      </c>
      <c r="K6" s="10">
        <f>551+3</f>
        <v>554</v>
      </c>
      <c r="L6" s="10">
        <f t="shared" ref="L6" si="0">K6-J6</f>
        <v>0.44700000000000273</v>
      </c>
      <c r="M6" s="133"/>
    </row>
    <row r="7" spans="1:13" x14ac:dyDescent="0.25">
      <c r="A7" s="4" t="s">
        <v>547</v>
      </c>
      <c r="B7" s="4">
        <v>1</v>
      </c>
      <c r="C7" s="4">
        <v>7900</v>
      </c>
      <c r="D7" s="37">
        <f t="shared" ref="D7" si="1">B7*C7</f>
        <v>7900</v>
      </c>
      <c r="E7" s="39">
        <f>D7*0.1</f>
        <v>790</v>
      </c>
      <c r="F7" s="4">
        <v>0</v>
      </c>
      <c r="G7" s="5">
        <v>0.33</v>
      </c>
      <c r="H7" s="37">
        <f>G7*B7</f>
        <v>0.33</v>
      </c>
      <c r="I7" s="4">
        <f>H7*$C$2</f>
        <v>2607</v>
      </c>
      <c r="J7" s="51">
        <f>(D7+E7+F7+I7)*$C$3</f>
        <v>553.553</v>
      </c>
      <c r="K7" s="6"/>
      <c r="L7" s="17"/>
      <c r="M7">
        <f>J7/2</f>
        <v>276.7765</v>
      </c>
    </row>
    <row r="8" spans="1:13" ht="31.5" x14ac:dyDescent="0.5">
      <c r="A8" s="152" t="s">
        <v>288</v>
      </c>
      <c r="B8" s="151"/>
      <c r="C8" s="151"/>
      <c r="D8" s="32"/>
      <c r="E8" s="92"/>
      <c r="F8" s="151"/>
      <c r="G8" s="151"/>
      <c r="H8" s="32"/>
      <c r="I8" s="2"/>
      <c r="J8" s="52">
        <f>J9+J10</f>
        <v>1064.5250000000001</v>
      </c>
      <c r="K8" s="10">
        <f>833+232</f>
        <v>1065</v>
      </c>
      <c r="L8" s="10">
        <f t="shared" ref="L8" si="2">K8-J8</f>
        <v>0.47499999999990905</v>
      </c>
    </row>
    <row r="9" spans="1:13" x14ac:dyDescent="0.25">
      <c r="A9" s="4" t="s">
        <v>547</v>
      </c>
      <c r="B9" s="4">
        <v>1</v>
      </c>
      <c r="C9" s="4">
        <v>7900</v>
      </c>
      <c r="D9" s="37">
        <f t="shared" ref="D9:D10" si="3">B9*C9</f>
        <v>7900</v>
      </c>
      <c r="E9" s="39">
        <f>D9*0.1</f>
        <v>790</v>
      </c>
      <c r="F9" s="4">
        <v>0</v>
      </c>
      <c r="G9" s="5">
        <v>0.33</v>
      </c>
      <c r="H9" s="37">
        <f>G9*B9</f>
        <v>0.33</v>
      </c>
      <c r="I9" s="4">
        <f>H9*$C$2</f>
        <v>2607</v>
      </c>
      <c r="J9" s="51">
        <f>(D9+E9+F9+I9)*$C$3</f>
        <v>553.553</v>
      </c>
      <c r="K9" s="6"/>
      <c r="L9" s="17"/>
    </row>
    <row r="10" spans="1:13" x14ac:dyDescent="0.25">
      <c r="A10" s="17" t="s">
        <v>376</v>
      </c>
      <c r="B10" s="4">
        <v>1</v>
      </c>
      <c r="C10" s="4">
        <v>7900</v>
      </c>
      <c r="D10" s="37">
        <f t="shared" si="3"/>
        <v>7900</v>
      </c>
      <c r="E10" s="39">
        <f>D10*0.1</f>
        <v>790</v>
      </c>
      <c r="F10" s="4">
        <v>0</v>
      </c>
      <c r="G10" s="5">
        <v>0.22</v>
      </c>
      <c r="H10" s="37">
        <f>G10*B10</f>
        <v>0.22</v>
      </c>
      <c r="I10" s="4">
        <f>H10*$C$2</f>
        <v>1738</v>
      </c>
      <c r="J10" s="51">
        <f>(D10+E10+F10+I10)*$C$3</f>
        <v>510.97200000000004</v>
      </c>
      <c r="K10" s="6"/>
      <c r="L10" s="17"/>
    </row>
    <row r="11" spans="1:13" ht="31.5" x14ac:dyDescent="0.5">
      <c r="A11" s="152" t="s">
        <v>344</v>
      </c>
      <c r="B11" s="151"/>
      <c r="C11" s="151"/>
      <c r="D11" s="32"/>
      <c r="E11" s="92"/>
      <c r="F11" s="151"/>
      <c r="G11" s="151"/>
      <c r="H11" s="32"/>
      <c r="I11" s="2"/>
      <c r="J11" s="52">
        <f>J12</f>
        <v>532.82600000000002</v>
      </c>
      <c r="K11" s="10">
        <v>536</v>
      </c>
      <c r="L11" s="10">
        <f t="shared" ref="L11" si="4">K11-J11</f>
        <v>3.1739999999999782</v>
      </c>
    </row>
    <row r="12" spans="1:13" x14ac:dyDescent="0.25">
      <c r="A12" s="4" t="s">
        <v>437</v>
      </c>
      <c r="B12" s="4">
        <v>1</v>
      </c>
      <c r="C12" s="4">
        <v>6320</v>
      </c>
      <c r="D12" s="37">
        <f t="shared" ref="D12" si="5">B12*C12</f>
        <v>6320</v>
      </c>
      <c r="E12" s="39">
        <f>D12*0.1</f>
        <v>632</v>
      </c>
      <c r="F12" s="4">
        <v>2500</v>
      </c>
      <c r="G12" s="4">
        <v>0.18</v>
      </c>
      <c r="H12" s="37">
        <f>G12*B12</f>
        <v>0.18</v>
      </c>
      <c r="I12" s="4">
        <f>H12*$C$2</f>
        <v>1422</v>
      </c>
      <c r="J12" s="51">
        <f>(D12+E12+F12+I12)*$C$3</f>
        <v>532.82600000000002</v>
      </c>
      <c r="K12" s="6"/>
      <c r="L12" s="17"/>
    </row>
    <row r="13" spans="1:13" ht="31.5" x14ac:dyDescent="0.5">
      <c r="A13" s="152" t="s">
        <v>364</v>
      </c>
      <c r="B13" s="151"/>
      <c r="C13" s="151"/>
      <c r="D13" s="32"/>
      <c r="E13" s="92"/>
      <c r="F13" s="151"/>
      <c r="G13" s="151"/>
      <c r="H13" s="32"/>
      <c r="I13" s="2"/>
      <c r="J13" s="52">
        <f>J14</f>
        <v>1148.56</v>
      </c>
      <c r="K13" s="10">
        <f>1147+2</f>
        <v>1149</v>
      </c>
      <c r="L13" s="10">
        <f t="shared" ref="L13" si="6">K13-J13</f>
        <v>0.44000000000005457</v>
      </c>
    </row>
    <row r="14" spans="1:13" x14ac:dyDescent="0.25">
      <c r="A14" s="4" t="s">
        <v>548</v>
      </c>
      <c r="B14" s="4">
        <v>1</v>
      </c>
      <c r="C14" s="4">
        <v>17000</v>
      </c>
      <c r="D14" s="37">
        <f t="shared" ref="D14" si="7">B14*C14</f>
        <v>17000</v>
      </c>
      <c r="E14" s="39">
        <f>D14*0.1</f>
        <v>1700</v>
      </c>
      <c r="F14" s="4">
        <v>0</v>
      </c>
      <c r="G14" s="4">
        <v>0.6</v>
      </c>
      <c r="H14" s="37">
        <f>G14*B14</f>
        <v>0.6</v>
      </c>
      <c r="I14" s="4">
        <f>H14*$C$2</f>
        <v>4740</v>
      </c>
      <c r="J14" s="51">
        <f>(D14+E14+F14+I14)*$C$3</f>
        <v>1148.56</v>
      </c>
      <c r="K14" s="6"/>
      <c r="L14" s="1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zoomScale="90" zoomScaleNormal="90" workbookViewId="0">
      <selection sqref="A1:XFD1048576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42020</v>
      </c>
      <c r="D1" s="30"/>
    </row>
    <row r="2" spans="1:13" ht="21" x14ac:dyDescent="0.35">
      <c r="A2" s="55" t="s">
        <v>239</v>
      </c>
      <c r="B2" s="4"/>
      <c r="C2" s="16">
        <v>8220</v>
      </c>
      <c r="D2" s="30"/>
    </row>
    <row r="3" spans="1:13" ht="21" x14ac:dyDescent="0.35">
      <c r="A3" s="55" t="s">
        <v>240</v>
      </c>
      <c r="B3" s="4"/>
      <c r="C3" s="170">
        <v>6.1800000000000001E-2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549</v>
      </c>
      <c r="B6" s="151"/>
      <c r="C6" s="151"/>
      <c r="D6" s="2"/>
      <c r="E6" s="2"/>
      <c r="F6" s="151"/>
      <c r="G6" s="151"/>
      <c r="H6" s="2"/>
      <c r="I6" s="2"/>
      <c r="J6" s="52">
        <f>J7</f>
        <v>943.08860000000004</v>
      </c>
      <c r="K6" s="10">
        <f>70</f>
        <v>70</v>
      </c>
      <c r="L6" s="171">
        <f t="shared" ref="L6" si="0">K6-J6</f>
        <v>-873.08860000000004</v>
      </c>
      <c r="M6" s="133"/>
    </row>
    <row r="7" spans="1:13" x14ac:dyDescent="0.25">
      <c r="A7" s="4" t="s">
        <v>550</v>
      </c>
      <c r="B7" s="4">
        <v>1</v>
      </c>
      <c r="C7" s="4">
        <v>10500</v>
      </c>
      <c r="D7" s="4">
        <f t="shared" ref="D7" si="1">B7*C7</f>
        <v>10500</v>
      </c>
      <c r="E7" s="4">
        <f>D7*0.1</f>
        <v>1050</v>
      </c>
      <c r="F7" s="167">
        <f>2500/3*1</f>
        <v>833.33333333333337</v>
      </c>
      <c r="G7" s="4">
        <v>0.35</v>
      </c>
      <c r="H7" s="4">
        <f>G7*B7</f>
        <v>0.35</v>
      </c>
      <c r="I7" s="4">
        <f>H7*$C$2</f>
        <v>2877</v>
      </c>
      <c r="J7" s="51">
        <f>(D7+E7+F7+I7)*$C$3</f>
        <v>943.08860000000004</v>
      </c>
      <c r="K7" s="6"/>
      <c r="L7" s="17"/>
    </row>
    <row r="8" spans="1:13" ht="31.5" x14ac:dyDescent="0.5">
      <c r="A8" s="152" t="s">
        <v>331</v>
      </c>
      <c r="B8" s="151"/>
      <c r="C8" s="151"/>
      <c r="D8" s="2"/>
      <c r="E8" s="2"/>
      <c r="F8" s="166"/>
      <c r="G8" s="151"/>
      <c r="H8" s="2"/>
      <c r="I8" s="2"/>
      <c r="J8" s="52">
        <f>J9+J10</f>
        <v>1624.4377199999999</v>
      </c>
      <c r="K8" s="10">
        <f>1372+100+60-23</f>
        <v>1509</v>
      </c>
      <c r="L8" s="10">
        <f t="shared" ref="L8" si="2">K8-J8</f>
        <v>-115.4377199999999</v>
      </c>
      <c r="M8" t="s">
        <v>568</v>
      </c>
    </row>
    <row r="9" spans="1:13" x14ac:dyDescent="0.25">
      <c r="A9" s="4" t="s">
        <v>551</v>
      </c>
      <c r="B9" s="4">
        <v>1</v>
      </c>
      <c r="C9" s="4">
        <v>10000</v>
      </c>
      <c r="D9" s="4">
        <f t="shared" ref="D9:D10" si="3">B9*C9</f>
        <v>10000</v>
      </c>
      <c r="E9" s="4">
        <f>D9*0.1</f>
        <v>1000</v>
      </c>
      <c r="F9" s="168">
        <v>0</v>
      </c>
      <c r="G9" s="4">
        <v>0.2</v>
      </c>
      <c r="H9" s="4">
        <f>G9*B9</f>
        <v>0.2</v>
      </c>
      <c r="I9" s="4">
        <f>H9*$C$2</f>
        <v>1644</v>
      </c>
      <c r="J9" s="51">
        <f>(D9+E9+F9+I9)*$C$3</f>
        <v>781.39920000000006</v>
      </c>
      <c r="K9" s="6"/>
      <c r="L9" s="17"/>
    </row>
    <row r="10" spans="1:13" x14ac:dyDescent="0.25">
      <c r="A10" s="4" t="s">
        <v>565</v>
      </c>
      <c r="B10" s="4">
        <v>1</v>
      </c>
      <c r="C10" s="4">
        <v>8500</v>
      </c>
      <c r="D10" s="4">
        <f t="shared" si="3"/>
        <v>8500</v>
      </c>
      <c r="E10" s="4">
        <f>D10*0.1</f>
        <v>850</v>
      </c>
      <c r="F10" s="168">
        <f>2500/2</f>
        <v>1250</v>
      </c>
      <c r="G10" s="4">
        <v>0.37</v>
      </c>
      <c r="H10" s="4">
        <f>G10*B10</f>
        <v>0.37</v>
      </c>
      <c r="I10" s="4">
        <f>H10*$C$2</f>
        <v>3041.4</v>
      </c>
      <c r="J10" s="51">
        <f>(D10+E10+F10+I10)*$C$3</f>
        <v>843.03851999999995</v>
      </c>
      <c r="K10" s="6"/>
      <c r="L10" s="17"/>
    </row>
    <row r="11" spans="1:13" ht="31.5" x14ac:dyDescent="0.5">
      <c r="A11" s="152" t="s">
        <v>552</v>
      </c>
      <c r="B11" s="151"/>
      <c r="C11" s="151"/>
      <c r="D11" s="2"/>
      <c r="E11" s="2"/>
      <c r="F11" s="166"/>
      <c r="G11" s="151"/>
      <c r="H11" s="2"/>
      <c r="I11" s="2"/>
      <c r="J11" s="52">
        <f>SUM(J12:J14)</f>
        <v>4068.8296</v>
      </c>
      <c r="K11" s="10">
        <f>1000+2736+280+53</f>
        <v>4069</v>
      </c>
      <c r="L11" s="10">
        <f t="shared" ref="L11" si="4">K11-J11</f>
        <v>0.17039999999997235</v>
      </c>
    </row>
    <row r="12" spans="1:13" x14ac:dyDescent="0.25">
      <c r="A12" s="169" t="s">
        <v>566</v>
      </c>
      <c r="B12" s="5">
        <v>2</v>
      </c>
      <c r="C12" s="5">
        <v>10900</v>
      </c>
      <c r="D12" s="4">
        <f t="shared" ref="D12" si="5">B12*C12</f>
        <v>21800</v>
      </c>
      <c r="E12" s="4">
        <f>D12*0.1</f>
        <v>2180</v>
      </c>
      <c r="F12" s="167">
        <f>2500/3*2</f>
        <v>1666.6666666666667</v>
      </c>
      <c r="G12" s="5">
        <v>0.2</v>
      </c>
      <c r="H12" s="4">
        <f>G12*B12</f>
        <v>0.4</v>
      </c>
      <c r="I12" s="4">
        <f>H12*$C$2</f>
        <v>3288</v>
      </c>
      <c r="J12" s="51">
        <f>(D12+E12+F12+I12)*$C$3</f>
        <v>1788.1624000000002</v>
      </c>
      <c r="K12" s="6"/>
      <c r="L12" s="17"/>
    </row>
    <row r="13" spans="1:13" x14ac:dyDescent="0.25">
      <c r="A13" s="17" t="s">
        <v>553</v>
      </c>
      <c r="B13" s="4">
        <v>1</v>
      </c>
      <c r="C13" s="4">
        <v>7920</v>
      </c>
      <c r="D13" s="4">
        <f t="shared" ref="D13" si="6">B13*C13</f>
        <v>7920</v>
      </c>
      <c r="E13" s="4">
        <f>D13*0.1</f>
        <v>792</v>
      </c>
      <c r="F13" s="168">
        <v>2500</v>
      </c>
      <c r="G13" s="5">
        <v>0.2</v>
      </c>
      <c r="H13" s="4">
        <f>G13*B13</f>
        <v>0.2</v>
      </c>
      <c r="I13" s="4">
        <f>H13*$C$2</f>
        <v>1644</v>
      </c>
      <c r="J13" s="51">
        <f>(D13+E13+F13+I13)*$C$3</f>
        <v>794.50080000000003</v>
      </c>
      <c r="K13" s="6"/>
      <c r="L13" s="17"/>
    </row>
    <row r="14" spans="1:13" x14ac:dyDescent="0.25">
      <c r="A14" s="4" t="s">
        <v>554</v>
      </c>
      <c r="B14" s="4">
        <v>1</v>
      </c>
      <c r="C14" s="4">
        <v>19620</v>
      </c>
      <c r="D14" s="4">
        <f t="shared" ref="D14" si="7">B14*C14</f>
        <v>19620</v>
      </c>
      <c r="E14" s="4">
        <f>D14*0.1</f>
        <v>1962</v>
      </c>
      <c r="F14" s="168">
        <v>0</v>
      </c>
      <c r="G14" s="4">
        <v>0.3</v>
      </c>
      <c r="H14" s="4">
        <f>G14*B14</f>
        <v>0.3</v>
      </c>
      <c r="I14" s="4">
        <f>H14*$C$2</f>
        <v>2466</v>
      </c>
      <c r="J14" s="51">
        <f>(D14+E14+F14+I14)*$C$3</f>
        <v>1486.1664000000001</v>
      </c>
      <c r="K14" s="6"/>
      <c r="L14" s="17"/>
    </row>
    <row r="15" spans="1:13" ht="31.5" x14ac:dyDescent="0.5">
      <c r="A15" s="152" t="s">
        <v>364</v>
      </c>
      <c r="B15" s="151"/>
      <c r="C15" s="151"/>
      <c r="D15" s="2"/>
      <c r="E15" s="2"/>
      <c r="F15" s="166"/>
      <c r="G15" s="151"/>
      <c r="H15" s="2"/>
      <c r="I15" s="2"/>
      <c r="J15" s="52">
        <f>SUM(J16:J19)</f>
        <v>3260.8399200000003</v>
      </c>
      <c r="K15" s="10">
        <f>2981+280</f>
        <v>3261</v>
      </c>
      <c r="L15" s="10">
        <f t="shared" ref="L15" si="8">K15-J15</f>
        <v>0.1600799999996525</v>
      </c>
    </row>
    <row r="16" spans="1:13" x14ac:dyDescent="0.25">
      <c r="A16" s="4" t="s">
        <v>555</v>
      </c>
      <c r="B16" s="4">
        <v>1</v>
      </c>
      <c r="C16" s="4">
        <v>12800</v>
      </c>
      <c r="D16" s="4">
        <f t="shared" ref="D16:D19" si="9">B16*C16</f>
        <v>12800</v>
      </c>
      <c r="E16" s="4">
        <f>D16*0.1</f>
        <v>1280</v>
      </c>
      <c r="F16" s="168">
        <v>0</v>
      </c>
      <c r="G16" s="4">
        <v>0.4</v>
      </c>
      <c r="H16" s="4">
        <f>G16*B16</f>
        <v>0.4</v>
      </c>
      <c r="I16" s="4">
        <f>H16*$C$2</f>
        <v>3288</v>
      </c>
      <c r="J16" s="51">
        <f>(D16+E16+F16+I16)*$C$3</f>
        <v>1073.3424</v>
      </c>
      <c r="K16" s="6"/>
      <c r="L16" s="17"/>
    </row>
    <row r="17" spans="1:13" x14ac:dyDescent="0.25">
      <c r="A17" s="4" t="s">
        <v>565</v>
      </c>
      <c r="B17" s="4">
        <v>1</v>
      </c>
      <c r="C17" s="4">
        <v>8500</v>
      </c>
      <c r="D17" s="4">
        <f t="shared" ref="D17" si="10">B17*C17</f>
        <v>8500</v>
      </c>
      <c r="E17" s="4">
        <f>D17*0.1</f>
        <v>850</v>
      </c>
      <c r="F17" s="168">
        <f>2500/2</f>
        <v>1250</v>
      </c>
      <c r="G17" s="4">
        <v>0.37</v>
      </c>
      <c r="H17" s="4">
        <f>G17*B17</f>
        <v>0.37</v>
      </c>
      <c r="I17" s="4">
        <f>H17*$C$2</f>
        <v>3041.4</v>
      </c>
      <c r="J17" s="51">
        <f>(D17+E17+F17+I17)*$C$3</f>
        <v>843.03851999999995</v>
      </c>
      <c r="K17" s="6"/>
      <c r="L17" s="17"/>
    </row>
    <row r="18" spans="1:13" x14ac:dyDescent="0.25">
      <c r="A18" s="4" t="s">
        <v>556</v>
      </c>
      <c r="B18" s="4">
        <v>1</v>
      </c>
      <c r="C18" s="4">
        <v>9900</v>
      </c>
      <c r="D18" s="4">
        <f t="shared" si="9"/>
        <v>9900</v>
      </c>
      <c r="E18" s="4">
        <f>D18*0.1</f>
        <v>990</v>
      </c>
      <c r="F18" s="168">
        <v>0</v>
      </c>
      <c r="G18" s="4">
        <v>0.4</v>
      </c>
      <c r="H18" s="4">
        <f>G18*B18</f>
        <v>0.4</v>
      </c>
      <c r="I18" s="4">
        <f>H18*$C$2</f>
        <v>3288</v>
      </c>
      <c r="J18" s="51">
        <f>(D18+E18+F18+I18)*$C$3</f>
        <v>876.20040000000006</v>
      </c>
      <c r="K18" s="6"/>
      <c r="L18" s="17"/>
    </row>
    <row r="19" spans="1:13" x14ac:dyDescent="0.25">
      <c r="A19" s="4" t="s">
        <v>557</v>
      </c>
      <c r="B19" s="4">
        <v>1</v>
      </c>
      <c r="C19" s="4">
        <v>3510</v>
      </c>
      <c r="D19" s="4">
        <f t="shared" si="9"/>
        <v>3510</v>
      </c>
      <c r="E19" s="4">
        <f>D19*0.1</f>
        <v>351</v>
      </c>
      <c r="F19" s="168">
        <f>2500/2</f>
        <v>1250</v>
      </c>
      <c r="G19" s="4">
        <v>0.3</v>
      </c>
      <c r="H19" s="4">
        <f>G19*B19</f>
        <v>0.3</v>
      </c>
      <c r="I19" s="4">
        <f>H19*$C$2</f>
        <v>2466</v>
      </c>
      <c r="J19" s="51">
        <f>(D19+E19+F19+I19)*$C$3</f>
        <v>468.2586</v>
      </c>
      <c r="K19" s="6"/>
      <c r="L19" s="17"/>
    </row>
    <row r="20" spans="1:13" ht="31.5" x14ac:dyDescent="0.5">
      <c r="A20" s="152" t="s">
        <v>558</v>
      </c>
      <c r="B20" s="151"/>
      <c r="C20" s="151"/>
      <c r="D20" s="2"/>
      <c r="E20" s="2"/>
      <c r="F20" s="166"/>
      <c r="G20" s="151"/>
      <c r="H20" s="2"/>
      <c r="I20" s="2"/>
      <c r="J20" s="52">
        <f>J21</f>
        <v>2690.5248000000001</v>
      </c>
      <c r="K20" s="10">
        <f>2746-55</f>
        <v>2691</v>
      </c>
      <c r="L20" s="10">
        <f t="shared" ref="L20" si="11">K20-J20</f>
        <v>0.47519999999985885</v>
      </c>
      <c r="M20" t="s">
        <v>567</v>
      </c>
    </row>
    <row r="21" spans="1:13" x14ac:dyDescent="0.25">
      <c r="A21" s="4" t="s">
        <v>559</v>
      </c>
      <c r="B21" s="4">
        <v>2</v>
      </c>
      <c r="C21" s="4">
        <v>16800</v>
      </c>
      <c r="D21" s="4">
        <f t="shared" ref="D21" si="12">B21*C21</f>
        <v>33600</v>
      </c>
      <c r="E21" s="4">
        <f>D21*0.1</f>
        <v>3360</v>
      </c>
      <c r="F21" s="168">
        <v>0</v>
      </c>
      <c r="G21" s="4">
        <v>0.4</v>
      </c>
      <c r="H21" s="4">
        <f>G21*B21</f>
        <v>0.8</v>
      </c>
      <c r="I21" s="4">
        <f>H21*$C$2</f>
        <v>6576</v>
      </c>
      <c r="J21" s="51">
        <f>(D21+E21+F21+I21)*$C$3</f>
        <v>2690.5248000000001</v>
      </c>
      <c r="K21" s="6"/>
      <c r="L21" s="17"/>
    </row>
    <row r="22" spans="1:13" ht="31.5" x14ac:dyDescent="0.5">
      <c r="A22" s="152" t="s">
        <v>560</v>
      </c>
      <c r="B22" s="151"/>
      <c r="C22" s="151"/>
      <c r="D22" s="2"/>
      <c r="E22" s="2"/>
      <c r="F22" s="166"/>
      <c r="G22" s="151"/>
      <c r="H22" s="2"/>
      <c r="I22" s="2"/>
      <c r="J22" s="52">
        <f>J23</f>
        <v>537.37159999999994</v>
      </c>
      <c r="K22" s="10">
        <f>484+53</f>
        <v>537</v>
      </c>
      <c r="L22" s="10">
        <f t="shared" ref="L22" si="13">K22-J22</f>
        <v>-0.37159999999994398</v>
      </c>
    </row>
    <row r="23" spans="1:13" x14ac:dyDescent="0.25">
      <c r="A23" s="4" t="s">
        <v>561</v>
      </c>
      <c r="B23" s="4">
        <v>1</v>
      </c>
      <c r="C23" s="4">
        <v>6400</v>
      </c>
      <c r="D23" s="4">
        <f t="shared" ref="D23" si="14">B23*C23</f>
        <v>6400</v>
      </c>
      <c r="E23" s="4">
        <f>D23*0.1</f>
        <v>640</v>
      </c>
      <c r="F23" s="168">
        <f>2500/3</f>
        <v>833.33333333333337</v>
      </c>
      <c r="G23" s="4">
        <v>0.1</v>
      </c>
      <c r="H23" s="4">
        <f>G23*B23</f>
        <v>0.1</v>
      </c>
      <c r="I23" s="4">
        <f>H23*$C$2</f>
        <v>822</v>
      </c>
      <c r="J23" s="51">
        <f>(D23+E23+F23+I23)*$C$3</f>
        <v>537.37159999999994</v>
      </c>
      <c r="K23" s="6"/>
      <c r="L23" s="17"/>
    </row>
    <row r="24" spans="1:13" ht="31.5" x14ac:dyDescent="0.5">
      <c r="A24" s="152" t="s">
        <v>562</v>
      </c>
      <c r="B24" s="151"/>
      <c r="C24" s="151"/>
      <c r="D24" s="2"/>
      <c r="E24" s="2"/>
      <c r="F24" s="166"/>
      <c r="G24" s="151"/>
      <c r="H24" s="2"/>
      <c r="I24" s="2"/>
      <c r="J24" s="52">
        <f>J25+J26</f>
        <v>2194.12248</v>
      </c>
      <c r="K24" s="10">
        <f>1972+222</f>
        <v>2194</v>
      </c>
      <c r="L24" s="10">
        <f t="shared" ref="L24" si="15">K24-J24</f>
        <v>-0.12247999999999593</v>
      </c>
    </row>
    <row r="25" spans="1:13" x14ac:dyDescent="0.25">
      <c r="A25" s="4" t="s">
        <v>563</v>
      </c>
      <c r="B25" s="4">
        <v>2</v>
      </c>
      <c r="C25" s="4">
        <v>7900</v>
      </c>
      <c r="D25" s="4">
        <f t="shared" ref="D25" si="16">B25*C25</f>
        <v>15800</v>
      </c>
      <c r="E25" s="4">
        <f>D25*0.1</f>
        <v>1580</v>
      </c>
      <c r="F25" s="168">
        <v>0</v>
      </c>
      <c r="G25" s="4">
        <v>0.33</v>
      </c>
      <c r="H25" s="4">
        <f>G25*B25</f>
        <v>0.66</v>
      </c>
      <c r="I25" s="4">
        <f>H25*$C$2</f>
        <v>5425.2</v>
      </c>
      <c r="J25" s="51">
        <f>(D25+E25+F25+I25)*$C$3</f>
        <v>1409.3613600000001</v>
      </c>
      <c r="K25" s="6"/>
      <c r="L25" s="17"/>
    </row>
    <row r="26" spans="1:13" x14ac:dyDescent="0.25">
      <c r="A26" s="4" t="s">
        <v>564</v>
      </c>
      <c r="B26" s="4">
        <v>1</v>
      </c>
      <c r="C26" s="4">
        <v>9900</v>
      </c>
      <c r="D26" s="4">
        <f t="shared" ref="D26" si="17">B26*C26</f>
        <v>9900</v>
      </c>
      <c r="E26" s="4">
        <f>D26*0.1</f>
        <v>990</v>
      </c>
      <c r="F26" s="168">
        <v>0</v>
      </c>
      <c r="G26" s="4">
        <v>0.14000000000000001</v>
      </c>
      <c r="H26" s="4">
        <v>0.22</v>
      </c>
      <c r="I26" s="4">
        <f>H26*$C$2</f>
        <v>1808.4</v>
      </c>
      <c r="J26" s="51">
        <f>(D26+E26+F26+I26)*$C$3</f>
        <v>784.76112000000001</v>
      </c>
      <c r="K26" s="6"/>
      <c r="L26" s="17"/>
    </row>
  </sheetData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C26" sqref="C26:C28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42048</v>
      </c>
      <c r="D1" s="30"/>
    </row>
    <row r="2" spans="1:13" ht="21" x14ac:dyDescent="0.35">
      <c r="A2" s="55" t="s">
        <v>239</v>
      </c>
      <c r="B2" s="4"/>
      <c r="C2" s="16">
        <v>7900</v>
      </c>
      <c r="D2" s="30"/>
    </row>
    <row r="3" spans="1:13" ht="21" x14ac:dyDescent="0.35">
      <c r="A3" s="55" t="s">
        <v>240</v>
      </c>
      <c r="B3" s="4"/>
      <c r="C3" s="170">
        <v>6.0999999999999999E-2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500</v>
      </c>
      <c r="B6" s="151"/>
      <c r="C6" s="151"/>
      <c r="D6" s="2"/>
      <c r="E6" s="2"/>
      <c r="F6" s="151"/>
      <c r="G6" s="151"/>
      <c r="H6" s="2"/>
      <c r="I6" s="2"/>
      <c r="J6" s="52">
        <f>J7</f>
        <v>4531.9949999999999</v>
      </c>
      <c r="K6" s="10">
        <v>4626</v>
      </c>
      <c r="L6" s="10">
        <f t="shared" ref="L6" si="0">K6-J6</f>
        <v>94.005000000000109</v>
      </c>
      <c r="M6" s="133"/>
    </row>
    <row r="7" spans="1:13" x14ac:dyDescent="0.25">
      <c r="A7" s="5" t="s">
        <v>532</v>
      </c>
      <c r="B7" s="5">
        <v>5</v>
      </c>
      <c r="C7" s="161">
        <v>12000</v>
      </c>
      <c r="D7" s="4">
        <f t="shared" ref="D7" si="1">B7*C7</f>
        <v>60000</v>
      </c>
      <c r="E7" s="4">
        <f>D7*0.1</f>
        <v>6000</v>
      </c>
      <c r="F7" s="5">
        <v>0</v>
      </c>
      <c r="G7" s="161">
        <v>0.21</v>
      </c>
      <c r="H7" s="4">
        <f>G7*B7</f>
        <v>1.05</v>
      </c>
      <c r="I7" s="4">
        <f>H7*$C$2</f>
        <v>8295</v>
      </c>
      <c r="J7" s="51">
        <f>(D7+E7+F7+I7)*$C$3</f>
        <v>4531.9949999999999</v>
      </c>
      <c r="K7" s="6"/>
      <c r="L7" s="17"/>
    </row>
    <row r="8" spans="1:13" ht="31.5" x14ac:dyDescent="0.5">
      <c r="A8" s="152" t="s">
        <v>344</v>
      </c>
      <c r="B8" s="151"/>
      <c r="C8" s="151"/>
      <c r="D8" s="2"/>
      <c r="E8" s="2"/>
      <c r="F8" s="151"/>
      <c r="G8" s="151"/>
      <c r="H8" s="2"/>
      <c r="I8" s="2"/>
      <c r="J8" s="52">
        <f>J9</f>
        <v>569.25199999999995</v>
      </c>
      <c r="K8" s="10">
        <f>580-14</f>
        <v>566</v>
      </c>
      <c r="L8" s="10">
        <f t="shared" ref="L8" si="2">K8-J8</f>
        <v>-3.2519999999999527</v>
      </c>
      <c r="M8" s="133" t="s">
        <v>589</v>
      </c>
    </row>
    <row r="9" spans="1:13" x14ac:dyDescent="0.25">
      <c r="A9" s="5" t="s">
        <v>569</v>
      </c>
      <c r="B9" s="4">
        <v>1</v>
      </c>
      <c r="C9" s="4">
        <v>4200</v>
      </c>
      <c r="D9" s="4">
        <f t="shared" ref="D9" si="3">B9*C9</f>
        <v>4200</v>
      </c>
      <c r="E9" s="4">
        <f>D9*0.1</f>
        <v>420</v>
      </c>
      <c r="F9" s="4">
        <v>2500</v>
      </c>
      <c r="G9" s="4">
        <v>0.28000000000000003</v>
      </c>
      <c r="H9" s="4">
        <f>G9*B9</f>
        <v>0.28000000000000003</v>
      </c>
      <c r="I9" s="4">
        <f>H9*$C$2</f>
        <v>2212</v>
      </c>
      <c r="J9" s="51">
        <f>(D9+E9+F9+I9)*$C$3</f>
        <v>569.25199999999995</v>
      </c>
      <c r="K9" s="6"/>
      <c r="L9" s="17"/>
    </row>
    <row r="10" spans="1:13" ht="31.5" x14ac:dyDescent="0.5">
      <c r="A10" s="152" t="s">
        <v>302</v>
      </c>
      <c r="B10" s="151"/>
      <c r="C10" s="151"/>
      <c r="D10" s="2"/>
      <c r="E10" s="2"/>
      <c r="F10" s="151"/>
      <c r="G10" s="151"/>
      <c r="H10" s="2"/>
      <c r="I10" s="2"/>
      <c r="J10" s="52">
        <f>J11+J12</f>
        <v>1639.68</v>
      </c>
      <c r="K10" s="10">
        <f>2077-437</f>
        <v>1640</v>
      </c>
      <c r="L10" s="10">
        <f t="shared" ref="L10" si="4">K10-J10</f>
        <v>0.31999999999993634</v>
      </c>
      <c r="M10" t="s">
        <v>580</v>
      </c>
    </row>
    <row r="11" spans="1:13" x14ac:dyDescent="0.25">
      <c r="A11" s="4" t="s">
        <v>570</v>
      </c>
      <c r="B11" s="4">
        <v>1</v>
      </c>
      <c r="C11" s="4">
        <v>8000</v>
      </c>
      <c r="D11" s="4">
        <f t="shared" ref="D11:D12" si="5">B11*C11</f>
        <v>8000</v>
      </c>
      <c r="E11" s="4">
        <f>D11*0.1</f>
        <v>800</v>
      </c>
      <c r="F11" s="4">
        <v>0</v>
      </c>
      <c r="G11" s="4">
        <v>0.1</v>
      </c>
      <c r="H11" s="4">
        <f>G11*B11</f>
        <v>0.1</v>
      </c>
      <c r="I11" s="4">
        <f>H11*$C$2</f>
        <v>790</v>
      </c>
      <c r="J11" s="51">
        <f>(D11+E11+F11+I11)*$C$3</f>
        <v>584.99</v>
      </c>
      <c r="K11" s="6"/>
      <c r="L11" s="17"/>
    </row>
    <row r="12" spans="1:13" x14ac:dyDescent="0.25">
      <c r="A12" s="4" t="s">
        <v>571</v>
      </c>
      <c r="B12" s="4">
        <v>1</v>
      </c>
      <c r="C12" s="4">
        <v>15000</v>
      </c>
      <c r="D12" s="4">
        <f t="shared" si="5"/>
        <v>15000</v>
      </c>
      <c r="E12" s="4">
        <f>D12*0.1</f>
        <v>1500</v>
      </c>
      <c r="F12" s="4">
        <v>0</v>
      </c>
      <c r="G12" s="4">
        <v>0.1</v>
      </c>
      <c r="H12" s="4">
        <f>G12*B12</f>
        <v>0.1</v>
      </c>
      <c r="I12" s="4">
        <f>H12*$C$2</f>
        <v>790</v>
      </c>
      <c r="J12" s="51">
        <f>(D12+E12+F12+I12)*$C$3</f>
        <v>1054.69</v>
      </c>
      <c r="K12" s="6"/>
      <c r="L12" s="17"/>
    </row>
    <row r="13" spans="1:13" ht="31.5" x14ac:dyDescent="0.5">
      <c r="A13" s="152" t="s">
        <v>2</v>
      </c>
      <c r="B13" s="151"/>
      <c r="C13" s="151"/>
      <c r="D13" s="2"/>
      <c r="E13" s="2"/>
      <c r="F13" s="151"/>
      <c r="G13" s="151"/>
      <c r="H13" s="2"/>
      <c r="I13" s="2"/>
      <c r="J13" s="52">
        <f>SUM(J14:J16)</f>
        <v>1711.9039999999998</v>
      </c>
      <c r="K13" s="10">
        <f>1768-56</f>
        <v>1712</v>
      </c>
      <c r="L13" s="10">
        <f>K13-J13</f>
        <v>9.6000000000231012E-2</v>
      </c>
      <c r="M13" t="s">
        <v>581</v>
      </c>
    </row>
    <row r="14" spans="1:13" x14ac:dyDescent="0.25">
      <c r="A14" s="4" t="s">
        <v>572</v>
      </c>
      <c r="B14" s="4">
        <v>1</v>
      </c>
      <c r="C14" s="4">
        <v>8900</v>
      </c>
      <c r="D14" s="4">
        <f t="shared" ref="D14:D16" si="6">B14*C14</f>
        <v>8900</v>
      </c>
      <c r="E14" s="4">
        <f>D14*0.1</f>
        <v>890</v>
      </c>
      <c r="F14" s="4">
        <v>0</v>
      </c>
      <c r="G14" s="4">
        <v>0.05</v>
      </c>
      <c r="H14" s="4">
        <f>G14*B14</f>
        <v>0.05</v>
      </c>
      <c r="I14" s="4">
        <f>H14*$C$2</f>
        <v>395</v>
      </c>
      <c r="J14" s="51">
        <f>(D14+E14+F14+I14)*$C$3</f>
        <v>621.28499999999997</v>
      </c>
      <c r="K14" s="6"/>
      <c r="L14" s="17"/>
    </row>
    <row r="15" spans="1:13" x14ac:dyDescent="0.25">
      <c r="A15" s="4" t="s">
        <v>573</v>
      </c>
      <c r="B15" s="4">
        <v>1</v>
      </c>
      <c r="C15" s="4">
        <v>5900</v>
      </c>
      <c r="D15" s="4">
        <f t="shared" si="6"/>
        <v>5900</v>
      </c>
      <c r="E15" s="4">
        <f>D15*0.1</f>
        <v>590</v>
      </c>
      <c r="F15" s="4">
        <v>0</v>
      </c>
      <c r="G15" s="4">
        <v>0.32</v>
      </c>
      <c r="H15" s="4">
        <f>G15*B15</f>
        <v>0.32</v>
      </c>
      <c r="I15" s="4">
        <f>H15*$C$2</f>
        <v>2528</v>
      </c>
      <c r="J15" s="51">
        <f>(D15+E15+F15+I15)*$C$3</f>
        <v>550.09799999999996</v>
      </c>
      <c r="K15" s="6"/>
      <c r="L15" s="17"/>
    </row>
    <row r="16" spans="1:13" x14ac:dyDescent="0.25">
      <c r="A16" s="4" t="s">
        <v>574</v>
      </c>
      <c r="B16" s="4">
        <v>1</v>
      </c>
      <c r="C16" s="4">
        <v>5280</v>
      </c>
      <c r="D16" s="4">
        <f t="shared" si="6"/>
        <v>5280</v>
      </c>
      <c r="E16" s="4">
        <f>D16*0.1</f>
        <v>528</v>
      </c>
      <c r="F16" s="4">
        <v>2500</v>
      </c>
      <c r="G16" s="4">
        <v>7.0000000000000007E-2</v>
      </c>
      <c r="H16" s="4">
        <f>G16*B16</f>
        <v>7.0000000000000007E-2</v>
      </c>
      <c r="I16" s="4">
        <f>H16*$C$2</f>
        <v>553</v>
      </c>
      <c r="J16" s="51">
        <f>(D16+E16+F16+I16)*$C$3</f>
        <v>540.52099999999996</v>
      </c>
      <c r="K16" s="6"/>
      <c r="L16" s="17"/>
    </row>
    <row r="17" spans="1:13" ht="31.5" x14ac:dyDescent="0.5">
      <c r="A17" s="152" t="s">
        <v>382</v>
      </c>
      <c r="B17" s="151"/>
      <c r="C17" s="151"/>
      <c r="D17" s="2"/>
      <c r="E17" s="2"/>
      <c r="F17" s="151"/>
      <c r="G17" s="151"/>
      <c r="H17" s="2"/>
      <c r="I17" s="2"/>
      <c r="J17" s="52">
        <f>SUM(J18:J20)</f>
        <v>2498.8650000000002</v>
      </c>
      <c r="K17" s="10">
        <f>2590-91</f>
        <v>2499</v>
      </c>
      <c r="L17" s="10">
        <f t="shared" ref="L17" si="7">K17-J17</f>
        <v>0.13499999999976353</v>
      </c>
      <c r="M17" t="s">
        <v>579</v>
      </c>
    </row>
    <row r="18" spans="1:13" x14ac:dyDescent="0.25">
      <c r="A18" s="17" t="s">
        <v>575</v>
      </c>
      <c r="B18" s="4">
        <v>1</v>
      </c>
      <c r="C18" s="4">
        <v>9900</v>
      </c>
      <c r="D18" s="4">
        <f t="shared" ref="D18:D20" si="8">B18*C18</f>
        <v>9900</v>
      </c>
      <c r="E18" s="4">
        <f>D18*0.1</f>
        <v>990</v>
      </c>
      <c r="F18" s="4">
        <v>0</v>
      </c>
      <c r="G18" s="4">
        <v>0.45</v>
      </c>
      <c r="H18" s="4">
        <f>G18*B18</f>
        <v>0.45</v>
      </c>
      <c r="I18" s="4">
        <f>H18*$C$2</f>
        <v>3555</v>
      </c>
      <c r="J18" s="51">
        <f>(D18+E18+F18+I18)*$C$3</f>
        <v>881.14499999999998</v>
      </c>
      <c r="K18" s="6"/>
      <c r="L18" s="17"/>
    </row>
    <row r="19" spans="1:13" x14ac:dyDescent="0.25">
      <c r="A19" s="17" t="s">
        <v>577</v>
      </c>
      <c r="B19" s="4">
        <v>1</v>
      </c>
      <c r="C19" s="4">
        <v>9900</v>
      </c>
      <c r="D19" s="4">
        <f t="shared" si="8"/>
        <v>9900</v>
      </c>
      <c r="E19" s="4">
        <f>D19*0.1</f>
        <v>990</v>
      </c>
      <c r="F19" s="4">
        <v>0</v>
      </c>
      <c r="G19" s="4">
        <v>0.3</v>
      </c>
      <c r="H19" s="4">
        <f>G19*B19</f>
        <v>0.3</v>
      </c>
      <c r="I19" s="4">
        <f>H19*$C$2</f>
        <v>2370</v>
      </c>
      <c r="J19" s="51">
        <f>(D19+E19+F19+I19)*$C$3</f>
        <v>808.86</v>
      </c>
      <c r="K19" s="6"/>
      <c r="L19" s="17"/>
    </row>
    <row r="20" spans="1:13" x14ac:dyDescent="0.25">
      <c r="A20" s="17" t="s">
        <v>576</v>
      </c>
      <c r="B20" s="4">
        <v>1</v>
      </c>
      <c r="C20" s="4">
        <v>9900</v>
      </c>
      <c r="D20" s="4">
        <f t="shared" si="8"/>
        <v>9900</v>
      </c>
      <c r="E20" s="4">
        <f>D20*0.1</f>
        <v>990</v>
      </c>
      <c r="F20" s="4">
        <v>0</v>
      </c>
      <c r="G20" s="4">
        <v>0.3</v>
      </c>
      <c r="H20" s="4">
        <f>G20*B20</f>
        <v>0.3</v>
      </c>
      <c r="I20" s="4">
        <f>H20*$C$2</f>
        <v>2370</v>
      </c>
      <c r="J20" s="51">
        <f>(D20+E20+F20+I20)*$C$3</f>
        <v>808.86</v>
      </c>
      <c r="K20" s="6"/>
      <c r="L20" s="1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workbookViewId="0">
      <selection activeCell="C9" sqref="C9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42076</v>
      </c>
      <c r="D1" s="30"/>
    </row>
    <row r="2" spans="1:13" ht="21" x14ac:dyDescent="0.35">
      <c r="A2" s="55" t="s">
        <v>239</v>
      </c>
      <c r="B2" s="4"/>
      <c r="C2" s="16">
        <v>8530</v>
      </c>
      <c r="D2" s="30"/>
    </row>
    <row r="3" spans="1:13" ht="21" x14ac:dyDescent="0.35">
      <c r="A3" s="55" t="s">
        <v>240</v>
      </c>
      <c r="B3" s="4"/>
      <c r="C3" s="170">
        <v>5.5100000000000003E-2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492</v>
      </c>
      <c r="B6" s="151"/>
      <c r="C6" s="151"/>
      <c r="D6" s="151"/>
      <c r="E6" s="2"/>
      <c r="F6" s="151"/>
      <c r="G6" s="151"/>
      <c r="H6" s="2"/>
      <c r="I6" s="2"/>
      <c r="J6" s="52">
        <f>J7</f>
        <v>1771.0793000000001</v>
      </c>
      <c r="K6" s="10">
        <v>1771</v>
      </c>
      <c r="L6" s="10">
        <f t="shared" ref="L6" si="0">K6-J6</f>
        <v>-7.9300000000102955E-2</v>
      </c>
      <c r="M6" s="133"/>
    </row>
    <row r="7" spans="1:13" x14ac:dyDescent="0.25">
      <c r="A7" s="4" t="s">
        <v>582</v>
      </c>
      <c r="B7" s="4">
        <v>2</v>
      </c>
      <c r="C7" s="161">
        <v>12000</v>
      </c>
      <c r="D7" s="4">
        <f>B7*C7</f>
        <v>24000</v>
      </c>
      <c r="E7" s="4">
        <f>D7*0.1</f>
        <v>2400</v>
      </c>
      <c r="F7" s="4">
        <f>2500/4</f>
        <v>625</v>
      </c>
      <c r="G7" s="4">
        <v>0.3</v>
      </c>
      <c r="H7" s="4">
        <f>G7*B7</f>
        <v>0.6</v>
      </c>
      <c r="I7" s="4">
        <f>H7*$C$2</f>
        <v>5118</v>
      </c>
      <c r="J7" s="51">
        <f>(D7+E7+F7+I7)*$C$3</f>
        <v>1771.0793000000001</v>
      </c>
      <c r="K7" s="6"/>
      <c r="L7" s="17"/>
    </row>
    <row r="8" spans="1:13" ht="31.5" x14ac:dyDescent="0.5">
      <c r="A8" s="152" t="s">
        <v>500</v>
      </c>
      <c r="B8" s="151"/>
      <c r="C8" s="151"/>
      <c r="D8" s="151"/>
      <c r="E8" s="2"/>
      <c r="F8" s="151"/>
      <c r="G8" s="151"/>
      <c r="H8" s="2"/>
      <c r="I8" s="2"/>
      <c r="J8" s="52">
        <f>J9</f>
        <v>4466.9074100000007</v>
      </c>
      <c r="K8" s="10">
        <v>4373</v>
      </c>
      <c r="L8" s="10">
        <f t="shared" ref="L8" si="1">K8-J8</f>
        <v>-93.907410000000709</v>
      </c>
      <c r="M8" s="133"/>
    </row>
    <row r="9" spans="1:13" x14ac:dyDescent="0.25">
      <c r="A9" s="5" t="s">
        <v>532</v>
      </c>
      <c r="B9" s="5">
        <v>7</v>
      </c>
      <c r="C9" s="161">
        <v>8900</v>
      </c>
      <c r="D9" s="5">
        <f>B9*C9</f>
        <v>62300</v>
      </c>
      <c r="E9" s="4">
        <f>D9*0.1</f>
        <v>6230</v>
      </c>
      <c r="F9" s="5">
        <v>0</v>
      </c>
      <c r="G9" s="161">
        <v>0.21</v>
      </c>
      <c r="H9" s="4">
        <f>G9*B9</f>
        <v>1.47</v>
      </c>
      <c r="I9" s="4">
        <f>H9*$C$2</f>
        <v>12539.1</v>
      </c>
      <c r="J9" s="51">
        <f>(D9+E9+F9+I9)*$C$3</f>
        <v>4466.9074100000007</v>
      </c>
      <c r="K9" s="6"/>
      <c r="L9" s="17"/>
    </row>
    <row r="10" spans="1:13" ht="31.5" x14ac:dyDescent="0.5">
      <c r="A10" s="152" t="s">
        <v>583</v>
      </c>
      <c r="B10" s="151"/>
      <c r="C10" s="151"/>
      <c r="D10" s="151"/>
      <c r="E10" s="2"/>
      <c r="F10" s="151"/>
      <c r="G10" s="151"/>
      <c r="H10" s="2"/>
      <c r="I10" s="2"/>
      <c r="J10" s="52">
        <f>J11</f>
        <v>694.03960000000006</v>
      </c>
      <c r="K10" s="10">
        <v>694</v>
      </c>
      <c r="L10" s="10">
        <f t="shared" ref="L10" si="2">K10-J10</f>
        <v>-3.9600000000064028E-2</v>
      </c>
      <c r="M10" s="133"/>
    </row>
    <row r="11" spans="1:13" x14ac:dyDescent="0.25">
      <c r="A11" s="4" t="s">
        <v>584</v>
      </c>
      <c r="B11" s="5">
        <v>1</v>
      </c>
      <c r="C11" s="5">
        <v>9900</v>
      </c>
      <c r="D11" s="5">
        <f t="shared" ref="D11" si="3">B11*C11</f>
        <v>9900</v>
      </c>
      <c r="E11" s="4">
        <f>D11*0.1</f>
        <v>990</v>
      </c>
      <c r="F11" s="5">
        <v>0</v>
      </c>
      <c r="G11" s="5">
        <v>0.2</v>
      </c>
      <c r="H11" s="4">
        <f>G11*B11</f>
        <v>0.2</v>
      </c>
      <c r="I11" s="4">
        <f>H11*$C$2</f>
        <v>1706</v>
      </c>
      <c r="J11" s="51">
        <f>(D11+E11+F11+I11)*$C$3</f>
        <v>694.03960000000006</v>
      </c>
      <c r="K11" s="6"/>
      <c r="L11" s="17"/>
    </row>
    <row r="12" spans="1:13" ht="31.5" x14ac:dyDescent="0.5">
      <c r="A12" s="152" t="s">
        <v>585</v>
      </c>
      <c r="B12" s="151"/>
      <c r="C12" s="151"/>
      <c r="D12" s="151"/>
      <c r="E12" s="2"/>
      <c r="F12" s="151"/>
      <c r="G12" s="151"/>
      <c r="H12" s="2"/>
      <c r="I12" s="2"/>
      <c r="J12" s="52">
        <f>J13</f>
        <v>641.14359999999999</v>
      </c>
      <c r="K12" s="10">
        <v>641</v>
      </c>
      <c r="L12" s="10">
        <f t="shared" ref="L12:L14" si="4">K12-J12</f>
        <v>-0.14359999999999218</v>
      </c>
      <c r="M12" s="133"/>
    </row>
    <row r="13" spans="1:13" x14ac:dyDescent="0.25">
      <c r="A13" s="4" t="s">
        <v>586</v>
      </c>
      <c r="B13" s="4">
        <v>1</v>
      </c>
      <c r="C13" s="4">
        <v>7530</v>
      </c>
      <c r="D13" s="4">
        <v>7530</v>
      </c>
      <c r="E13" s="4">
        <f>D13*0.1</f>
        <v>753</v>
      </c>
      <c r="F13" s="4">
        <v>2500</v>
      </c>
      <c r="G13" s="4">
        <v>0.1</v>
      </c>
      <c r="H13" s="4">
        <f>G13*B13</f>
        <v>0.1</v>
      </c>
      <c r="I13" s="4">
        <f>H13*$C$2</f>
        <v>853</v>
      </c>
      <c r="J13" s="51">
        <f>(D13+E13+F13+I13)*$C$3</f>
        <v>641.14359999999999</v>
      </c>
      <c r="K13" s="6"/>
      <c r="L13" s="17"/>
    </row>
    <row r="14" spans="1:13" ht="31.5" x14ac:dyDescent="0.5">
      <c r="A14" s="152" t="s">
        <v>588</v>
      </c>
      <c r="B14" s="151"/>
      <c r="C14" s="151"/>
      <c r="D14" s="151"/>
      <c r="E14" s="2"/>
      <c r="F14" s="151"/>
      <c r="G14" s="151"/>
      <c r="H14" s="2"/>
      <c r="I14" s="2"/>
      <c r="J14" s="52">
        <f>J15</f>
        <v>1276.25926</v>
      </c>
      <c r="K14" s="10">
        <v>1276</v>
      </c>
      <c r="L14" s="10">
        <f t="shared" si="4"/>
        <v>-0.25926000000004024</v>
      </c>
      <c r="M14" s="133"/>
    </row>
    <row r="15" spans="1:13" x14ac:dyDescent="0.25">
      <c r="A15" s="5" t="s">
        <v>310</v>
      </c>
      <c r="B15" s="5">
        <v>2</v>
      </c>
      <c r="C15" s="161">
        <v>8900</v>
      </c>
      <c r="D15" s="5">
        <f>B15*C15</f>
        <v>17800</v>
      </c>
      <c r="E15" s="4">
        <f>D15*0.1</f>
        <v>1780</v>
      </c>
      <c r="F15" s="5">
        <v>0</v>
      </c>
      <c r="G15" s="161">
        <v>0.21</v>
      </c>
      <c r="H15" s="4">
        <f>G15*B15</f>
        <v>0.42</v>
      </c>
      <c r="I15" s="4">
        <f>H15*$C$2</f>
        <v>3582.6</v>
      </c>
      <c r="J15" s="51">
        <f>(D15+E15+F15+I15)*$C$3</f>
        <v>1276.25926</v>
      </c>
      <c r="K15" s="6"/>
      <c r="L15" s="17"/>
    </row>
  </sheetData>
  <hyperlinks>
    <hyperlink ref="A6" r:id="rId1" display="http://forum.sibmama.ru/viewtopic.php?t=715424&amp;start=1252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5"/>
  <sheetViews>
    <sheetView zoomScale="57" zoomScaleNormal="57" workbookViewId="0">
      <selection activeCell="N22" sqref="N22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41320</v>
      </c>
    </row>
    <row r="2" spans="1:12" ht="28.5" x14ac:dyDescent="0.45">
      <c r="A2" s="13" t="s">
        <v>13</v>
      </c>
      <c r="B2" s="4"/>
      <c r="C2" s="16">
        <v>6.26</v>
      </c>
    </row>
    <row r="3" spans="1:12" ht="28.5" x14ac:dyDescent="0.45">
      <c r="A3" s="13" t="s">
        <v>14</v>
      </c>
      <c r="B3" s="4"/>
      <c r="C3" s="16"/>
    </row>
    <row r="4" spans="1:12" ht="28.5" x14ac:dyDescent="0.45">
      <c r="A4" s="13" t="s">
        <v>11</v>
      </c>
      <c r="B4" s="4"/>
      <c r="C4" s="16">
        <v>30.12</v>
      </c>
    </row>
    <row r="5" spans="1:12" ht="28.5" x14ac:dyDescent="0.45">
      <c r="A5" s="13" t="s">
        <v>12</v>
      </c>
      <c r="B5" s="4"/>
      <c r="C5" s="16"/>
    </row>
    <row r="6" spans="1:12" ht="18.75" x14ac:dyDescent="0.3">
      <c r="A6" s="14" t="s">
        <v>18</v>
      </c>
      <c r="C6" s="19" t="s">
        <v>43</v>
      </c>
    </row>
    <row r="7" spans="1:12" x14ac:dyDescent="0.25">
      <c r="C7" s="19" t="s">
        <v>73</v>
      </c>
    </row>
    <row r="8" spans="1:12" x14ac:dyDescent="0.25">
      <c r="C8" s="19"/>
    </row>
    <row r="9" spans="1:12" ht="45" x14ac:dyDescent="0.2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/>
    </row>
    <row r="10" spans="1:12" ht="26.25" x14ac:dyDescent="0.4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1775.6693800000003</v>
      </c>
      <c r="K10" s="11">
        <f>1699+77</f>
        <v>1776</v>
      </c>
      <c r="L10" s="10">
        <f>K10-J10</f>
        <v>0.33061999999972613</v>
      </c>
    </row>
    <row r="11" spans="1:12" ht="26.25" x14ac:dyDescent="0.4">
      <c r="A11" s="3" t="s">
        <v>77</v>
      </c>
      <c r="B11" s="4">
        <v>2</v>
      </c>
      <c r="C11" s="5">
        <v>11</v>
      </c>
      <c r="D11" s="4">
        <f>B11*C11</f>
        <v>22</v>
      </c>
      <c r="E11" s="4">
        <f>D11*0.05</f>
        <v>1.1000000000000001</v>
      </c>
      <c r="F11" s="4">
        <v>0</v>
      </c>
      <c r="G11" s="4">
        <f>0.2*B11</f>
        <v>0.4</v>
      </c>
      <c r="H11" s="4">
        <f>G11*$C$2</f>
        <v>2.504</v>
      </c>
      <c r="I11" s="4">
        <f>D11+F11+H11+E11</f>
        <v>25.604000000000003</v>
      </c>
      <c r="J11" s="9">
        <f>I11*$C$4</f>
        <v>771.19248000000016</v>
      </c>
      <c r="K11" s="9"/>
      <c r="L11" s="10"/>
    </row>
    <row r="12" spans="1:12" ht="32.25" x14ac:dyDescent="0.4">
      <c r="A12" s="3" t="s">
        <v>78</v>
      </c>
      <c r="B12" s="4">
        <v>2</v>
      </c>
      <c r="C12" s="5">
        <v>6.65</v>
      </c>
      <c r="D12" s="4">
        <f t="shared" ref="D12:D14" si="0">B12*C12</f>
        <v>13.3</v>
      </c>
      <c r="E12" s="4">
        <f t="shared" ref="E12:E14" si="1">D12*0.05</f>
        <v>0.66500000000000004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2.504</v>
      </c>
      <c r="I12" s="4">
        <f t="shared" ref="I12:I22" si="3">D12+F12+H12+E12</f>
        <v>17.149000000000001</v>
      </c>
      <c r="J12" s="9">
        <f t="shared" ref="J12:J64" si="4">I12*$C$4</f>
        <v>516.5278800000001</v>
      </c>
      <c r="K12" s="9"/>
      <c r="L12" s="10"/>
    </row>
    <row r="13" spans="1:12" ht="26.25" x14ac:dyDescent="0.4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1.252</v>
      </c>
      <c r="I13" s="4">
        <f t="shared" si="3"/>
        <v>6.4576666666666664</v>
      </c>
      <c r="J13" s="9">
        <f t="shared" si="4"/>
        <v>194.50492</v>
      </c>
      <c r="K13" s="9"/>
      <c r="L13" s="10"/>
    </row>
    <row r="14" spans="1:12" ht="26.25" x14ac:dyDescent="0.4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1.8779999999999999</v>
      </c>
      <c r="I14" s="4">
        <f t="shared" si="3"/>
        <v>9.7424999999999997</v>
      </c>
      <c r="J14" s="9">
        <f t="shared" si="4"/>
        <v>293.44409999999999</v>
      </c>
      <c r="K14" s="9"/>
      <c r="L14" s="10"/>
    </row>
    <row r="15" spans="1:12" ht="26.25" x14ac:dyDescent="0.4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2751.7255500000006</v>
      </c>
      <c r="K15" s="10">
        <f>2659+93</f>
        <v>2752</v>
      </c>
      <c r="L15" s="10">
        <f t="shared" ref="L15:L74" si="6">K15-J15</f>
        <v>0.2744499999994332</v>
      </c>
    </row>
    <row r="16" spans="1:12" ht="26.25" x14ac:dyDescent="0.4">
      <c r="A16" s="17" t="s">
        <v>47</v>
      </c>
      <c r="B16" s="4">
        <v>3</v>
      </c>
      <c r="C16" s="4">
        <v>12.33</v>
      </c>
      <c r="D16" s="4">
        <f>B16*C16</f>
        <v>36.99</v>
      </c>
      <c r="E16" s="4">
        <f>D16*0.05</f>
        <v>1.8495000000000001</v>
      </c>
      <c r="F16" s="4">
        <v>0</v>
      </c>
      <c r="G16" s="4">
        <f>0.3*B16</f>
        <v>0.89999999999999991</v>
      </c>
      <c r="H16" s="4">
        <f t="shared" si="2"/>
        <v>5.6339999999999995</v>
      </c>
      <c r="I16" s="4">
        <f t="shared" si="3"/>
        <v>44.473500000000001</v>
      </c>
      <c r="J16" s="9">
        <f t="shared" si="4"/>
        <v>1339.5418200000001</v>
      </c>
      <c r="K16" s="9"/>
      <c r="L16" s="10"/>
    </row>
    <row r="17" spans="1:13" ht="26.25" x14ac:dyDescent="0.4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</f>
        <v>2.38</v>
      </c>
      <c r="G17" s="4">
        <f>0.3*B17</f>
        <v>0.89999999999999991</v>
      </c>
      <c r="H17" s="4">
        <f t="shared" si="2"/>
        <v>5.6339999999999995</v>
      </c>
      <c r="I17" s="4">
        <f t="shared" si="3"/>
        <v>33.213999999999999</v>
      </c>
      <c r="J17" s="9">
        <f t="shared" si="4"/>
        <v>1000.40568</v>
      </c>
      <c r="K17" s="9"/>
      <c r="L17" s="10"/>
    </row>
    <row r="18" spans="1:13" ht="26.25" x14ac:dyDescent="0.4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1.252</v>
      </c>
      <c r="I18" s="4">
        <f t="shared" si="3"/>
        <v>8.115499999999999</v>
      </c>
      <c r="J18" s="9">
        <f t="shared" si="4"/>
        <v>244.43885999999998</v>
      </c>
      <c r="K18" s="9"/>
      <c r="L18" s="10"/>
    </row>
    <row r="19" spans="1:13" ht="26.25" x14ac:dyDescent="0.4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0.626</v>
      </c>
      <c r="I19" s="4">
        <f t="shared" si="3"/>
        <v>5.5557500000000006</v>
      </c>
      <c r="J19" s="9">
        <f t="shared" si="4"/>
        <v>167.33919000000003</v>
      </c>
      <c r="K19" s="9"/>
      <c r="L19" s="10"/>
    </row>
    <row r="20" spans="1:13" ht="26.25" x14ac:dyDescent="0.4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1284.0457200000001</v>
      </c>
      <c r="K20" s="10">
        <v>1273</v>
      </c>
      <c r="L20" s="10">
        <f t="shared" si="6"/>
        <v>-11.045720000000074</v>
      </c>
    </row>
    <row r="21" spans="1:13" ht="26.25" x14ac:dyDescent="0.4">
      <c r="A21" s="3" t="s">
        <v>80</v>
      </c>
      <c r="B21" s="4">
        <v>3</v>
      </c>
      <c r="C21" s="5">
        <v>6.65</v>
      </c>
      <c r="D21" s="4">
        <f>B21*C21</f>
        <v>19.950000000000003</v>
      </c>
      <c r="E21" s="4">
        <f>D21*0.05</f>
        <v>0.99750000000000016</v>
      </c>
      <c r="F21" s="12">
        <f>2.38/7*B21</f>
        <v>1.02</v>
      </c>
      <c r="G21" s="4">
        <f>0.2*B21</f>
        <v>0.60000000000000009</v>
      </c>
      <c r="H21" s="4">
        <f t="shared" si="2"/>
        <v>3.7560000000000002</v>
      </c>
      <c r="I21" s="4">
        <f t="shared" si="3"/>
        <v>25.723500000000001</v>
      </c>
      <c r="J21" s="9">
        <f t="shared" si="4"/>
        <v>774.79182000000003</v>
      </c>
      <c r="K21" s="9"/>
      <c r="L21" s="10"/>
    </row>
    <row r="22" spans="1:13" ht="26.25" x14ac:dyDescent="0.4">
      <c r="A22" s="3" t="s">
        <v>81</v>
      </c>
      <c r="B22" s="4">
        <v>3</v>
      </c>
      <c r="C22" s="5"/>
      <c r="D22" s="4">
        <v>8.4700000000000006</v>
      </c>
      <c r="E22" s="4">
        <f>D22*0.05</f>
        <v>0.42350000000000004</v>
      </c>
      <c r="F22" s="12">
        <v>2.38</v>
      </c>
      <c r="G22" s="4">
        <f>0.3*B22</f>
        <v>0.89999999999999991</v>
      </c>
      <c r="H22" s="4">
        <f t="shared" si="2"/>
        <v>5.6339999999999995</v>
      </c>
      <c r="I22" s="4">
        <f t="shared" si="3"/>
        <v>16.907500000000002</v>
      </c>
      <c r="J22" s="9">
        <f t="shared" si="4"/>
        <v>509.2539000000001</v>
      </c>
      <c r="K22" s="9"/>
      <c r="L22" s="10"/>
    </row>
    <row r="23" spans="1:13" ht="26.25" x14ac:dyDescent="0.4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701.58817199999999</v>
      </c>
      <c r="K23" s="10">
        <v>700</v>
      </c>
      <c r="L23" s="10">
        <f t="shared" si="6"/>
        <v>-1.5881719999999859</v>
      </c>
    </row>
    <row r="24" spans="1:13" ht="26.25" x14ac:dyDescent="0.4">
      <c r="A24" s="7" t="s">
        <v>44</v>
      </c>
      <c r="B24" s="4">
        <v>1</v>
      </c>
      <c r="C24" s="28">
        <v>12.23</v>
      </c>
      <c r="D24" s="4">
        <f>B24*C24</f>
        <v>12.23</v>
      </c>
      <c r="E24" s="4">
        <f t="shared" ref="E24:E25" si="8">D24*0.05</f>
        <v>0.61150000000000004</v>
      </c>
      <c r="F24" s="4">
        <v>0</v>
      </c>
      <c r="G24" s="4">
        <f>0.56*B24</f>
        <v>0.56000000000000005</v>
      </c>
      <c r="H24" s="4">
        <f>G24*$C$2</f>
        <v>3.5056000000000003</v>
      </c>
      <c r="I24" s="4">
        <f>D24+F24+H24+E24</f>
        <v>16.347100000000001</v>
      </c>
      <c r="J24" s="9">
        <f t="shared" si="4"/>
        <v>492.37465200000003</v>
      </c>
      <c r="K24" s="9"/>
      <c r="L24" s="10"/>
    </row>
    <row r="25" spans="1:13" ht="26.25" x14ac:dyDescent="0.4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1.8779999999999999</v>
      </c>
      <c r="I25" s="4">
        <f>D25+F25+H25+E25</f>
        <v>6.9459999999999997</v>
      </c>
      <c r="J25" s="9">
        <f t="shared" si="4"/>
        <v>209.21351999999999</v>
      </c>
      <c r="K25" s="9"/>
      <c r="L25" s="10"/>
    </row>
    <row r="26" spans="1:13" ht="26.25" x14ac:dyDescent="0.4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925.49723999999992</v>
      </c>
      <c r="K26" s="10">
        <v>1570</v>
      </c>
      <c r="L26" s="10">
        <f>K26-J26-645</f>
        <v>-0.49723999999991975</v>
      </c>
      <c r="M26" t="s">
        <v>89</v>
      </c>
    </row>
    <row r="27" spans="1:13" s="27" customFormat="1" ht="26.25" x14ac:dyDescent="0.4">
      <c r="A27" s="22" t="s">
        <v>74</v>
      </c>
      <c r="B27" s="23">
        <v>0</v>
      </c>
      <c r="C27" s="24">
        <v>0</v>
      </c>
      <c r="D27" s="23">
        <v>0</v>
      </c>
      <c r="E27" s="23">
        <f>D27*0.05</f>
        <v>0</v>
      </c>
      <c r="F27" s="23">
        <v>0</v>
      </c>
      <c r="G27" s="23">
        <v>0</v>
      </c>
      <c r="H27" s="23">
        <f>G27*$C$2</f>
        <v>0</v>
      </c>
      <c r="I27" s="23">
        <f>D27+F27+H27+E27</f>
        <v>0</v>
      </c>
      <c r="J27" s="25">
        <f t="shared" si="4"/>
        <v>0</v>
      </c>
      <c r="K27" s="25"/>
      <c r="L27" s="26"/>
    </row>
    <row r="28" spans="1:13" ht="26.25" x14ac:dyDescent="0.4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1.8779999999999999</v>
      </c>
      <c r="I28" s="4">
        <f>D28+F28+H28+E28</f>
        <v>15.975999999999999</v>
      </c>
      <c r="J28" s="9">
        <f t="shared" si="4"/>
        <v>481.19711999999998</v>
      </c>
      <c r="K28" s="9"/>
      <c r="L28" s="10"/>
    </row>
    <row r="29" spans="1:13" ht="32.25" x14ac:dyDescent="0.4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1.8779999999999999</v>
      </c>
      <c r="I29" s="4">
        <f>D29+F29+H29+E29</f>
        <v>14.750999999999999</v>
      </c>
      <c r="J29" s="9">
        <f t="shared" si="4"/>
        <v>444.30011999999999</v>
      </c>
      <c r="K29" s="9"/>
      <c r="L29" s="10"/>
    </row>
    <row r="30" spans="1:13" ht="26.25" x14ac:dyDescent="0.4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730.01091000000008</v>
      </c>
      <c r="K30" s="10">
        <f>1250-515</f>
        <v>735</v>
      </c>
      <c r="L30" s="10">
        <f>K30-J30-5</f>
        <v>-1.09100000000808E-2</v>
      </c>
      <c r="M30" s="29" t="s">
        <v>88</v>
      </c>
    </row>
    <row r="31" spans="1:13" ht="26.25" x14ac:dyDescent="0.4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2.504</v>
      </c>
      <c r="I31" s="4">
        <f>D31+F31+H31+E31</f>
        <v>18.681000000000001</v>
      </c>
      <c r="J31" s="9">
        <f t="shared" si="4"/>
        <v>562.67172000000005</v>
      </c>
      <c r="K31" s="9"/>
      <c r="L31" s="10"/>
    </row>
    <row r="32" spans="1:13" ht="26.25" x14ac:dyDescent="0.4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0.626</v>
      </c>
      <c r="I32" s="4">
        <f t="shared" ref="I32" si="11">D32+F32+H32+E32</f>
        <v>5.5557500000000006</v>
      </c>
      <c r="J32" s="9">
        <f t="shared" si="4"/>
        <v>167.33919000000003</v>
      </c>
      <c r="K32" s="9"/>
      <c r="L32" s="10"/>
    </row>
    <row r="33" spans="1:13" ht="26.25" x14ac:dyDescent="0.4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1888.6745999999998</v>
      </c>
      <c r="K33" s="10">
        <v>2400</v>
      </c>
      <c r="L33" s="10">
        <f t="shared" si="6"/>
        <v>511.32540000000017</v>
      </c>
    </row>
    <row r="34" spans="1:13" ht="26.25" x14ac:dyDescent="0.4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0</v>
      </c>
      <c r="G34" s="4">
        <v>0.4</v>
      </c>
      <c r="H34" s="4">
        <f>G34*$C$2</f>
        <v>2.504</v>
      </c>
      <c r="I34" s="4">
        <f>D34+F34+H34+E34</f>
        <v>10.6625</v>
      </c>
      <c r="J34" s="9">
        <f t="shared" si="4"/>
        <v>321.15449999999998</v>
      </c>
      <c r="K34" s="9"/>
      <c r="L34" s="10"/>
    </row>
    <row r="35" spans="1:13" ht="26.25" x14ac:dyDescent="0.4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0</v>
      </c>
      <c r="G35" s="4">
        <v>0.2</v>
      </c>
      <c r="H35" s="4">
        <f t="shared" ref="H35:H39" si="13">G35*$C$2</f>
        <v>1.252</v>
      </c>
      <c r="I35" s="4">
        <f t="shared" ref="I35:I39" si="14">D35+F35+H35+E35</f>
        <v>9.8725000000000023</v>
      </c>
      <c r="J35" s="9">
        <f t="shared" si="4"/>
        <v>297.35970000000009</v>
      </c>
      <c r="K35" s="9"/>
      <c r="L35" s="10"/>
    </row>
    <row r="36" spans="1:13" ht="26.25" x14ac:dyDescent="0.4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0</v>
      </c>
      <c r="G36" s="4">
        <v>0.2</v>
      </c>
      <c r="H36" s="4">
        <f t="shared" si="13"/>
        <v>1.252</v>
      </c>
      <c r="I36" s="4">
        <f t="shared" si="14"/>
        <v>8.98</v>
      </c>
      <c r="J36" s="9">
        <f t="shared" si="4"/>
        <v>270.4776</v>
      </c>
      <c r="K36" s="9"/>
      <c r="L36" s="10"/>
    </row>
    <row r="37" spans="1:13" ht="26.25" x14ac:dyDescent="0.4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0</v>
      </c>
      <c r="G37" s="4">
        <v>0.2</v>
      </c>
      <c r="H37" s="4">
        <f t="shared" si="13"/>
        <v>1.252</v>
      </c>
      <c r="I37" s="4">
        <f t="shared" si="14"/>
        <v>9.4105000000000008</v>
      </c>
      <c r="J37" s="9">
        <f t="shared" si="4"/>
        <v>283.44426000000004</v>
      </c>
      <c r="K37" s="9"/>
      <c r="L37" s="10"/>
    </row>
    <row r="38" spans="1:13" ht="26.25" x14ac:dyDescent="0.4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0</v>
      </c>
      <c r="G38" s="4">
        <v>0.3</v>
      </c>
      <c r="H38" s="4">
        <f t="shared" si="13"/>
        <v>1.8779999999999999</v>
      </c>
      <c r="I38" s="4">
        <f t="shared" si="14"/>
        <v>10.0365</v>
      </c>
      <c r="J38" s="9">
        <f t="shared" si="4"/>
        <v>302.29938000000004</v>
      </c>
      <c r="K38" s="9"/>
      <c r="L38" s="10"/>
    </row>
    <row r="39" spans="1:13" ht="26.25" x14ac:dyDescent="0.4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0</v>
      </c>
      <c r="G39" s="4">
        <v>0.3</v>
      </c>
      <c r="H39" s="4">
        <f t="shared" si="13"/>
        <v>1.8779999999999999</v>
      </c>
      <c r="I39" s="4">
        <f t="shared" si="14"/>
        <v>13.743</v>
      </c>
      <c r="J39" s="9">
        <f t="shared" si="4"/>
        <v>413.93916000000002</v>
      </c>
      <c r="K39" s="9"/>
      <c r="L39" s="10"/>
    </row>
    <row r="40" spans="1:13" ht="26.25" x14ac:dyDescent="0.4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194.50492</v>
      </c>
      <c r="K40" s="10">
        <v>200</v>
      </c>
      <c r="L40" s="10">
        <f t="shared" si="6"/>
        <v>5.4950800000000015</v>
      </c>
    </row>
    <row r="41" spans="1:13" ht="26.25" x14ac:dyDescent="0.4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1.252</v>
      </c>
      <c r="I41" s="4">
        <f>D41+F41+H41+E41</f>
        <v>6.4576666666666664</v>
      </c>
      <c r="J41" s="9">
        <f t="shared" si="4"/>
        <v>194.50492</v>
      </c>
      <c r="K41" s="9"/>
      <c r="L41" s="10"/>
    </row>
    <row r="42" spans="1:13" ht="26.25" x14ac:dyDescent="0.4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401.50963999999999</v>
      </c>
      <c r="K42" s="10">
        <v>459</v>
      </c>
      <c r="L42" s="10">
        <f t="shared" si="6"/>
        <v>57.49036000000001</v>
      </c>
    </row>
    <row r="43" spans="1:13" ht="26.25" x14ac:dyDescent="0.4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f>2.38/3</f>
        <v>0.79333333333333333</v>
      </c>
      <c r="G43" s="4">
        <f>0.2*B43</f>
        <v>0.2</v>
      </c>
      <c r="H43" s="4">
        <f>G43*$C$2</f>
        <v>1.252</v>
      </c>
      <c r="I43" s="4">
        <f>D43+F43+H43+E43</f>
        <v>8.0093333333333323</v>
      </c>
      <c r="J43" s="9">
        <f t="shared" si="4"/>
        <v>241.24111999999997</v>
      </c>
      <c r="K43" s="9"/>
      <c r="L43" s="10"/>
    </row>
    <row r="44" spans="1:13" ht="26.25" x14ac:dyDescent="0.4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0.626</v>
      </c>
      <c r="I44" s="4">
        <f>D44+F44+H44+E44</f>
        <v>5.3210000000000006</v>
      </c>
      <c r="J44" s="9">
        <f t="shared" si="4"/>
        <v>160.26852000000002</v>
      </c>
      <c r="K44" s="9"/>
      <c r="L44" s="10"/>
    </row>
    <row r="45" spans="1:13" ht="26.25" x14ac:dyDescent="0.4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1695.4096200000001</v>
      </c>
      <c r="K45" s="10">
        <v>1914</v>
      </c>
      <c r="L45" s="10">
        <f>K45-J45-219</f>
        <v>-0.40962000000013177</v>
      </c>
      <c r="M45" t="s">
        <v>87</v>
      </c>
    </row>
    <row r="46" spans="1:13" ht="26.25" x14ac:dyDescent="0.4">
      <c r="A46" s="7" t="s">
        <v>55</v>
      </c>
      <c r="B46" s="4">
        <v>1</v>
      </c>
      <c r="C46" s="5">
        <v>3.55</v>
      </c>
      <c r="D46" s="4">
        <f>C46*B46</f>
        <v>3.55</v>
      </c>
      <c r="E46" s="4">
        <f>D46*0.05</f>
        <v>0.17749999999999999</v>
      </c>
      <c r="F46" s="4">
        <v>0</v>
      </c>
      <c r="G46" s="4">
        <v>0.2</v>
      </c>
      <c r="H46" s="4">
        <f>G46*$C$2</f>
        <v>1.252</v>
      </c>
      <c r="I46" s="4">
        <f>D46+F46+H46+E46</f>
        <v>4.9794999999999998</v>
      </c>
      <c r="J46" s="9">
        <f t="shared" si="4"/>
        <v>149.98254</v>
      </c>
      <c r="K46" s="9"/>
      <c r="L46" s="10"/>
    </row>
    <row r="47" spans="1:13" ht="26.25" x14ac:dyDescent="0.4">
      <c r="A47" s="7" t="s">
        <v>56</v>
      </c>
      <c r="B47" s="4">
        <v>1</v>
      </c>
      <c r="C47" s="4">
        <v>3.36</v>
      </c>
      <c r="D47" s="4">
        <v>3.36</v>
      </c>
      <c r="E47" s="4">
        <f t="shared" ref="E47:E50" si="18">D47*0.05</f>
        <v>0.16800000000000001</v>
      </c>
      <c r="F47" s="4">
        <v>2.38</v>
      </c>
      <c r="G47" s="4">
        <v>0.3</v>
      </c>
      <c r="H47" s="4">
        <f>G47*$C$2</f>
        <v>1.8779999999999999</v>
      </c>
      <c r="I47" s="4">
        <f>D47+F47+H47+E47</f>
        <v>7.7860000000000005</v>
      </c>
      <c r="J47" s="9">
        <f t="shared" si="4"/>
        <v>234.51432000000003</v>
      </c>
      <c r="K47" s="9"/>
      <c r="L47" s="10"/>
    </row>
    <row r="48" spans="1:13" ht="26.25" x14ac:dyDescent="0.4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f>2.38/2</f>
        <v>1.19</v>
      </c>
      <c r="G48" s="4">
        <v>0.3</v>
      </c>
      <c r="H48" s="4">
        <f>G48*$C$2</f>
        <v>1.8779999999999999</v>
      </c>
      <c r="I48" s="4">
        <f>D48+F48+H48+E48</f>
        <v>11.111000000000001</v>
      </c>
      <c r="J48" s="9">
        <f t="shared" si="4"/>
        <v>334.66332000000006</v>
      </c>
      <c r="K48" s="9"/>
      <c r="L48" s="10"/>
    </row>
    <row r="49" spans="1:12" ht="26.25" x14ac:dyDescent="0.4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4.6950000000000003</v>
      </c>
      <c r="I49" s="4">
        <f>D49+F49+H49+E49</f>
        <v>16.150500000000001</v>
      </c>
      <c r="J49" s="9">
        <f t="shared" si="4"/>
        <v>486.45306000000005</v>
      </c>
      <c r="K49" s="9"/>
      <c r="L49" s="10"/>
    </row>
    <row r="50" spans="1:12" ht="26.25" x14ac:dyDescent="0.4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0</v>
      </c>
      <c r="G50" s="4">
        <v>0.6</v>
      </c>
      <c r="H50" s="4">
        <f>G50*$C$2</f>
        <v>3.7559999999999998</v>
      </c>
      <c r="I50" s="4">
        <f>D50+F50+H50+E50</f>
        <v>16.261500000000002</v>
      </c>
      <c r="J50" s="9">
        <f t="shared" si="4"/>
        <v>489.79638000000006</v>
      </c>
      <c r="K50" s="9"/>
      <c r="L50" s="10"/>
    </row>
    <row r="51" spans="1:12" ht="26.25" x14ac:dyDescent="0.4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855.78450000000009</v>
      </c>
      <c r="K51" s="10">
        <f>818+38</f>
        <v>856</v>
      </c>
      <c r="L51" s="10">
        <f t="shared" si="6"/>
        <v>0.21549999999990632</v>
      </c>
    </row>
    <row r="52" spans="1:12" ht="26.25" x14ac:dyDescent="0.4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v>0</v>
      </c>
      <c r="G52" s="4">
        <f>0.4*B52</f>
        <v>0.4</v>
      </c>
      <c r="H52" s="4">
        <f>G52*$C$2</f>
        <v>2.504</v>
      </c>
      <c r="I52" s="4">
        <f>D52+F52+H52+E52</f>
        <v>11.366</v>
      </c>
      <c r="J52" s="9">
        <f t="shared" si="4"/>
        <v>342.34392000000003</v>
      </c>
      <c r="K52" s="9"/>
      <c r="L52" s="10"/>
    </row>
    <row r="53" spans="1:12" ht="26.25" x14ac:dyDescent="0.4">
      <c r="A53" s="7" t="s">
        <v>61</v>
      </c>
      <c r="B53" s="4">
        <v>1</v>
      </c>
      <c r="C53" s="4">
        <v>11</v>
      </c>
      <c r="D53" s="4">
        <f t="shared" si="19"/>
        <v>11</v>
      </c>
      <c r="E53" s="4">
        <f t="shared" ref="E53:E54" si="20">D53*0.05</f>
        <v>0.55000000000000004</v>
      </c>
      <c r="F53" s="4">
        <v>0</v>
      </c>
      <c r="G53" s="4">
        <f>0.2*B53</f>
        <v>0.2</v>
      </c>
      <c r="H53" s="4">
        <f>G53*$C$2</f>
        <v>1.252</v>
      </c>
      <c r="I53" s="4">
        <f>D53+F53+H53+E53</f>
        <v>12.802000000000001</v>
      </c>
      <c r="J53" s="9">
        <f t="shared" si="4"/>
        <v>385.59624000000008</v>
      </c>
      <c r="K53" s="9"/>
      <c r="L53" s="10"/>
    </row>
    <row r="54" spans="1:12" ht="26.25" x14ac:dyDescent="0.4">
      <c r="A54" s="7" t="s">
        <v>62</v>
      </c>
      <c r="B54" s="4">
        <v>1</v>
      </c>
      <c r="C54" s="4">
        <v>2.85</v>
      </c>
      <c r="D54" s="4">
        <f>C54</f>
        <v>2.85</v>
      </c>
      <c r="E54" s="4">
        <f t="shared" si="20"/>
        <v>0.14250000000000002</v>
      </c>
      <c r="F54" s="4">
        <v>0</v>
      </c>
      <c r="G54" s="4">
        <v>0.2</v>
      </c>
      <c r="H54" s="4">
        <f>G54*$C$2</f>
        <v>1.252</v>
      </c>
      <c r="I54" s="4">
        <f>D54+F54+H54+E54</f>
        <v>4.2445000000000004</v>
      </c>
      <c r="J54" s="9">
        <f t="shared" si="4"/>
        <v>127.84434000000002</v>
      </c>
      <c r="K54" s="9"/>
      <c r="L54" s="10"/>
    </row>
    <row r="55" spans="1:12" ht="26.25" x14ac:dyDescent="0.4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SUM(J56:J60)</f>
        <v>1843.0779400000001</v>
      </c>
      <c r="K55" s="10">
        <f>1782+61</f>
        <v>1843</v>
      </c>
      <c r="L55" s="10">
        <f>K55-J55</f>
        <v>-7.794000000012602E-2</v>
      </c>
    </row>
    <row r="56" spans="1:12" ht="26.25" x14ac:dyDescent="0.4">
      <c r="A56" s="7" t="s">
        <v>63</v>
      </c>
      <c r="B56" s="4">
        <v>1</v>
      </c>
      <c r="C56" s="5">
        <v>8.44</v>
      </c>
      <c r="D56" s="4">
        <f t="shared" ref="D56:D60" si="21">B56*C56</f>
        <v>8.44</v>
      </c>
      <c r="E56" s="4">
        <f>D56*0.05</f>
        <v>0.42199999999999999</v>
      </c>
      <c r="F56" s="4">
        <v>0</v>
      </c>
      <c r="G56" s="4">
        <f>0.4*B56</f>
        <v>0.4</v>
      </c>
      <c r="H56" s="4">
        <f>G56*$C$2</f>
        <v>2.504</v>
      </c>
      <c r="I56" s="4">
        <f>D56+F56+H56+E56</f>
        <v>11.366</v>
      </c>
      <c r="J56" s="9">
        <f t="shared" si="4"/>
        <v>342.34392000000003</v>
      </c>
      <c r="K56" s="9"/>
      <c r="L56" s="10"/>
    </row>
    <row r="57" spans="1:12" ht="26.25" x14ac:dyDescent="0.4">
      <c r="A57" s="7" t="s">
        <v>83</v>
      </c>
      <c r="B57" s="4">
        <v>1</v>
      </c>
      <c r="C57" s="4">
        <v>11</v>
      </c>
      <c r="D57" s="4">
        <f t="shared" si="21"/>
        <v>11</v>
      </c>
      <c r="E57" s="4">
        <f t="shared" ref="E57:E60" si="22">D57*0.05</f>
        <v>0.55000000000000004</v>
      </c>
      <c r="F57" s="4">
        <v>0</v>
      </c>
      <c r="G57" s="4">
        <f>0.2*B57</f>
        <v>0.2</v>
      </c>
      <c r="H57" s="4">
        <f>G57*$C$2</f>
        <v>1.252</v>
      </c>
      <c r="I57" s="4">
        <f>D57+F57+H57+E57</f>
        <v>12.802000000000001</v>
      </c>
      <c r="J57" s="9">
        <f t="shared" si="4"/>
        <v>385.59624000000008</v>
      </c>
      <c r="K57" s="9"/>
      <c r="L57" s="10"/>
    </row>
    <row r="58" spans="1:12" ht="26.25" x14ac:dyDescent="0.4">
      <c r="A58" s="7" t="s">
        <v>84</v>
      </c>
      <c r="B58" s="4">
        <v>1</v>
      </c>
      <c r="C58" s="4">
        <v>10.23</v>
      </c>
      <c r="D58" s="4">
        <f t="shared" si="21"/>
        <v>10.23</v>
      </c>
      <c r="E58" s="4">
        <f t="shared" si="22"/>
        <v>0.51150000000000007</v>
      </c>
      <c r="F58" s="4">
        <v>0</v>
      </c>
      <c r="G58" s="4">
        <f>0.2*B58</f>
        <v>0.2</v>
      </c>
      <c r="H58" s="4">
        <f>G58*$C$2</f>
        <v>1.252</v>
      </c>
      <c r="I58" s="4">
        <f>D58+F58+H58+E58</f>
        <v>11.993500000000001</v>
      </c>
      <c r="J58" s="9">
        <f t="shared" si="4"/>
        <v>361.24422000000004</v>
      </c>
      <c r="K58" s="9"/>
      <c r="L58" s="10"/>
    </row>
    <row r="59" spans="1:12" ht="26.25" x14ac:dyDescent="0.4">
      <c r="A59" s="7" t="s">
        <v>65</v>
      </c>
      <c r="B59" s="4">
        <v>2</v>
      </c>
      <c r="C59" s="4">
        <v>4.58</v>
      </c>
      <c r="D59" s="4">
        <f t="shared" si="21"/>
        <v>9.16</v>
      </c>
      <c r="E59" s="4">
        <f t="shared" si="22"/>
        <v>0.45800000000000002</v>
      </c>
      <c r="F59" s="18">
        <f>2.38/6</f>
        <v>0.39666666666666667</v>
      </c>
      <c r="G59" s="4">
        <f t="shared" ref="G59" si="23">0.2*B59</f>
        <v>0.4</v>
      </c>
      <c r="H59" s="4">
        <f>G59*$C$2</f>
        <v>2.504</v>
      </c>
      <c r="I59" s="4">
        <f>D59+F59+H59+E59</f>
        <v>12.518666666666666</v>
      </c>
      <c r="J59" s="9">
        <f t="shared" si="4"/>
        <v>377.06224000000003</v>
      </c>
      <c r="K59" s="9"/>
      <c r="L59" s="10"/>
    </row>
    <row r="60" spans="1:12" ht="26.25" x14ac:dyDescent="0.4">
      <c r="A60" s="7" t="s">
        <v>66</v>
      </c>
      <c r="B60" s="4">
        <v>1</v>
      </c>
      <c r="C60" s="4">
        <v>7.86</v>
      </c>
      <c r="D60" s="4">
        <f t="shared" si="21"/>
        <v>7.86</v>
      </c>
      <c r="E60" s="4">
        <f t="shared" si="22"/>
        <v>0.39300000000000002</v>
      </c>
      <c r="F60" s="4">
        <v>2.38</v>
      </c>
      <c r="G60" s="4">
        <v>0.3</v>
      </c>
      <c r="H60" s="4">
        <f>G60*$C$2</f>
        <v>1.8779999999999999</v>
      </c>
      <c r="I60" s="4">
        <f>D60+F60+H60+E60</f>
        <v>12.511000000000001</v>
      </c>
      <c r="J60" s="9">
        <f t="shared" si="4"/>
        <v>376.83132000000006</v>
      </c>
      <c r="K60" s="9"/>
      <c r="L60" s="10"/>
    </row>
    <row r="61" spans="1:12" ht="26.25" x14ac:dyDescent="0.4">
      <c r="A61" s="1" t="s">
        <v>29</v>
      </c>
      <c r="B61" s="2"/>
      <c r="C61" s="2"/>
      <c r="D61" s="2"/>
      <c r="E61" s="2"/>
      <c r="F61" s="2"/>
      <c r="G61" s="2"/>
      <c r="H61" s="2"/>
      <c r="I61" s="2"/>
      <c r="J61" s="10">
        <f>SUM(J62:J64)</f>
        <v>1068.4497719999999</v>
      </c>
      <c r="K61" s="10">
        <f>839+229</f>
        <v>1068</v>
      </c>
      <c r="L61" s="10">
        <f t="shared" si="6"/>
        <v>-0.449771999999939</v>
      </c>
    </row>
    <row r="62" spans="1:12" ht="26.25" x14ac:dyDescent="0.4">
      <c r="A62" s="7" t="s">
        <v>86</v>
      </c>
      <c r="B62" s="21">
        <v>1</v>
      </c>
      <c r="C62" s="21">
        <v>4.42</v>
      </c>
      <c r="D62" s="21">
        <f>B62*C62</f>
        <v>4.42</v>
      </c>
      <c r="E62" s="4">
        <f>D62*0.05</f>
        <v>0.221</v>
      </c>
      <c r="F62" s="21">
        <v>2.38</v>
      </c>
      <c r="G62" s="21">
        <v>0.2</v>
      </c>
      <c r="H62" s="4">
        <f>G62*$C$2</f>
        <v>1.252</v>
      </c>
      <c r="I62" s="4">
        <f>D62+F62+H62+E62</f>
        <v>8.2729999999999997</v>
      </c>
      <c r="J62" s="9">
        <f t="shared" si="4"/>
        <v>249.18276</v>
      </c>
      <c r="K62" s="9"/>
      <c r="L62" s="10"/>
    </row>
    <row r="63" spans="1:12" ht="26.25" x14ac:dyDescent="0.4">
      <c r="A63" s="7" t="s">
        <v>67</v>
      </c>
      <c r="B63" s="4">
        <v>1</v>
      </c>
      <c r="C63" s="5">
        <v>13.23</v>
      </c>
      <c r="D63" s="4">
        <f t="shared" ref="D63:D64" si="24">B63*C63</f>
        <v>13.23</v>
      </c>
      <c r="E63" s="4">
        <f>D63*0.05</f>
        <v>0.66150000000000009</v>
      </c>
      <c r="F63" s="4">
        <v>0</v>
      </c>
      <c r="G63" s="4">
        <v>0.36</v>
      </c>
      <c r="H63" s="4">
        <f>G63*$C$2</f>
        <v>2.2536</v>
      </c>
      <c r="I63" s="4">
        <f>D63+F63+H63+E63</f>
        <v>16.145099999999999</v>
      </c>
      <c r="J63" s="9">
        <f t="shared" si="4"/>
        <v>486.290412</v>
      </c>
      <c r="K63" s="9"/>
      <c r="L63" s="10"/>
    </row>
    <row r="64" spans="1:12" ht="26.25" x14ac:dyDescent="0.4">
      <c r="A64" s="7" t="s">
        <v>68</v>
      </c>
      <c r="B64" s="4">
        <v>1</v>
      </c>
      <c r="C64" s="4">
        <v>8.74</v>
      </c>
      <c r="D64" s="4">
        <f t="shared" si="24"/>
        <v>8.74</v>
      </c>
      <c r="E64" s="4">
        <f>D64*0.05</f>
        <v>0.43700000000000006</v>
      </c>
      <c r="F64" s="4">
        <v>0</v>
      </c>
      <c r="G64" s="4">
        <v>0.3</v>
      </c>
      <c r="H64" s="4">
        <f>G64*$C$2</f>
        <v>1.8779999999999999</v>
      </c>
      <c r="I64" s="4">
        <f>D64+F64+H64+E64</f>
        <v>11.055</v>
      </c>
      <c r="J64" s="9">
        <f t="shared" si="4"/>
        <v>332.97660000000002</v>
      </c>
      <c r="K64" s="9"/>
      <c r="L64" s="10"/>
    </row>
    <row r="65" spans="1:12" ht="26.25" x14ac:dyDescent="0.4">
      <c r="A65" s="1" t="s">
        <v>30</v>
      </c>
      <c r="B65" s="2"/>
      <c r="C65" s="2"/>
      <c r="D65" s="2"/>
      <c r="E65" s="2"/>
      <c r="F65" s="2"/>
      <c r="G65" s="2"/>
      <c r="H65" s="2"/>
      <c r="I65" s="2"/>
      <c r="J65" s="10">
        <f>J66+J67</f>
        <v>483.62629800000002</v>
      </c>
      <c r="K65" s="10">
        <v>510</v>
      </c>
      <c r="L65" s="10">
        <f t="shared" si="6"/>
        <v>26.37370199999998</v>
      </c>
    </row>
    <row r="66" spans="1:12" ht="26.25" x14ac:dyDescent="0.4">
      <c r="A66" s="7" t="s">
        <v>85</v>
      </c>
      <c r="B66" s="4">
        <v>1</v>
      </c>
      <c r="C66" s="5"/>
      <c r="D66" s="4">
        <f>10.91/300*90</f>
        <v>3.2729999999999997</v>
      </c>
      <c r="E66" s="4">
        <f>D66*0.05</f>
        <v>0.16364999999999999</v>
      </c>
      <c r="F66" s="4">
        <v>0</v>
      </c>
      <c r="G66" s="4">
        <f>0.75*B66/3</f>
        <v>0.25</v>
      </c>
      <c r="H66" s="4">
        <f>G66*$C$2</f>
        <v>1.5649999999999999</v>
      </c>
      <c r="I66" s="4">
        <f>D66+F66+H66+E66</f>
        <v>5.0016499999999988</v>
      </c>
      <c r="J66" s="9">
        <f t="shared" ref="J66:J67" si="25">I66*$C$4</f>
        <v>150.64969799999997</v>
      </c>
      <c r="K66" s="9"/>
      <c r="L66" s="10"/>
    </row>
    <row r="67" spans="1:12" ht="26.25" x14ac:dyDescent="0.4">
      <c r="A67" s="7" t="s">
        <v>70</v>
      </c>
      <c r="B67" s="4">
        <v>1</v>
      </c>
      <c r="C67" s="4">
        <v>8.74</v>
      </c>
      <c r="D67" s="4">
        <f t="shared" ref="D67" si="26">B67*C67</f>
        <v>8.74</v>
      </c>
      <c r="E67" s="4">
        <f>D67*0.05</f>
        <v>0.43700000000000006</v>
      </c>
      <c r="F67" s="4">
        <v>0</v>
      </c>
      <c r="G67" s="4">
        <v>0.3</v>
      </c>
      <c r="H67" s="4">
        <f>G67*$C$2</f>
        <v>1.8779999999999999</v>
      </c>
      <c r="I67" s="4">
        <f>D67+F67+H67+E67</f>
        <v>11.055</v>
      </c>
      <c r="J67" s="9">
        <f t="shared" si="25"/>
        <v>332.97660000000002</v>
      </c>
      <c r="K67" s="9"/>
      <c r="L67" s="10"/>
    </row>
    <row r="68" spans="1:12" ht="26.25" x14ac:dyDescent="0.4">
      <c r="A68" s="1" t="s">
        <v>31</v>
      </c>
      <c r="B68" s="2"/>
      <c r="C68" s="2"/>
      <c r="D68" s="2"/>
      <c r="E68" s="2"/>
      <c r="F68" s="2"/>
      <c r="G68" s="2"/>
      <c r="H68" s="2"/>
      <c r="I68" s="2"/>
      <c r="J68" s="10">
        <f>J69</f>
        <v>517.98870000000011</v>
      </c>
      <c r="K68" s="10">
        <v>528</v>
      </c>
      <c r="L68" s="10">
        <f t="shared" si="6"/>
        <v>10.011299999999892</v>
      </c>
    </row>
    <row r="69" spans="1:12" ht="26.25" x14ac:dyDescent="0.4">
      <c r="A69" s="7" t="s">
        <v>71</v>
      </c>
      <c r="B69" s="4">
        <v>1</v>
      </c>
      <c r="C69" s="5"/>
      <c r="D69" s="4">
        <v>14.59</v>
      </c>
      <c r="E69" s="4">
        <f>D69*0.05</f>
        <v>0.72950000000000004</v>
      </c>
      <c r="F69" s="4">
        <v>0</v>
      </c>
      <c r="G69" s="4">
        <v>0.3</v>
      </c>
      <c r="H69" s="4">
        <f>G69*$C$2</f>
        <v>1.8779999999999999</v>
      </c>
      <c r="I69" s="4">
        <f>D69+F69+H69+E69</f>
        <v>17.197500000000002</v>
      </c>
      <c r="J69" s="9">
        <f t="shared" ref="J69" si="27">I69*$C$4</f>
        <v>517.98870000000011</v>
      </c>
      <c r="K69" s="9"/>
      <c r="L69" s="10"/>
    </row>
    <row r="70" spans="1:12" ht="26.25" x14ac:dyDescent="0.4">
      <c r="A70" s="1" t="s">
        <v>32</v>
      </c>
      <c r="B70" s="2"/>
      <c r="C70" s="2"/>
      <c r="D70" s="2"/>
      <c r="E70" s="2"/>
      <c r="F70" s="2"/>
      <c r="G70" s="2"/>
      <c r="H70" s="2"/>
      <c r="I70" s="2"/>
      <c r="J70" s="10">
        <f>J71</f>
        <v>516.5278800000001</v>
      </c>
      <c r="K70" s="10">
        <v>500</v>
      </c>
      <c r="L70" s="10">
        <f t="shared" si="6"/>
        <v>-16.527880000000096</v>
      </c>
    </row>
    <row r="71" spans="1:12" ht="26.25" x14ac:dyDescent="0.4">
      <c r="A71" s="7" t="s">
        <v>72</v>
      </c>
      <c r="B71" s="4">
        <v>2</v>
      </c>
      <c r="C71" s="5">
        <v>6.65</v>
      </c>
      <c r="D71" s="4">
        <f>B71*C71</f>
        <v>13.3</v>
      </c>
      <c r="E71" s="4">
        <f>D71*0.05</f>
        <v>0.66500000000000004</v>
      </c>
      <c r="F71" s="4">
        <f>2.38/7*B71</f>
        <v>0.67999999999999994</v>
      </c>
      <c r="G71" s="4">
        <f>0.2*B71</f>
        <v>0.4</v>
      </c>
      <c r="H71" s="4">
        <f>G71*$C$2</f>
        <v>2.504</v>
      </c>
      <c r="I71" s="4">
        <f>D71+F71+H71+E71</f>
        <v>17.149000000000001</v>
      </c>
      <c r="J71" s="9">
        <f t="shared" ref="J71" si="28">I71*$C$4</f>
        <v>516.5278800000001</v>
      </c>
      <c r="K71" s="9"/>
      <c r="L71" s="10"/>
    </row>
    <row r="72" spans="1:12" ht="26.25" x14ac:dyDescent="0.4">
      <c r="A72" s="1" t="s">
        <v>36</v>
      </c>
      <c r="B72" s="2"/>
      <c r="C72" s="2"/>
      <c r="D72" s="2"/>
      <c r="E72" s="2"/>
      <c r="F72" s="2"/>
      <c r="G72" s="2"/>
      <c r="H72" s="2"/>
      <c r="I72" s="2"/>
      <c r="J72" s="10">
        <f>J73</f>
        <v>334.67838000000006</v>
      </c>
      <c r="K72" s="10">
        <v>341</v>
      </c>
      <c r="L72" s="10">
        <f t="shared" si="6"/>
        <v>6.321619999999939</v>
      </c>
    </row>
    <row r="73" spans="1:12" ht="26.25" x14ac:dyDescent="0.4">
      <c r="A73" s="14" t="s">
        <v>35</v>
      </c>
      <c r="B73" s="4">
        <v>2</v>
      </c>
      <c r="C73" s="4">
        <f>9.39/2</f>
        <v>4.6950000000000003</v>
      </c>
      <c r="D73" s="4">
        <f>B73*C73</f>
        <v>9.39</v>
      </c>
      <c r="E73" s="4">
        <f t="shared" ref="E73" si="29">D73*0.05</f>
        <v>0.46950000000000003</v>
      </c>
      <c r="F73" s="18">
        <v>0</v>
      </c>
      <c r="G73" s="4">
        <f>0.2/2*B73</f>
        <v>0.2</v>
      </c>
      <c r="H73" s="4">
        <f>G73*$C$2</f>
        <v>1.252</v>
      </c>
      <c r="I73" s="4">
        <f>D73+F73+H73+E73</f>
        <v>11.111500000000001</v>
      </c>
      <c r="J73" s="9">
        <f t="shared" ref="J73:J85" si="30">I73*$C$4</f>
        <v>334.67838000000006</v>
      </c>
      <c r="K73" s="9"/>
      <c r="L73" s="10"/>
    </row>
    <row r="74" spans="1:12" ht="26.25" x14ac:dyDescent="0.4">
      <c r="A74" s="1" t="s">
        <v>37</v>
      </c>
      <c r="B74" s="2"/>
      <c r="C74" s="2"/>
      <c r="D74" s="2"/>
      <c r="E74" s="2"/>
      <c r="F74" s="2"/>
      <c r="G74" s="2"/>
      <c r="H74" s="2"/>
      <c r="I74" s="2"/>
      <c r="J74" s="10">
        <f>J75</f>
        <v>167.33919000000003</v>
      </c>
      <c r="K74" s="10">
        <v>171</v>
      </c>
      <c r="L74" s="10">
        <f t="shared" si="6"/>
        <v>3.6608099999999695</v>
      </c>
    </row>
    <row r="75" spans="1:12" ht="26.25" x14ac:dyDescent="0.4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0.626</v>
      </c>
      <c r="I75" s="4">
        <f>D75+F75+H75+E75</f>
        <v>5.5557500000000006</v>
      </c>
      <c r="J75" s="9">
        <f t="shared" si="30"/>
        <v>167.33919000000003</v>
      </c>
      <c r="K75" s="9"/>
      <c r="L75" s="10"/>
    </row>
    <row r="76" spans="1:12" ht="26.25" x14ac:dyDescent="0.4">
      <c r="A76" s="1" t="s">
        <v>38</v>
      </c>
      <c r="B76" s="2"/>
      <c r="C76" s="2"/>
      <c r="D76" s="2"/>
      <c r="E76" s="2"/>
      <c r="F76" s="2"/>
      <c r="G76" s="2"/>
      <c r="H76" s="2"/>
      <c r="I76" s="2"/>
      <c r="J76" s="10">
        <f>J77</f>
        <v>167.33919000000003</v>
      </c>
      <c r="K76" s="10">
        <v>171</v>
      </c>
      <c r="L76" s="10">
        <f t="shared" ref="L76:L84" si="31">K76-J76</f>
        <v>3.6608099999999695</v>
      </c>
    </row>
    <row r="77" spans="1:12" ht="26.25" x14ac:dyDescent="0.4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0.626</v>
      </c>
      <c r="I77" s="4">
        <f>D77+F77+H77+E77</f>
        <v>5.5557500000000006</v>
      </c>
      <c r="J77" s="9">
        <f t="shared" si="30"/>
        <v>167.33919000000003</v>
      </c>
      <c r="K77" s="9"/>
      <c r="L77" s="10"/>
    </row>
    <row r="78" spans="1:12" ht="26.25" x14ac:dyDescent="0.4">
      <c r="A78" s="1" t="s">
        <v>39</v>
      </c>
      <c r="B78" s="2"/>
      <c r="C78" s="2"/>
      <c r="D78" s="2"/>
      <c r="E78" s="2"/>
      <c r="F78" s="2"/>
      <c r="G78" s="2"/>
      <c r="H78" s="2"/>
      <c r="I78" s="2"/>
      <c r="J78" s="10">
        <f>J79</f>
        <v>167.33919000000003</v>
      </c>
      <c r="K78" s="10">
        <v>171</v>
      </c>
      <c r="L78" s="10">
        <f t="shared" si="31"/>
        <v>3.6608099999999695</v>
      </c>
    </row>
    <row r="79" spans="1:12" ht="26.25" x14ac:dyDescent="0.4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0.626</v>
      </c>
      <c r="I79" s="4">
        <f>D79+F79+H79+E79</f>
        <v>5.5557500000000006</v>
      </c>
      <c r="J79" s="9">
        <f t="shared" si="30"/>
        <v>167.33919000000003</v>
      </c>
      <c r="K79" s="9"/>
      <c r="L79" s="10"/>
    </row>
    <row r="80" spans="1:12" ht="26.25" x14ac:dyDescent="0.4">
      <c r="A80" s="1" t="s">
        <v>40</v>
      </c>
      <c r="B80" s="2"/>
      <c r="C80" s="2"/>
      <c r="D80" s="2"/>
      <c r="E80" s="2"/>
      <c r="F80" s="2"/>
      <c r="G80" s="2"/>
      <c r="H80" s="2"/>
      <c r="I80" s="2"/>
      <c r="J80" s="10">
        <f>J81</f>
        <v>167.33919000000003</v>
      </c>
      <c r="K80" s="10">
        <v>171</v>
      </c>
      <c r="L80" s="10">
        <f t="shared" si="31"/>
        <v>3.6608099999999695</v>
      </c>
    </row>
    <row r="81" spans="1:12" ht="26.25" x14ac:dyDescent="0.4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0.626</v>
      </c>
      <c r="I81" s="4">
        <f>D81+F81+H81+E81</f>
        <v>5.5557500000000006</v>
      </c>
      <c r="J81" s="9">
        <f t="shared" si="30"/>
        <v>167.33919000000003</v>
      </c>
      <c r="K81" s="9"/>
      <c r="L81" s="10"/>
    </row>
    <row r="82" spans="1:12" ht="26.25" x14ac:dyDescent="0.4">
      <c r="A82" s="1" t="s">
        <v>41</v>
      </c>
      <c r="B82" s="2"/>
      <c r="C82" s="2"/>
      <c r="D82" s="2"/>
      <c r="E82" s="2"/>
      <c r="F82" s="2"/>
      <c r="G82" s="2"/>
      <c r="H82" s="2"/>
      <c r="I82" s="2"/>
      <c r="J82" s="10">
        <f>J83</f>
        <v>167.33919000000003</v>
      </c>
      <c r="K82" s="10">
        <v>171</v>
      </c>
      <c r="L82" s="10">
        <f t="shared" si="31"/>
        <v>3.6608099999999695</v>
      </c>
    </row>
    <row r="83" spans="1:12" ht="26.25" x14ac:dyDescent="0.4">
      <c r="A83" s="14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0.626</v>
      </c>
      <c r="I83" s="4">
        <f>D83+F83+H83+E83</f>
        <v>5.5557500000000006</v>
      </c>
      <c r="J83" s="9">
        <f t="shared" si="30"/>
        <v>167.33919000000003</v>
      </c>
      <c r="K83" s="9"/>
      <c r="L83" s="10"/>
    </row>
    <row r="84" spans="1:12" ht="26.25" x14ac:dyDescent="0.4">
      <c r="A84" s="1" t="s">
        <v>42</v>
      </c>
      <c r="B84" s="2"/>
      <c r="C84" s="2"/>
      <c r="D84" s="2"/>
      <c r="E84" s="2"/>
      <c r="F84" s="2"/>
      <c r="G84" s="2"/>
      <c r="H84" s="2"/>
      <c r="I84" s="2"/>
      <c r="J84" s="10">
        <f>J85</f>
        <v>167.33919000000003</v>
      </c>
      <c r="K84" s="10">
        <v>171</v>
      </c>
      <c r="L84" s="10">
        <f t="shared" si="31"/>
        <v>3.6608099999999695</v>
      </c>
    </row>
    <row r="85" spans="1:12" ht="26.25" x14ac:dyDescent="0.4">
      <c r="A85" s="20" t="s">
        <v>35</v>
      </c>
      <c r="B85" s="4">
        <v>1</v>
      </c>
      <c r="C85" s="4">
        <f>9.39/2*B85</f>
        <v>4.6950000000000003</v>
      </c>
      <c r="D85" s="4">
        <f>B85*C85</f>
        <v>4.6950000000000003</v>
      </c>
      <c r="E85" s="4">
        <f>D85*0.05</f>
        <v>0.23475000000000001</v>
      </c>
      <c r="F85" s="18">
        <v>0</v>
      </c>
      <c r="G85" s="4">
        <f>0.2/2*B85</f>
        <v>0.1</v>
      </c>
      <c r="H85" s="4">
        <f>G85*$C$2</f>
        <v>0.626</v>
      </c>
      <c r="I85" s="4">
        <f>D85+F85+H85+E85</f>
        <v>5.5557500000000006</v>
      </c>
      <c r="J85" s="9">
        <f t="shared" si="30"/>
        <v>167.33919000000003</v>
      </c>
      <c r="K85" s="9"/>
      <c r="L85" s="10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8"/>
  <sheetViews>
    <sheetView zoomScale="90" zoomScaleNormal="90" workbookViewId="0">
      <selection activeCell="M7" sqref="M7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219</v>
      </c>
      <c r="B1" s="4"/>
      <c r="C1" s="15">
        <v>42093</v>
      </c>
      <c r="D1" s="30"/>
    </row>
    <row r="2" spans="1:13" ht="21" x14ac:dyDescent="0.35">
      <c r="A2" s="55" t="s">
        <v>239</v>
      </c>
      <c r="B2" s="4"/>
      <c r="C2" s="16">
        <v>7650</v>
      </c>
      <c r="D2" s="30"/>
      <c r="E2" s="184" t="s">
        <v>647</v>
      </c>
    </row>
    <row r="3" spans="1:13" ht="21" x14ac:dyDescent="0.35">
      <c r="A3" s="55" t="s">
        <v>240</v>
      </c>
      <c r="B3" s="4"/>
      <c r="C3" s="185">
        <v>5.2999999999999999E-2</v>
      </c>
      <c r="D3" s="30"/>
      <c r="E3" s="184" t="s">
        <v>648</v>
      </c>
    </row>
    <row r="4" spans="1:13" ht="21.75" thickBot="1" x14ac:dyDescent="0.4">
      <c r="F4" s="184"/>
    </row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2" t="s">
        <v>588</v>
      </c>
      <c r="B6" s="123"/>
      <c r="C6" s="124"/>
      <c r="D6" s="32"/>
      <c r="E6" s="92"/>
      <c r="F6" s="177"/>
      <c r="G6" s="124"/>
      <c r="H6" s="32"/>
      <c r="I6" s="2"/>
      <c r="J6" s="52">
        <f>SUM(J7:J12)</f>
        <v>3182.4247500000001</v>
      </c>
      <c r="K6" s="10">
        <f>3889-706</f>
        <v>3183</v>
      </c>
      <c r="L6" s="10">
        <f t="shared" ref="L6" si="0">K6-J6</f>
        <v>0.57524999999986903</v>
      </c>
      <c r="M6" t="s">
        <v>654</v>
      </c>
    </row>
    <row r="7" spans="1:13" x14ac:dyDescent="0.25">
      <c r="A7" s="130" t="s">
        <v>590</v>
      </c>
      <c r="B7" s="98">
        <v>1</v>
      </c>
      <c r="C7" s="99">
        <v>5800</v>
      </c>
      <c r="D7" s="37">
        <f t="shared" ref="D7:D12" si="1">B7*C7</f>
        <v>5800</v>
      </c>
      <c r="E7" s="39">
        <f t="shared" ref="E7:E12" si="2">D7*0.1</f>
        <v>580</v>
      </c>
      <c r="F7" s="98">
        <f>2500/2</f>
        <v>1250</v>
      </c>
      <c r="G7" s="4">
        <v>6.5000000000000002E-2</v>
      </c>
      <c r="H7" s="37">
        <f t="shared" ref="H7:H12" si="3">G7*B7</f>
        <v>6.5000000000000002E-2</v>
      </c>
      <c r="I7" s="4">
        <f t="shared" ref="I7:I12" si="4">H7*$C$2</f>
        <v>497.25</v>
      </c>
      <c r="J7" s="51">
        <f t="shared" ref="J7:J12" si="5">(D7+E7+F7+I7)*$C$3</f>
        <v>430.74424999999997</v>
      </c>
      <c r="K7" s="6"/>
      <c r="L7" s="17"/>
    </row>
    <row r="8" spans="1:13" x14ac:dyDescent="0.25">
      <c r="A8" s="130" t="s">
        <v>591</v>
      </c>
      <c r="B8" s="98">
        <v>1</v>
      </c>
      <c r="C8" s="99">
        <v>4060</v>
      </c>
      <c r="D8" s="37">
        <f t="shared" ref="D8:D9" si="6">B8*C8</f>
        <v>4060</v>
      </c>
      <c r="E8" s="39">
        <f t="shared" si="2"/>
        <v>406</v>
      </c>
      <c r="F8" s="98">
        <v>2500</v>
      </c>
      <c r="G8" s="4">
        <v>0.05</v>
      </c>
      <c r="H8" s="37">
        <f t="shared" si="3"/>
        <v>0.05</v>
      </c>
      <c r="I8" s="4">
        <f t="shared" si="4"/>
        <v>382.5</v>
      </c>
      <c r="J8" s="51">
        <f t="shared" si="5"/>
        <v>389.47050000000002</v>
      </c>
      <c r="K8" s="6"/>
      <c r="L8" s="17"/>
    </row>
    <row r="9" spans="1:13" x14ac:dyDescent="0.25">
      <c r="A9" s="130" t="s">
        <v>592</v>
      </c>
      <c r="B9" s="98">
        <v>1</v>
      </c>
      <c r="C9" s="99">
        <v>7530</v>
      </c>
      <c r="D9" s="37">
        <f t="shared" si="6"/>
        <v>7530</v>
      </c>
      <c r="E9" s="39">
        <f t="shared" si="2"/>
        <v>753</v>
      </c>
      <c r="F9" s="98">
        <v>2500</v>
      </c>
      <c r="G9" s="4">
        <v>0.1</v>
      </c>
      <c r="H9" s="37">
        <f t="shared" si="3"/>
        <v>0.1</v>
      </c>
      <c r="I9" s="4">
        <f t="shared" si="4"/>
        <v>765</v>
      </c>
      <c r="J9" s="51">
        <f t="shared" si="5"/>
        <v>612.04399999999998</v>
      </c>
      <c r="K9" s="6"/>
      <c r="L9" s="17"/>
    </row>
    <row r="10" spans="1:13" x14ac:dyDescent="0.25">
      <c r="A10" s="130" t="s">
        <v>593</v>
      </c>
      <c r="B10" s="98">
        <v>1</v>
      </c>
      <c r="C10" s="99">
        <v>10900</v>
      </c>
      <c r="D10" s="37">
        <f t="shared" si="1"/>
        <v>10900</v>
      </c>
      <c r="E10" s="39">
        <f t="shared" si="2"/>
        <v>1090</v>
      </c>
      <c r="F10" s="98">
        <v>2500</v>
      </c>
      <c r="G10" s="4">
        <v>0.14000000000000001</v>
      </c>
      <c r="H10" s="37">
        <f t="shared" si="3"/>
        <v>0.14000000000000001</v>
      </c>
      <c r="I10" s="4">
        <f t="shared" si="4"/>
        <v>1071</v>
      </c>
      <c r="J10" s="51">
        <f t="shared" si="5"/>
        <v>824.73299999999995</v>
      </c>
      <c r="K10" s="6"/>
      <c r="L10" s="17"/>
    </row>
    <row r="11" spans="1:13" x14ac:dyDescent="0.25">
      <c r="A11" s="130" t="s">
        <v>594</v>
      </c>
      <c r="B11" s="186" t="s">
        <v>651</v>
      </c>
      <c r="C11" s="99"/>
      <c r="D11" s="37"/>
      <c r="E11" s="39"/>
      <c r="F11" s="4"/>
      <c r="G11" s="37"/>
      <c r="H11" s="37"/>
      <c r="I11" s="4"/>
      <c r="J11" s="51"/>
      <c r="K11" s="6"/>
      <c r="L11" s="17"/>
    </row>
    <row r="12" spans="1:13" x14ac:dyDescent="0.25">
      <c r="A12" s="130" t="s">
        <v>595</v>
      </c>
      <c r="B12" s="98">
        <v>1</v>
      </c>
      <c r="C12" s="99">
        <v>14900</v>
      </c>
      <c r="D12" s="37">
        <f t="shared" si="1"/>
        <v>14900</v>
      </c>
      <c r="E12" s="39">
        <f t="shared" si="2"/>
        <v>1490</v>
      </c>
      <c r="F12" s="98">
        <v>0</v>
      </c>
      <c r="G12" s="115">
        <v>0.14000000000000001</v>
      </c>
      <c r="H12" s="37">
        <f t="shared" si="3"/>
        <v>0.14000000000000001</v>
      </c>
      <c r="I12" s="4">
        <f t="shared" si="4"/>
        <v>1071</v>
      </c>
      <c r="J12" s="51">
        <f t="shared" si="5"/>
        <v>925.43299999999999</v>
      </c>
      <c r="K12" s="6"/>
      <c r="L12" s="17"/>
    </row>
    <row r="13" spans="1:13" ht="31.5" x14ac:dyDescent="0.5">
      <c r="A13" s="142" t="s">
        <v>22</v>
      </c>
      <c r="B13" s="123"/>
      <c r="C13" s="124"/>
      <c r="D13" s="32"/>
      <c r="E13" s="92"/>
      <c r="F13" s="177"/>
      <c r="G13" s="124"/>
      <c r="H13" s="32"/>
      <c r="I13" s="2"/>
      <c r="J13" s="52">
        <f>J14+J15</f>
        <v>2094.3744999999999</v>
      </c>
      <c r="K13" s="10">
        <v>2155</v>
      </c>
      <c r="L13" s="10">
        <f t="shared" ref="L13" si="7">K13-J13</f>
        <v>60.625500000000102</v>
      </c>
    </row>
    <row r="14" spans="1:13" x14ac:dyDescent="0.25">
      <c r="A14" s="39" t="s">
        <v>596</v>
      </c>
      <c r="B14" s="98">
        <v>1</v>
      </c>
      <c r="C14" s="99">
        <v>16490</v>
      </c>
      <c r="D14" s="37">
        <f t="shared" ref="D14:D15" si="8">B14*C14</f>
        <v>16490</v>
      </c>
      <c r="E14" s="39">
        <f>D14*0.1</f>
        <v>1649</v>
      </c>
      <c r="F14" s="98">
        <v>3000</v>
      </c>
      <c r="G14" s="5">
        <v>0.11</v>
      </c>
      <c r="H14" s="37">
        <f>G14*B14</f>
        <v>0.11</v>
      </c>
      <c r="I14" s="4">
        <f>H14*$C$2</f>
        <v>841.5</v>
      </c>
      <c r="J14" s="51">
        <f>(D14+E14+F14+I14)*$C$3</f>
        <v>1164.9665</v>
      </c>
      <c r="K14" s="6"/>
      <c r="L14" s="17"/>
    </row>
    <row r="15" spans="1:13" x14ac:dyDescent="0.25">
      <c r="A15" s="39" t="s">
        <v>597</v>
      </c>
      <c r="B15" s="98">
        <v>1</v>
      </c>
      <c r="C15" s="99">
        <v>12000</v>
      </c>
      <c r="D15" s="37">
        <f t="shared" si="8"/>
        <v>12000</v>
      </c>
      <c r="E15" s="39">
        <f>D15*0.1</f>
        <v>1200</v>
      </c>
      <c r="F15" s="98">
        <v>2500</v>
      </c>
      <c r="G15" s="4">
        <v>0.24</v>
      </c>
      <c r="H15" s="37">
        <f>G15*B15</f>
        <v>0.24</v>
      </c>
      <c r="I15" s="4">
        <f>H15*$C$2</f>
        <v>1836</v>
      </c>
      <c r="J15" s="51">
        <f>(D15+E15+F15+I15)*$C$3</f>
        <v>929.40800000000002</v>
      </c>
      <c r="K15" s="6"/>
      <c r="L15" s="17"/>
    </row>
    <row r="16" spans="1:13" ht="31.5" x14ac:dyDescent="0.5">
      <c r="A16" s="142" t="s">
        <v>382</v>
      </c>
      <c r="B16" s="123"/>
      <c r="C16" s="124"/>
      <c r="D16" s="32"/>
      <c r="E16" s="92"/>
      <c r="F16" s="177"/>
      <c r="G16" s="124"/>
      <c r="H16" s="32"/>
      <c r="I16" s="2"/>
      <c r="J16" s="52">
        <f>J17+J18</f>
        <v>1538.5369999999998</v>
      </c>
      <c r="K16" s="10">
        <v>1525</v>
      </c>
      <c r="L16" s="10">
        <f t="shared" ref="L16" si="9">K16-J16</f>
        <v>-13.536999999999807</v>
      </c>
    </row>
    <row r="17" spans="1:12" x14ac:dyDescent="0.25">
      <c r="A17" s="39" t="s">
        <v>598</v>
      </c>
      <c r="B17" s="98">
        <v>1</v>
      </c>
      <c r="C17" s="99">
        <v>9900</v>
      </c>
      <c r="D17" s="37">
        <f t="shared" ref="D17:D18" si="10">B17*C17</f>
        <v>9900</v>
      </c>
      <c r="E17" s="39">
        <f>D17*0.1</f>
        <v>990</v>
      </c>
      <c r="F17" s="98">
        <v>0</v>
      </c>
      <c r="G17" s="99">
        <v>0.44</v>
      </c>
      <c r="H17" s="37">
        <f>G17*B17</f>
        <v>0.44</v>
      </c>
      <c r="I17" s="4">
        <f>H17*$C$2</f>
        <v>3366</v>
      </c>
      <c r="J17" s="51">
        <f>(D17+E17+F17+I17)*$C$3</f>
        <v>755.56799999999998</v>
      </c>
      <c r="K17" s="6"/>
      <c r="L17" s="17"/>
    </row>
    <row r="18" spans="1:12" x14ac:dyDescent="0.25">
      <c r="A18" s="130" t="s">
        <v>599</v>
      </c>
      <c r="B18" s="98">
        <v>1</v>
      </c>
      <c r="C18" s="99">
        <v>11900</v>
      </c>
      <c r="D18" s="37">
        <f t="shared" si="10"/>
        <v>11900</v>
      </c>
      <c r="E18" s="39">
        <f>D18*0.1</f>
        <v>1190</v>
      </c>
      <c r="F18" s="98">
        <v>0</v>
      </c>
      <c r="G18" s="99">
        <v>0.22</v>
      </c>
      <c r="H18" s="37">
        <f>G18*B18</f>
        <v>0.22</v>
      </c>
      <c r="I18" s="4">
        <f>H18*$C$2</f>
        <v>1683</v>
      </c>
      <c r="J18" s="51">
        <f>(D18+E18+F18+I18)*$C$3</f>
        <v>782.96899999999994</v>
      </c>
      <c r="K18" s="6"/>
      <c r="L18" s="17"/>
    </row>
    <row r="19" spans="1:12" ht="31.5" x14ac:dyDescent="0.5">
      <c r="A19" s="142" t="s">
        <v>288</v>
      </c>
      <c r="B19" s="123"/>
      <c r="C19" s="124"/>
      <c r="D19" s="32"/>
      <c r="E19" s="92"/>
      <c r="F19" s="177"/>
      <c r="G19" s="124"/>
      <c r="H19" s="32"/>
      <c r="I19" s="2"/>
      <c r="J19" s="52">
        <f>SUM(J20:J22)</f>
        <v>2107.598</v>
      </c>
      <c r="K19" s="10">
        <v>2119</v>
      </c>
      <c r="L19" s="10">
        <f t="shared" ref="L19" si="11">K19-J19</f>
        <v>11.402000000000044</v>
      </c>
    </row>
    <row r="20" spans="1:12" x14ac:dyDescent="0.25">
      <c r="A20" s="39" t="s">
        <v>600</v>
      </c>
      <c r="B20" s="98">
        <v>1</v>
      </c>
      <c r="C20" s="99">
        <v>9900</v>
      </c>
      <c r="D20" s="37">
        <f t="shared" ref="D20:D22" si="12">B20*C20</f>
        <v>9900</v>
      </c>
      <c r="E20" s="39">
        <f>D20*0.1</f>
        <v>990</v>
      </c>
      <c r="F20" s="182">
        <v>0</v>
      </c>
      <c r="G20" s="183">
        <v>0.2</v>
      </c>
      <c r="H20" s="37">
        <f t="shared" ref="H20:H22" si="13">G20*B20</f>
        <v>0.2</v>
      </c>
      <c r="I20" s="4">
        <f>H20*$C$2</f>
        <v>1530</v>
      </c>
      <c r="J20" s="51">
        <f>(D20+E20+F20+I20)*$C$3</f>
        <v>658.26</v>
      </c>
      <c r="K20" s="6"/>
      <c r="L20" s="17"/>
    </row>
    <row r="21" spans="1:12" x14ac:dyDescent="0.25">
      <c r="A21" s="39" t="s">
        <v>360</v>
      </c>
      <c r="B21" s="98">
        <v>1</v>
      </c>
      <c r="C21" s="137">
        <v>11900</v>
      </c>
      <c r="D21" s="37">
        <f t="shared" si="12"/>
        <v>11900</v>
      </c>
      <c r="E21" s="39">
        <f>D21*0.1</f>
        <v>1190</v>
      </c>
      <c r="F21" s="182">
        <v>0</v>
      </c>
      <c r="G21" s="183">
        <v>0.25</v>
      </c>
      <c r="H21" s="37">
        <f t="shared" si="13"/>
        <v>0.25</v>
      </c>
      <c r="I21" s="4">
        <f>H21*$C$2</f>
        <v>1912.5</v>
      </c>
      <c r="J21" s="51">
        <f>(D21+E21+F21+I21)*$C$3</f>
        <v>795.13249999999994</v>
      </c>
      <c r="K21" s="6"/>
      <c r="L21" s="17"/>
    </row>
    <row r="22" spans="1:12" x14ac:dyDescent="0.25">
      <c r="A22" s="41" t="s">
        <v>601</v>
      </c>
      <c r="B22" s="98">
        <v>1</v>
      </c>
      <c r="C22" s="99">
        <v>9900</v>
      </c>
      <c r="D22" s="37">
        <f t="shared" si="12"/>
        <v>9900</v>
      </c>
      <c r="E22" s="39">
        <f>D22*0.1</f>
        <v>990</v>
      </c>
      <c r="F22" s="182">
        <v>0</v>
      </c>
      <c r="G22" s="183">
        <v>0.19</v>
      </c>
      <c r="H22" s="37">
        <f t="shared" si="13"/>
        <v>0.19</v>
      </c>
      <c r="I22" s="4">
        <f>H22*$C$2</f>
        <v>1453.5</v>
      </c>
      <c r="J22" s="51">
        <f>(D22+E22+F22+I22)*$C$3</f>
        <v>654.20550000000003</v>
      </c>
      <c r="K22" s="6"/>
      <c r="L22" s="17"/>
    </row>
    <row r="23" spans="1:12" ht="31.5" x14ac:dyDescent="0.5">
      <c r="A23" s="142" t="s">
        <v>604</v>
      </c>
      <c r="B23" s="123"/>
      <c r="C23" s="124"/>
      <c r="D23" s="32"/>
      <c r="E23" s="92"/>
      <c r="F23" s="177"/>
      <c r="G23" s="124"/>
      <c r="H23" s="32"/>
      <c r="I23" s="2"/>
      <c r="J23" s="52">
        <f>SUM(J24:J26)</f>
        <v>1018.024</v>
      </c>
      <c r="K23" s="10">
        <f>1012+6</f>
        <v>1018</v>
      </c>
      <c r="L23" s="10">
        <f t="shared" ref="L23" si="14">K23-J23</f>
        <v>-2.4000000000000909E-2</v>
      </c>
    </row>
    <row r="24" spans="1:12" x14ac:dyDescent="0.25">
      <c r="A24" s="178" t="s">
        <v>605</v>
      </c>
      <c r="B24" s="98">
        <v>1</v>
      </c>
      <c r="C24" s="99">
        <f>9900/3*2</f>
        <v>6600</v>
      </c>
      <c r="D24" s="37">
        <f t="shared" ref="D24:D25" si="15">B24*C24</f>
        <v>6600</v>
      </c>
      <c r="E24" s="39">
        <f>D24*0.1</f>
        <v>660</v>
      </c>
      <c r="F24" s="98">
        <v>0</v>
      </c>
      <c r="G24" s="4">
        <f>0.22/3*2</f>
        <v>0.14666666666666667</v>
      </c>
      <c r="H24" s="37">
        <f t="shared" ref="H24:H25" si="16">G24*B24</f>
        <v>0.14666666666666667</v>
      </c>
      <c r="I24" s="4">
        <f>H24*$C$2</f>
        <v>1122</v>
      </c>
      <c r="J24" s="51">
        <f>(D24+E24+F24+I24)*$C$3</f>
        <v>444.24599999999998</v>
      </c>
      <c r="K24" s="6"/>
      <c r="L24" s="17"/>
    </row>
    <row r="25" spans="1:12" x14ac:dyDescent="0.25">
      <c r="A25" s="178" t="s">
        <v>57</v>
      </c>
      <c r="B25" s="98">
        <v>1</v>
      </c>
      <c r="C25" s="99">
        <v>5900</v>
      </c>
      <c r="D25" s="37">
        <f t="shared" si="15"/>
        <v>5900</v>
      </c>
      <c r="E25" s="39">
        <f>D25*0.1</f>
        <v>590</v>
      </c>
      <c r="F25" s="98">
        <v>2500</v>
      </c>
      <c r="G25" s="5">
        <v>0.24</v>
      </c>
      <c r="H25" s="37">
        <f t="shared" si="16"/>
        <v>0.24</v>
      </c>
      <c r="I25" s="4">
        <f>H25*$C$2</f>
        <v>1836</v>
      </c>
      <c r="J25" s="51">
        <f>(D25+E25+F25+I25)*$C$3</f>
        <v>573.77800000000002</v>
      </c>
      <c r="K25" s="6"/>
      <c r="L25" s="17"/>
    </row>
    <row r="26" spans="1:12" x14ac:dyDescent="0.25">
      <c r="A26" s="178" t="s">
        <v>606</v>
      </c>
      <c r="B26" s="186" t="s">
        <v>651</v>
      </c>
      <c r="C26" s="99"/>
      <c r="D26" s="37"/>
      <c r="E26" s="39"/>
      <c r="F26" s="98"/>
      <c r="G26" s="115"/>
      <c r="H26" s="37"/>
      <c r="I26" s="4"/>
      <c r="J26" s="51"/>
      <c r="K26" s="6"/>
      <c r="L26" s="17"/>
    </row>
    <row r="27" spans="1:12" ht="31.5" x14ac:dyDescent="0.5">
      <c r="A27" s="142" t="s">
        <v>331</v>
      </c>
      <c r="B27" s="123"/>
      <c r="C27" s="124"/>
      <c r="D27" s="32"/>
      <c r="E27" s="92"/>
      <c r="F27" s="123"/>
      <c r="G27" s="97"/>
      <c r="H27" s="32"/>
      <c r="I27" s="2"/>
      <c r="J27" s="52">
        <f>J28+J29</f>
        <v>1543.1479999999999</v>
      </c>
      <c r="K27" s="10">
        <v>1615</v>
      </c>
      <c r="L27" s="10">
        <f t="shared" ref="L27" si="17">K27-J27</f>
        <v>71.852000000000089</v>
      </c>
    </row>
    <row r="28" spans="1:12" x14ac:dyDescent="0.25">
      <c r="A28" s="130" t="s">
        <v>607</v>
      </c>
      <c r="B28" s="98">
        <v>1</v>
      </c>
      <c r="C28" s="99">
        <v>14900</v>
      </c>
      <c r="D28" s="37">
        <f t="shared" ref="D28:D29" si="18">B28*C28</f>
        <v>14900</v>
      </c>
      <c r="E28" s="39">
        <f>D28*0.1</f>
        <v>1490</v>
      </c>
      <c r="F28" s="98">
        <v>0</v>
      </c>
      <c r="G28" s="115">
        <v>0.12</v>
      </c>
      <c r="H28" s="37">
        <f t="shared" ref="H28:H29" si="19">G28*B28</f>
        <v>0.12</v>
      </c>
      <c r="I28" s="4">
        <f>H28*$C$2</f>
        <v>918</v>
      </c>
      <c r="J28" s="51">
        <f>(D28+E28+F28+I28)*$C$3</f>
        <v>917.32399999999996</v>
      </c>
      <c r="K28" s="6"/>
      <c r="L28" s="17"/>
    </row>
    <row r="29" spans="1:12" x14ac:dyDescent="0.25">
      <c r="A29" s="130" t="s">
        <v>608</v>
      </c>
      <c r="B29" s="98">
        <v>1</v>
      </c>
      <c r="C29" s="115">
        <v>9900</v>
      </c>
      <c r="D29" s="37">
        <f t="shared" si="18"/>
        <v>9900</v>
      </c>
      <c r="E29" s="39">
        <f>D29*0.1</f>
        <v>990</v>
      </c>
      <c r="F29" s="98">
        <v>0</v>
      </c>
      <c r="G29" s="99">
        <v>0.12</v>
      </c>
      <c r="H29" s="37">
        <f t="shared" si="19"/>
        <v>0.12</v>
      </c>
      <c r="I29" s="4">
        <f>H29*$C$2</f>
        <v>918</v>
      </c>
      <c r="J29" s="51">
        <f>(D29+E29+F29+I29)*$C$3</f>
        <v>625.82399999999996</v>
      </c>
      <c r="K29" s="6"/>
      <c r="L29" s="17"/>
    </row>
    <row r="30" spans="1:12" ht="31.5" x14ac:dyDescent="0.5">
      <c r="A30" s="142" t="s">
        <v>609</v>
      </c>
      <c r="B30" s="123"/>
      <c r="C30" s="124"/>
      <c r="D30" s="32"/>
      <c r="E30" s="92"/>
      <c r="F30" s="123"/>
      <c r="G30" s="124"/>
      <c r="H30" s="156"/>
      <c r="I30" s="2"/>
      <c r="J30" s="52">
        <f>J31</f>
        <v>222.12299999999999</v>
      </c>
      <c r="K30" s="10">
        <f>219+3</f>
        <v>222</v>
      </c>
      <c r="L30" s="10">
        <f t="shared" ref="L30" si="20">K30-J30</f>
        <v>-0.12299999999999045</v>
      </c>
    </row>
    <row r="31" spans="1:12" x14ac:dyDescent="0.25">
      <c r="A31" s="178" t="s">
        <v>610</v>
      </c>
      <c r="B31" s="98">
        <v>1</v>
      </c>
      <c r="C31" s="99">
        <f>9900/3</f>
        <v>3300</v>
      </c>
      <c r="D31" s="37">
        <f t="shared" ref="D31" si="21">B31*C31</f>
        <v>3300</v>
      </c>
      <c r="E31" s="39">
        <f>D31*0.1</f>
        <v>330</v>
      </c>
      <c r="F31" s="98">
        <v>0</v>
      </c>
      <c r="G31" s="99">
        <f>0.22/3</f>
        <v>7.3333333333333334E-2</v>
      </c>
      <c r="H31" s="37">
        <f>G31*B31</f>
        <v>7.3333333333333334E-2</v>
      </c>
      <c r="I31" s="4">
        <f>H31*$C$2</f>
        <v>561</v>
      </c>
      <c r="J31" s="51">
        <f>(D31+E31+F31+I31)*$C$3</f>
        <v>222.12299999999999</v>
      </c>
      <c r="K31" s="6"/>
      <c r="L31" s="17"/>
    </row>
    <row r="32" spans="1:12" ht="31.5" x14ac:dyDescent="0.5">
      <c r="A32" s="142" t="s">
        <v>611</v>
      </c>
      <c r="B32" s="123"/>
      <c r="C32" s="124"/>
      <c r="D32" s="32"/>
      <c r="E32" s="92"/>
      <c r="F32" s="123"/>
      <c r="G32" s="124"/>
      <c r="H32" s="156"/>
      <c r="I32" s="2"/>
      <c r="J32" s="52">
        <f>J33</f>
        <v>759.62249999999995</v>
      </c>
      <c r="K32" s="10">
        <v>750</v>
      </c>
      <c r="L32" s="10">
        <f t="shared" ref="L32" si="22">K32-J32</f>
        <v>-9.6224999999999454</v>
      </c>
    </row>
    <row r="33" spans="1:13" x14ac:dyDescent="0.25">
      <c r="A33" s="178" t="s">
        <v>612</v>
      </c>
      <c r="B33" s="98">
        <v>1</v>
      </c>
      <c r="C33" s="99">
        <v>9900</v>
      </c>
      <c r="D33" s="37">
        <f t="shared" ref="D33" si="23">B33*C33</f>
        <v>9900</v>
      </c>
      <c r="E33" s="39">
        <f>D33*0.1</f>
        <v>990</v>
      </c>
      <c r="F33" s="98">
        <v>0</v>
      </c>
      <c r="G33" s="99">
        <v>0.45</v>
      </c>
      <c r="H33" s="37">
        <f>G33*B33</f>
        <v>0.45</v>
      </c>
      <c r="I33" s="4">
        <f>H33*$C$2</f>
        <v>3442.5</v>
      </c>
      <c r="J33" s="51">
        <f>(D33+E33+F33+I33)*$C$3</f>
        <v>759.62249999999995</v>
      </c>
      <c r="K33" s="6"/>
      <c r="L33" s="17"/>
    </row>
    <row r="34" spans="1:13" ht="31.5" x14ac:dyDescent="0.5">
      <c r="A34" s="142" t="s">
        <v>613</v>
      </c>
      <c r="B34" s="123"/>
      <c r="C34" s="124"/>
      <c r="D34" s="32"/>
      <c r="E34" s="92"/>
      <c r="F34" s="123"/>
      <c r="G34" s="124"/>
      <c r="H34" s="156"/>
      <c r="I34" s="2"/>
      <c r="J34" s="52">
        <f>J35</f>
        <v>739.35</v>
      </c>
      <c r="K34" s="10">
        <v>747</v>
      </c>
      <c r="L34" s="10">
        <f t="shared" ref="L34" si="24">K34-J34</f>
        <v>7.6499999999999773</v>
      </c>
    </row>
    <row r="35" spans="1:13" x14ac:dyDescent="0.25">
      <c r="A35" s="39" t="s">
        <v>381</v>
      </c>
      <c r="B35" s="98">
        <v>1</v>
      </c>
      <c r="C35" s="99">
        <v>9900</v>
      </c>
      <c r="D35" s="37">
        <f t="shared" ref="D35" si="25">B35*C35</f>
        <v>9900</v>
      </c>
      <c r="E35" s="39">
        <f>D35*0.1</f>
        <v>990</v>
      </c>
      <c r="F35" s="98">
        <v>0</v>
      </c>
      <c r="G35" s="99">
        <v>0.4</v>
      </c>
      <c r="H35" s="37">
        <f>G35*B35</f>
        <v>0.4</v>
      </c>
      <c r="I35" s="4">
        <f>H35*$C$2</f>
        <v>3060</v>
      </c>
      <c r="J35" s="51">
        <f>(D35+E35+F35+I35)*$C$3</f>
        <v>739.35</v>
      </c>
      <c r="K35" s="6"/>
      <c r="L35" s="17"/>
    </row>
    <row r="36" spans="1:13" ht="31.5" x14ac:dyDescent="0.5">
      <c r="A36" s="142" t="s">
        <v>614</v>
      </c>
      <c r="B36" s="123"/>
      <c r="C36" s="124"/>
      <c r="D36" s="32"/>
      <c r="E36" s="92"/>
      <c r="F36" s="123"/>
      <c r="G36" s="124"/>
      <c r="H36" s="156"/>
      <c r="I36" s="2"/>
      <c r="J36" s="52">
        <f>J37</f>
        <v>913.85249999999996</v>
      </c>
      <c r="K36" s="10">
        <f>900+14</f>
        <v>914</v>
      </c>
      <c r="L36" s="10">
        <f t="shared" ref="L36" si="26">K36-J36</f>
        <v>0.14750000000003638</v>
      </c>
    </row>
    <row r="37" spans="1:13" x14ac:dyDescent="0.25">
      <c r="A37" s="130" t="s">
        <v>615</v>
      </c>
      <c r="B37" s="98">
        <v>1</v>
      </c>
      <c r="C37" s="99">
        <v>12800</v>
      </c>
      <c r="D37" s="37">
        <f t="shared" ref="D37" si="27">B37*C37</f>
        <v>12800</v>
      </c>
      <c r="E37" s="39">
        <f>D37*0.1</f>
        <v>1280</v>
      </c>
      <c r="F37" s="98">
        <f>2500/2</f>
        <v>1250</v>
      </c>
      <c r="G37" s="99">
        <v>0.25</v>
      </c>
      <c r="H37" s="37">
        <f>G37*B37</f>
        <v>0.25</v>
      </c>
      <c r="I37" s="4">
        <f>H37*$C$2</f>
        <v>1912.5</v>
      </c>
      <c r="J37" s="51">
        <f>(D37+E37+F37+I37)*$C$3</f>
        <v>913.85249999999996</v>
      </c>
      <c r="K37" s="6"/>
      <c r="L37" s="17"/>
    </row>
    <row r="38" spans="1:13" ht="31.5" x14ac:dyDescent="0.5">
      <c r="A38" s="142" t="s">
        <v>616</v>
      </c>
      <c r="B38" s="123"/>
      <c r="C38" s="124"/>
      <c r="D38" s="32"/>
      <c r="E38" s="92"/>
      <c r="F38" s="123"/>
      <c r="G38" s="124"/>
      <c r="H38" s="156"/>
      <c r="I38" s="2"/>
      <c r="J38" s="52">
        <f>J39</f>
        <v>595.90549999999996</v>
      </c>
      <c r="K38" s="10">
        <f>570+26</f>
        <v>596</v>
      </c>
      <c r="L38" s="10">
        <f t="shared" ref="L38" si="28">K38-J38</f>
        <v>9.4500000000039108E-2</v>
      </c>
    </row>
    <row r="39" spans="1:13" x14ac:dyDescent="0.25">
      <c r="A39" t="s">
        <v>467</v>
      </c>
      <c r="B39" s="179">
        <v>1</v>
      </c>
      <c r="C39" s="180">
        <v>8900</v>
      </c>
      <c r="D39" s="37">
        <f t="shared" ref="D39" si="29">B39*C39</f>
        <v>8900</v>
      </c>
      <c r="E39" s="39">
        <f>D39*0.1</f>
        <v>890</v>
      </c>
      <c r="F39" s="98">
        <v>0</v>
      </c>
      <c r="G39" s="99">
        <v>0.19</v>
      </c>
      <c r="H39" s="37">
        <f>G39*B39</f>
        <v>0.19</v>
      </c>
      <c r="I39" s="4">
        <f>H39*$C$2</f>
        <v>1453.5</v>
      </c>
      <c r="J39" s="51">
        <f>(D39+E39+F39+I39)*$C$3</f>
        <v>595.90549999999996</v>
      </c>
      <c r="K39" s="6"/>
      <c r="L39" s="17"/>
    </row>
    <row r="40" spans="1:13" ht="31.5" x14ac:dyDescent="0.5">
      <c r="A40" s="142" t="s">
        <v>617</v>
      </c>
      <c r="B40" s="123"/>
      <c r="C40" s="124"/>
      <c r="D40" s="32"/>
      <c r="E40" s="92"/>
      <c r="F40" s="123"/>
      <c r="G40" s="97"/>
      <c r="H40" s="32"/>
      <c r="I40" s="2"/>
      <c r="J40" s="52">
        <f>J41</f>
        <v>782.65099999999995</v>
      </c>
      <c r="K40" s="10">
        <f>670+113</f>
        <v>783</v>
      </c>
      <c r="L40" s="10">
        <f t="shared" ref="L40" si="30">K40-J40</f>
        <v>0.34900000000004638</v>
      </c>
    </row>
    <row r="41" spans="1:13" x14ac:dyDescent="0.25">
      <c r="A41" t="s">
        <v>618</v>
      </c>
      <c r="B41" s="181">
        <v>1</v>
      </c>
      <c r="C41" s="180">
        <v>9900</v>
      </c>
      <c r="D41" s="37">
        <f t="shared" ref="D41" si="31">B41*C41</f>
        <v>9900</v>
      </c>
      <c r="E41" s="39">
        <f>D41*0.1</f>
        <v>990</v>
      </c>
      <c r="F41" s="98">
        <v>2500</v>
      </c>
      <c r="G41" s="115">
        <v>0.18</v>
      </c>
      <c r="H41" s="37">
        <f>G41*B41</f>
        <v>0.18</v>
      </c>
      <c r="I41" s="4">
        <f>H41*$C$2</f>
        <v>1377</v>
      </c>
      <c r="J41" s="51">
        <f>(D41+E41+F41+I41)*$C$3</f>
        <v>782.65099999999995</v>
      </c>
      <c r="K41" s="6"/>
      <c r="L41" s="17"/>
    </row>
    <row r="42" spans="1:13" ht="31.5" x14ac:dyDescent="0.5">
      <c r="A42" s="142" t="s">
        <v>407</v>
      </c>
      <c r="B42" s="123"/>
      <c r="C42" s="124"/>
      <c r="D42" s="32"/>
      <c r="E42" s="92"/>
      <c r="F42" s="123"/>
      <c r="G42" s="124"/>
      <c r="H42" s="156"/>
      <c r="I42" s="2"/>
      <c r="J42" s="52">
        <f>J43</f>
        <v>795.13249999999994</v>
      </c>
      <c r="K42" s="10">
        <v>800</v>
      </c>
      <c r="L42" s="10">
        <f t="shared" ref="L42" si="32">K42-J42</f>
        <v>4.8675000000000637</v>
      </c>
    </row>
    <row r="43" spans="1:13" x14ac:dyDescent="0.25">
      <c r="A43" s="39" t="s">
        <v>360</v>
      </c>
      <c r="B43" s="98">
        <v>1</v>
      </c>
      <c r="C43" s="137">
        <v>11900</v>
      </c>
      <c r="D43" s="37">
        <f t="shared" ref="D43" si="33">B43*C43</f>
        <v>11900</v>
      </c>
      <c r="E43" s="39">
        <f>D43*0.1</f>
        <v>1190</v>
      </c>
      <c r="F43" s="98">
        <v>0</v>
      </c>
      <c r="G43" s="99">
        <v>0.25</v>
      </c>
      <c r="H43" s="37">
        <f>G43*B43</f>
        <v>0.25</v>
      </c>
      <c r="I43" s="4">
        <f>H43*$C$2</f>
        <v>1912.5</v>
      </c>
      <c r="J43" s="51">
        <f>(D43+E43+F43+I43)*$C$3</f>
        <v>795.13249999999994</v>
      </c>
      <c r="K43" s="6"/>
      <c r="L43" s="17"/>
    </row>
    <row r="44" spans="1:13" ht="31.5" x14ac:dyDescent="0.5">
      <c r="A44" s="142" t="s">
        <v>619</v>
      </c>
      <c r="B44" s="123"/>
      <c r="C44" s="124"/>
      <c r="D44" s="32"/>
      <c r="E44" s="92"/>
      <c r="F44" s="123"/>
      <c r="G44" s="124"/>
      <c r="H44" s="156"/>
      <c r="I44" s="2"/>
      <c r="J44" s="52">
        <f>J45</f>
        <v>166.02250000000001</v>
      </c>
      <c r="K44" s="10">
        <f>188-22</f>
        <v>166</v>
      </c>
      <c r="L44" s="10">
        <f t="shared" ref="L44" si="34">K44-J44</f>
        <v>-2.2500000000007958E-2</v>
      </c>
      <c r="M44" t="s">
        <v>652</v>
      </c>
    </row>
    <row r="45" spans="1:13" ht="15.75" thickBot="1" x14ac:dyDescent="0.3">
      <c r="A45" s="39" t="s">
        <v>620</v>
      </c>
      <c r="B45" s="102">
        <v>1</v>
      </c>
      <c r="C45" s="103">
        <v>2500</v>
      </c>
      <c r="D45" s="37">
        <f t="shared" ref="D45" si="35">B45*C45</f>
        <v>2500</v>
      </c>
      <c r="E45" s="39">
        <f>D45*0.1</f>
        <v>250</v>
      </c>
      <c r="F45" s="102">
        <v>0</v>
      </c>
      <c r="G45" s="5">
        <v>0.05</v>
      </c>
      <c r="H45" s="37">
        <f>G45*B45</f>
        <v>0.05</v>
      </c>
      <c r="I45" s="4">
        <f>H45*$C$2</f>
        <v>382.5</v>
      </c>
      <c r="J45" s="51">
        <f>(D45+E45+F45+I45)*$C$3</f>
        <v>166.02250000000001</v>
      </c>
      <c r="K45" s="6"/>
      <c r="L45" s="17"/>
    </row>
    <row r="46" spans="1:13" x14ac:dyDescent="0.25">
      <c r="A46" s="172"/>
      <c r="B46" s="172"/>
      <c r="C46" s="172"/>
      <c r="D46" s="172"/>
      <c r="E46" s="172"/>
      <c r="F46" s="173"/>
      <c r="G46" s="173"/>
      <c r="H46" s="173"/>
      <c r="I46" s="172"/>
      <c r="J46" s="74"/>
      <c r="K46" s="174"/>
      <c r="L46" s="175"/>
    </row>
    <row r="50" spans="1:6" ht="26.25" x14ac:dyDescent="0.4">
      <c r="A50" s="176" t="s">
        <v>602</v>
      </c>
    </row>
    <row r="51" spans="1:6" ht="31.5" x14ac:dyDescent="0.5">
      <c r="A51" s="152" t="s">
        <v>588</v>
      </c>
    </row>
    <row r="52" spans="1:6" x14ac:dyDescent="0.25">
      <c r="A52" s="36" t="s">
        <v>603</v>
      </c>
    </row>
    <row r="53" spans="1:6" ht="31.5" x14ac:dyDescent="0.5">
      <c r="A53" s="152" t="s">
        <v>288</v>
      </c>
    </row>
    <row r="54" spans="1:6" x14ac:dyDescent="0.25">
      <c r="A54" t="s">
        <v>539</v>
      </c>
    </row>
    <row r="55" spans="1:6" ht="31.5" x14ac:dyDescent="0.5">
      <c r="A55" s="152" t="s">
        <v>616</v>
      </c>
    </row>
    <row r="56" spans="1:6" x14ac:dyDescent="0.25">
      <c r="A56" s="36" t="s">
        <v>621</v>
      </c>
      <c r="F56" s="133" t="s">
        <v>624</v>
      </c>
    </row>
    <row r="57" spans="1:6" ht="31.5" x14ac:dyDescent="0.5">
      <c r="A57" s="152" t="s">
        <v>619</v>
      </c>
      <c r="F57" s="133"/>
    </row>
    <row r="58" spans="1:6" x14ac:dyDescent="0.25">
      <c r="A58" s="36" t="s">
        <v>622</v>
      </c>
      <c r="F58" s="133" t="s">
        <v>623</v>
      </c>
    </row>
  </sheetData>
  <hyperlinks>
    <hyperlink ref="A52" r:id="rId1"/>
    <hyperlink ref="A56" r:id="rId2"/>
    <hyperlink ref="A58" r:id="rId3" display="http://item2.gmarket.co.kr/English/detailview/item.aspx?goodscode=651805315"/>
  </hyperlinks>
  <pageMargins left="0.7" right="0.7" top="0.75" bottom="0.75" header="0.3" footer="0.3"/>
  <pageSetup paperSize="9" orientation="portrait" horizontalDpi="0" verticalDpi="0" r:id="rId4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9"/>
  <sheetViews>
    <sheetView topLeftCell="B1" zoomScale="80" zoomScaleNormal="80" workbookViewId="0">
      <selection activeCell="M25" sqref="M25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2" ht="21" x14ac:dyDescent="0.35">
      <c r="A1" s="55" t="s">
        <v>281</v>
      </c>
      <c r="B1" s="4"/>
      <c r="C1" s="15">
        <v>42093</v>
      </c>
      <c r="D1" s="30"/>
    </row>
    <row r="2" spans="1:12" ht="21" x14ac:dyDescent="0.35">
      <c r="A2" s="55" t="s">
        <v>239</v>
      </c>
      <c r="B2" s="4"/>
      <c r="C2" s="16">
        <v>7800</v>
      </c>
      <c r="D2" s="30"/>
    </row>
    <row r="3" spans="1:12" ht="21" x14ac:dyDescent="0.35">
      <c r="A3" s="55" t="s">
        <v>240</v>
      </c>
      <c r="B3" s="4"/>
      <c r="C3" s="170">
        <v>4.8099999999999997E-2</v>
      </c>
      <c r="D3" s="30"/>
    </row>
    <row r="4" spans="1:12" ht="15.75" thickBot="1" x14ac:dyDescent="0.3"/>
    <row r="5" spans="1:12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42" t="s">
        <v>611</v>
      </c>
      <c r="B6" s="123"/>
      <c r="C6" s="124"/>
      <c r="D6" s="32"/>
      <c r="E6" s="92"/>
      <c r="F6" s="177"/>
      <c r="G6" s="124"/>
      <c r="H6" s="32"/>
      <c r="I6" s="2"/>
      <c r="J6" s="52">
        <f>SUM(J7:J11)</f>
        <v>2321.2578999999996</v>
      </c>
      <c r="K6" s="10">
        <v>2650</v>
      </c>
      <c r="L6" s="10">
        <f t="shared" ref="L6" si="0">K6-J6</f>
        <v>328.74210000000039</v>
      </c>
    </row>
    <row r="7" spans="1:12" x14ac:dyDescent="0.25">
      <c r="A7" s="39" t="s">
        <v>631</v>
      </c>
      <c r="B7" s="98">
        <v>1</v>
      </c>
      <c r="C7" s="99">
        <v>10900</v>
      </c>
      <c r="D7" s="37">
        <f t="shared" ref="D7:D11" si="1">B7*C7</f>
        <v>10900</v>
      </c>
      <c r="E7" s="39">
        <f t="shared" ref="E7:E11" si="2">D7*0.1</f>
        <v>1090</v>
      </c>
      <c r="F7" s="98">
        <v>0</v>
      </c>
      <c r="G7" s="99">
        <v>0.28000000000000003</v>
      </c>
      <c r="H7" s="37">
        <f t="shared" ref="H7:H33" si="3">G7*B7</f>
        <v>0.28000000000000003</v>
      </c>
      <c r="I7" s="4">
        <f t="shared" ref="I7:I11" si="4">H7*$C$2</f>
        <v>2184</v>
      </c>
      <c r="J7" s="51">
        <f t="shared" ref="J7:J11" si="5">(D7+E7+F7+I7)*$C$3</f>
        <v>681.76939999999991</v>
      </c>
      <c r="K7" s="6"/>
      <c r="L7" s="17"/>
    </row>
    <row r="8" spans="1:12" x14ac:dyDescent="0.25">
      <c r="A8" s="39" t="s">
        <v>632</v>
      </c>
      <c r="B8" s="98">
        <v>5</v>
      </c>
      <c r="C8" s="99">
        <v>950</v>
      </c>
      <c r="D8" s="37">
        <f t="shared" si="1"/>
        <v>4750</v>
      </c>
      <c r="E8" s="39">
        <f t="shared" si="2"/>
        <v>475</v>
      </c>
      <c r="F8" s="98">
        <v>0</v>
      </c>
      <c r="G8" s="99">
        <v>0.05</v>
      </c>
      <c r="H8" s="37">
        <f t="shared" si="3"/>
        <v>0.25</v>
      </c>
      <c r="I8" s="4">
        <f t="shared" si="4"/>
        <v>1950</v>
      </c>
      <c r="J8" s="51">
        <f t="shared" si="5"/>
        <v>345.11749999999995</v>
      </c>
      <c r="K8" s="6"/>
      <c r="L8" s="17"/>
    </row>
    <row r="9" spans="1:12" x14ac:dyDescent="0.25">
      <c r="A9" s="39" t="s">
        <v>632</v>
      </c>
      <c r="B9" s="98">
        <v>5</v>
      </c>
      <c r="C9" s="99">
        <v>950</v>
      </c>
      <c r="D9" s="37">
        <f t="shared" si="1"/>
        <v>4750</v>
      </c>
      <c r="E9" s="39">
        <f t="shared" si="2"/>
        <v>475</v>
      </c>
      <c r="F9" s="98">
        <v>0</v>
      </c>
      <c r="G9" s="99">
        <v>0.05</v>
      </c>
      <c r="H9" s="37">
        <f t="shared" si="3"/>
        <v>0.25</v>
      </c>
      <c r="I9" s="4">
        <f t="shared" si="4"/>
        <v>1950</v>
      </c>
      <c r="J9" s="51">
        <f t="shared" si="5"/>
        <v>345.11749999999995</v>
      </c>
      <c r="K9" s="6"/>
      <c r="L9" s="17"/>
    </row>
    <row r="10" spans="1:12" x14ac:dyDescent="0.25">
      <c r="A10" s="39" t="s">
        <v>632</v>
      </c>
      <c r="B10" s="98">
        <v>5</v>
      </c>
      <c r="C10" s="99">
        <v>950</v>
      </c>
      <c r="D10" s="37">
        <f t="shared" si="1"/>
        <v>4750</v>
      </c>
      <c r="E10" s="39">
        <f t="shared" si="2"/>
        <v>475</v>
      </c>
      <c r="F10" s="98">
        <v>0</v>
      </c>
      <c r="G10" s="99">
        <v>0.05</v>
      </c>
      <c r="H10" s="37">
        <f t="shared" si="3"/>
        <v>0.25</v>
      </c>
      <c r="I10" s="4">
        <f t="shared" si="4"/>
        <v>1950</v>
      </c>
      <c r="J10" s="51">
        <f t="shared" si="5"/>
        <v>345.11749999999995</v>
      </c>
      <c r="K10" s="6"/>
      <c r="L10" s="17"/>
    </row>
    <row r="11" spans="1:12" x14ac:dyDescent="0.25">
      <c r="A11" s="39" t="s">
        <v>57</v>
      </c>
      <c r="B11" s="98">
        <v>1</v>
      </c>
      <c r="C11" s="99">
        <v>10000</v>
      </c>
      <c r="D11" s="37">
        <f t="shared" si="1"/>
        <v>10000</v>
      </c>
      <c r="E11" s="39">
        <f t="shared" si="2"/>
        <v>1000</v>
      </c>
      <c r="F11" s="98">
        <v>0</v>
      </c>
      <c r="G11" s="99">
        <v>0.2</v>
      </c>
      <c r="H11" s="37">
        <f t="shared" si="3"/>
        <v>0.2</v>
      </c>
      <c r="I11" s="4">
        <f t="shared" si="4"/>
        <v>1560</v>
      </c>
      <c r="J11" s="51">
        <f t="shared" si="5"/>
        <v>604.13599999999997</v>
      </c>
      <c r="K11" s="6"/>
      <c r="L11" s="17"/>
    </row>
    <row r="12" spans="1:12" ht="31.5" x14ac:dyDescent="0.5">
      <c r="A12" s="142" t="s">
        <v>479</v>
      </c>
      <c r="B12" s="123"/>
      <c r="C12" s="124"/>
      <c r="D12" s="32"/>
      <c r="E12" s="92"/>
      <c r="F12" s="177"/>
      <c r="G12" s="124"/>
      <c r="H12" s="32"/>
      <c r="I12" s="2"/>
      <c r="J12" s="52">
        <f>SUM(J13:J16)</f>
        <v>718.66210000000001</v>
      </c>
      <c r="K12" s="10">
        <v>785</v>
      </c>
      <c r="L12" s="10">
        <f t="shared" ref="L12" si="6">K12-J12</f>
        <v>66.337899999999991</v>
      </c>
    </row>
    <row r="13" spans="1:12" x14ac:dyDescent="0.25">
      <c r="A13" s="39" t="s">
        <v>633</v>
      </c>
      <c r="B13" s="98">
        <v>1</v>
      </c>
      <c r="C13" s="99">
        <v>6900</v>
      </c>
      <c r="D13" s="37">
        <f t="shared" ref="D13:D16" si="7">B13*C13</f>
        <v>6900</v>
      </c>
      <c r="E13" s="39">
        <f>D13*0.1</f>
        <v>690</v>
      </c>
      <c r="F13" s="98">
        <v>2500</v>
      </c>
      <c r="G13" s="99">
        <v>7.0000000000000007E-2</v>
      </c>
      <c r="H13" s="37">
        <f t="shared" si="3"/>
        <v>7.0000000000000007E-2</v>
      </c>
      <c r="I13" s="4">
        <f>H13*$C$2</f>
        <v>546</v>
      </c>
      <c r="J13" s="51">
        <f>(D13+E13+F13+I13)*$C$3</f>
        <v>511.59159999999997</v>
      </c>
      <c r="K13" s="6"/>
      <c r="L13" s="17"/>
    </row>
    <row r="14" spans="1:12" x14ac:dyDescent="0.25">
      <c r="A14" s="39" t="s">
        <v>632</v>
      </c>
      <c r="B14" s="98">
        <v>1</v>
      </c>
      <c r="C14" s="99">
        <v>950</v>
      </c>
      <c r="D14" s="37">
        <f t="shared" si="7"/>
        <v>950</v>
      </c>
      <c r="E14" s="39">
        <f>D14*0.1</f>
        <v>95</v>
      </c>
      <c r="F14" s="98">
        <v>0</v>
      </c>
      <c r="G14" s="99">
        <v>0.05</v>
      </c>
      <c r="H14" s="37">
        <f t="shared" si="3"/>
        <v>0.05</v>
      </c>
      <c r="I14" s="4">
        <f>H14*$C$2</f>
        <v>390</v>
      </c>
      <c r="J14" s="51">
        <f>(D14+E14+F14+I14)*$C$3</f>
        <v>69.023499999999999</v>
      </c>
      <c r="K14" s="6"/>
      <c r="L14" s="17"/>
    </row>
    <row r="15" spans="1:12" x14ac:dyDescent="0.25">
      <c r="A15" s="39" t="s">
        <v>632</v>
      </c>
      <c r="B15" s="98">
        <v>1</v>
      </c>
      <c r="C15" s="99">
        <v>950</v>
      </c>
      <c r="D15" s="37">
        <f t="shared" ref="D15" si="8">B15*C15</f>
        <v>950</v>
      </c>
      <c r="E15" s="39">
        <f>D15*0.1</f>
        <v>95</v>
      </c>
      <c r="F15" s="98">
        <v>0</v>
      </c>
      <c r="G15" s="99">
        <v>0.05</v>
      </c>
      <c r="H15" s="37">
        <f t="shared" ref="H15" si="9">G15*B15</f>
        <v>0.05</v>
      </c>
      <c r="I15" s="4">
        <f>H15*$C$2</f>
        <v>390</v>
      </c>
      <c r="J15" s="51">
        <f>(D15+E15+F15+I15)*$C$3</f>
        <v>69.023499999999999</v>
      </c>
      <c r="K15" s="6"/>
      <c r="L15" s="17"/>
    </row>
    <row r="16" spans="1:12" x14ac:dyDescent="0.25">
      <c r="A16" s="39" t="s">
        <v>632</v>
      </c>
      <c r="B16" s="98">
        <v>1</v>
      </c>
      <c r="C16" s="99">
        <v>950</v>
      </c>
      <c r="D16" s="37">
        <f t="shared" si="7"/>
        <v>950</v>
      </c>
      <c r="E16" s="39">
        <f>D16*0.1</f>
        <v>95</v>
      </c>
      <c r="F16" s="98">
        <v>0</v>
      </c>
      <c r="G16" s="99">
        <v>0.05</v>
      </c>
      <c r="H16" s="37">
        <f t="shared" si="3"/>
        <v>0.05</v>
      </c>
      <c r="I16" s="4">
        <f>H16*$C$2</f>
        <v>390</v>
      </c>
      <c r="J16" s="51">
        <f>(D16+E16+F16+I16)*$C$3</f>
        <v>69.023499999999999</v>
      </c>
      <c r="K16" s="6"/>
      <c r="L16" s="17"/>
    </row>
    <row r="17" spans="1:13" ht="31.5" x14ac:dyDescent="0.5">
      <c r="A17" s="142" t="s">
        <v>331</v>
      </c>
      <c r="B17" s="123"/>
      <c r="C17" s="124"/>
      <c r="D17" s="32"/>
      <c r="E17" s="92"/>
      <c r="F17" s="177"/>
      <c r="G17" s="124"/>
      <c r="H17" s="32"/>
      <c r="I17" s="2"/>
      <c r="J17" s="52">
        <f>SUM(J18:J20)</f>
        <v>2002.4029999999998</v>
      </c>
      <c r="K17" s="10">
        <v>1965</v>
      </c>
      <c r="L17" s="10">
        <f t="shared" ref="L17" si="10">K17-J17</f>
        <v>-37.402999999999793</v>
      </c>
    </row>
    <row r="18" spans="1:13" x14ac:dyDescent="0.25">
      <c r="A18" s="130" t="s">
        <v>634</v>
      </c>
      <c r="B18" s="98">
        <v>1</v>
      </c>
      <c r="C18" s="99">
        <v>9900</v>
      </c>
      <c r="D18" s="37">
        <f t="shared" ref="D18:D20" si="11">B18*C18</f>
        <v>9900</v>
      </c>
      <c r="E18" s="39">
        <f>D18*0.1</f>
        <v>990</v>
      </c>
      <c r="F18" s="98">
        <v>0</v>
      </c>
      <c r="G18" s="99">
        <v>0.3</v>
      </c>
      <c r="H18" s="37">
        <f t="shared" ref="H18:H20" si="12">G18*B18</f>
        <v>0.3</v>
      </c>
      <c r="I18" s="4">
        <f>H18*$C$2</f>
        <v>2340</v>
      </c>
      <c r="J18" s="51">
        <f>(D18+E18+F18+I18)*$C$3</f>
        <v>636.36299999999994</v>
      </c>
      <c r="K18" s="6"/>
      <c r="L18" s="17"/>
    </row>
    <row r="19" spans="1:13" x14ac:dyDescent="0.25">
      <c r="A19" s="130" t="s">
        <v>635</v>
      </c>
      <c r="B19" s="98">
        <v>1</v>
      </c>
      <c r="C19" s="99">
        <v>9900</v>
      </c>
      <c r="D19" s="37">
        <f t="shared" si="11"/>
        <v>9900</v>
      </c>
      <c r="E19" s="39">
        <f>D19*0.1</f>
        <v>990</v>
      </c>
      <c r="F19" s="98">
        <v>0</v>
      </c>
      <c r="G19" s="99">
        <v>0.3</v>
      </c>
      <c r="H19" s="37">
        <f t="shared" si="12"/>
        <v>0.3</v>
      </c>
      <c r="I19" s="4">
        <f>H19*$C$2</f>
        <v>2340</v>
      </c>
      <c r="J19" s="51">
        <f>(D19+E19+F19+I19)*$C$3</f>
        <v>636.36299999999994</v>
      </c>
      <c r="K19" s="6"/>
      <c r="L19" s="17"/>
    </row>
    <row r="20" spans="1:13" x14ac:dyDescent="0.25">
      <c r="A20" s="130" t="s">
        <v>636</v>
      </c>
      <c r="B20" s="98">
        <v>1</v>
      </c>
      <c r="C20" s="99">
        <v>4500</v>
      </c>
      <c r="D20" s="37">
        <f t="shared" si="11"/>
        <v>4500</v>
      </c>
      <c r="E20" s="39">
        <f>D20*0.1</f>
        <v>450</v>
      </c>
      <c r="F20" s="98">
        <f>2500/2</f>
        <v>1250</v>
      </c>
      <c r="G20" s="99">
        <v>1.1499999999999999</v>
      </c>
      <c r="H20" s="37">
        <f t="shared" si="12"/>
        <v>1.1499999999999999</v>
      </c>
      <c r="I20" s="4">
        <f>H20*$C$2</f>
        <v>8970</v>
      </c>
      <c r="J20" s="51">
        <f>(D20+E20+F20+I20)*$C$3</f>
        <v>729.67699999999991</v>
      </c>
      <c r="K20" s="6"/>
      <c r="L20" s="17"/>
    </row>
    <row r="21" spans="1:13" ht="31.5" x14ac:dyDescent="0.5">
      <c r="A21" s="142" t="s">
        <v>637</v>
      </c>
      <c r="B21" s="123"/>
      <c r="C21" s="124"/>
      <c r="D21" s="32"/>
      <c r="E21" s="92"/>
      <c r="F21" s="123"/>
      <c r="G21" s="124"/>
      <c r="H21" s="32"/>
      <c r="I21" s="2"/>
      <c r="J21" s="52">
        <f>SUM(J22:J24)</f>
        <v>3011.2523999999999</v>
      </c>
      <c r="K21" s="10">
        <f>3079-51</f>
        <v>3028</v>
      </c>
      <c r="L21" s="10">
        <f t="shared" ref="L21" si="13">K21-J21</f>
        <v>16.747600000000148</v>
      </c>
      <c r="M21" t="s">
        <v>855</v>
      </c>
    </row>
    <row r="22" spans="1:13" x14ac:dyDescent="0.25">
      <c r="A22" s="39" t="s">
        <v>638</v>
      </c>
      <c r="B22" s="98">
        <v>1</v>
      </c>
      <c r="C22" s="99">
        <v>21000</v>
      </c>
      <c r="D22" s="37">
        <f t="shared" ref="D22:D24" si="14">B22*C22</f>
        <v>21000</v>
      </c>
      <c r="E22" s="39">
        <f>D22*0.1</f>
        <v>2100</v>
      </c>
      <c r="F22" s="98">
        <v>0</v>
      </c>
      <c r="G22" s="99">
        <v>0.15</v>
      </c>
      <c r="H22" s="37">
        <f t="shared" si="3"/>
        <v>0.15</v>
      </c>
      <c r="I22" s="4">
        <f>H22*$C$2</f>
        <v>1170</v>
      </c>
      <c r="J22" s="51">
        <f>(D22+E22+F22+I22)*$C$3</f>
        <v>1167.3869999999999</v>
      </c>
      <c r="K22" s="6"/>
      <c r="L22" s="17"/>
    </row>
    <row r="23" spans="1:13" x14ac:dyDescent="0.25">
      <c r="A23" s="106" t="s">
        <v>639</v>
      </c>
      <c r="B23" s="114">
        <v>1</v>
      </c>
      <c r="C23" s="99">
        <v>9900</v>
      </c>
      <c r="D23" s="37">
        <f t="shared" si="14"/>
        <v>9900</v>
      </c>
      <c r="E23" s="39">
        <f>D23*0.1</f>
        <v>990</v>
      </c>
      <c r="F23" s="98">
        <v>0</v>
      </c>
      <c r="G23" s="99">
        <v>0.55000000000000004</v>
      </c>
      <c r="H23" s="37">
        <f t="shared" si="3"/>
        <v>0.55000000000000004</v>
      </c>
      <c r="I23" s="4">
        <f>H23*$C$2</f>
        <v>4290</v>
      </c>
      <c r="J23" s="51">
        <f>(D23+E23+F23+I23)*$C$3</f>
        <v>730.1579999999999</v>
      </c>
      <c r="K23" s="6"/>
      <c r="L23" s="17"/>
    </row>
    <row r="24" spans="1:13" x14ac:dyDescent="0.25">
      <c r="A24" s="39" t="s">
        <v>640</v>
      </c>
      <c r="B24" s="98">
        <v>1</v>
      </c>
      <c r="C24" s="99">
        <v>18000</v>
      </c>
      <c r="D24" s="37">
        <f t="shared" si="14"/>
        <v>18000</v>
      </c>
      <c r="E24" s="39">
        <f>D24*0.1</f>
        <v>1800</v>
      </c>
      <c r="F24" s="98">
        <v>0</v>
      </c>
      <c r="G24" s="99">
        <v>0.43</v>
      </c>
      <c r="H24" s="37">
        <f t="shared" si="3"/>
        <v>0.43</v>
      </c>
      <c r="I24" s="4">
        <f>H24*$C$2</f>
        <v>3354</v>
      </c>
      <c r="J24" s="51">
        <f>(D24+E24+F24+I24)*$C$3</f>
        <v>1113.7074</v>
      </c>
      <c r="K24" s="6"/>
      <c r="L24" s="17"/>
    </row>
    <row r="25" spans="1:13" ht="31.5" x14ac:dyDescent="0.5">
      <c r="A25" s="142" t="s">
        <v>641</v>
      </c>
      <c r="B25" s="123"/>
      <c r="C25" s="124"/>
      <c r="D25" s="32"/>
      <c r="E25" s="92"/>
      <c r="F25" s="123"/>
      <c r="G25" s="124"/>
      <c r="H25" s="32"/>
      <c r="I25" s="2"/>
      <c r="J25" s="52">
        <f>J26+J27</f>
        <v>997.40159999999992</v>
      </c>
      <c r="K25" s="10">
        <f>1022-25</f>
        <v>997</v>
      </c>
      <c r="L25" s="10">
        <f t="shared" ref="L25" si="15">K25-J25</f>
        <v>-0.40159999999991669</v>
      </c>
      <c r="M25" s="132" t="s">
        <v>653</v>
      </c>
    </row>
    <row r="26" spans="1:13" x14ac:dyDescent="0.25">
      <c r="A26" s="39" t="s">
        <v>642</v>
      </c>
      <c r="B26" s="98">
        <v>1</v>
      </c>
      <c r="C26" s="99">
        <v>6980</v>
      </c>
      <c r="D26" s="37">
        <f t="shared" ref="D26:D27" si="16">B26*C26</f>
        <v>6980</v>
      </c>
      <c r="E26" s="39">
        <f>D26*0.1</f>
        <v>698</v>
      </c>
      <c r="F26" s="98">
        <v>0</v>
      </c>
      <c r="G26" s="99">
        <v>0.23</v>
      </c>
      <c r="H26" s="37">
        <f>G26*B26</f>
        <v>0.23</v>
      </c>
      <c r="I26" s="4">
        <f>H26*$C$2</f>
        <v>1794</v>
      </c>
      <c r="J26" s="51">
        <f>(D26+E26+F26+I26)*$C$3</f>
        <v>455.60319999999996</v>
      </c>
      <c r="K26" s="6"/>
      <c r="L26" s="17"/>
    </row>
    <row r="27" spans="1:13" x14ac:dyDescent="0.25">
      <c r="A27" s="39" t="s">
        <v>643</v>
      </c>
      <c r="B27" s="98">
        <v>1</v>
      </c>
      <c r="C27" s="99">
        <v>7900</v>
      </c>
      <c r="D27" s="37">
        <f t="shared" si="16"/>
        <v>7900</v>
      </c>
      <c r="E27" s="39">
        <f>D27*0.1</f>
        <v>790</v>
      </c>
      <c r="F27" s="114">
        <v>0</v>
      </c>
      <c r="G27" s="115">
        <v>0.33</v>
      </c>
      <c r="H27" s="37">
        <f>G27*B27</f>
        <v>0.33</v>
      </c>
      <c r="I27" s="4">
        <f>H27*$C$2</f>
        <v>2574</v>
      </c>
      <c r="J27" s="51">
        <f>(D27+E27+F27+I27)*$C$3</f>
        <v>541.79840000000002</v>
      </c>
      <c r="K27" s="6"/>
      <c r="L27" s="17"/>
    </row>
    <row r="28" spans="1:13" ht="31.5" x14ac:dyDescent="0.5">
      <c r="A28" s="142" t="s">
        <v>644</v>
      </c>
      <c r="B28" s="123"/>
      <c r="C28" s="124"/>
      <c r="D28" s="32"/>
      <c r="E28" s="92"/>
      <c r="F28" s="123"/>
      <c r="G28" s="124"/>
      <c r="H28" s="32"/>
      <c r="I28" s="2"/>
      <c r="J28" s="52">
        <f>J29+J30</f>
        <v>1511.3019999999999</v>
      </c>
      <c r="K28" s="10">
        <f>210+1300</f>
        <v>1510</v>
      </c>
      <c r="L28" s="10">
        <f t="shared" ref="L28" si="17">K28-J28</f>
        <v>-1.3019999999999072</v>
      </c>
    </row>
    <row r="29" spans="1:13" x14ac:dyDescent="0.25">
      <c r="A29" s="39" t="s">
        <v>645</v>
      </c>
      <c r="B29" s="98">
        <v>1</v>
      </c>
      <c r="C29" s="99">
        <v>6600</v>
      </c>
      <c r="D29" s="37">
        <f t="shared" ref="D29:D30" si="18">B29*C29</f>
        <v>6600</v>
      </c>
      <c r="E29" s="39">
        <f>D29*0.1</f>
        <v>660</v>
      </c>
      <c r="F29" s="98">
        <f>2500/2</f>
        <v>1250</v>
      </c>
      <c r="G29" s="99">
        <v>1.2</v>
      </c>
      <c r="H29" s="37">
        <f>G29*B29</f>
        <v>1.2</v>
      </c>
      <c r="I29" s="4">
        <f>H29*$C$2</f>
        <v>9360</v>
      </c>
      <c r="J29" s="51">
        <f>(D29+E29+F29+I29)*$C$3</f>
        <v>859.54699999999991</v>
      </c>
      <c r="K29" s="6"/>
      <c r="L29" s="17"/>
    </row>
    <row r="30" spans="1:13" x14ac:dyDescent="0.25">
      <c r="A30" s="39" t="s">
        <v>646</v>
      </c>
      <c r="B30" s="98">
        <v>1</v>
      </c>
      <c r="C30" s="99">
        <v>10900</v>
      </c>
      <c r="D30" s="37">
        <f t="shared" si="18"/>
        <v>10900</v>
      </c>
      <c r="E30" s="39">
        <f>D30*0.1</f>
        <v>1090</v>
      </c>
      <c r="F30" s="98">
        <v>0</v>
      </c>
      <c r="G30" s="99">
        <v>0.2</v>
      </c>
      <c r="H30" s="37">
        <f>G30*B30</f>
        <v>0.2</v>
      </c>
      <c r="I30" s="4">
        <f>H30*$C$2</f>
        <v>1560</v>
      </c>
      <c r="J30" s="51">
        <f>(D30+E30+F30+I30)*$C$3</f>
        <v>651.755</v>
      </c>
      <c r="K30" s="6"/>
      <c r="L30" s="17"/>
    </row>
    <row r="31" spans="1:13" ht="31.5" x14ac:dyDescent="0.5">
      <c r="A31" s="142" t="s">
        <v>2</v>
      </c>
      <c r="B31" s="123"/>
      <c r="C31" s="124"/>
      <c r="D31" s="32"/>
      <c r="E31" s="92"/>
      <c r="F31" s="177"/>
      <c r="G31" s="124"/>
      <c r="H31" s="32"/>
      <c r="I31" s="2"/>
      <c r="J31" s="52">
        <f>J32+J33</f>
        <v>1052.0913</v>
      </c>
      <c r="K31" s="10">
        <v>1113</v>
      </c>
      <c r="L31" s="10">
        <f t="shared" ref="L31" si="19">K31-J31</f>
        <v>60.908699999999953</v>
      </c>
    </row>
    <row r="32" spans="1:13" x14ac:dyDescent="0.25">
      <c r="A32" s="39" t="s">
        <v>250</v>
      </c>
      <c r="B32" s="98">
        <v>1</v>
      </c>
      <c r="C32" s="99">
        <v>9800</v>
      </c>
      <c r="D32" s="37">
        <f t="shared" ref="D32:D33" si="20">B32*C32</f>
        <v>9800</v>
      </c>
      <c r="E32" s="39">
        <f>D32*0.1</f>
        <v>980</v>
      </c>
      <c r="F32" s="98">
        <v>0</v>
      </c>
      <c r="G32" s="99">
        <v>0.1</v>
      </c>
      <c r="H32" s="37">
        <f t="shared" si="3"/>
        <v>0.1</v>
      </c>
      <c r="I32" s="4">
        <f>H32*$C$2</f>
        <v>780</v>
      </c>
      <c r="J32" s="51">
        <f>(D32+E32+F32+I32)*$C$3</f>
        <v>556.03599999999994</v>
      </c>
      <c r="K32" s="6"/>
      <c r="L32" s="17"/>
    </row>
    <row r="33" spans="1:12" ht="15.75" thickBot="1" x14ac:dyDescent="0.3">
      <c r="A33" s="39" t="s">
        <v>49</v>
      </c>
      <c r="B33" s="102">
        <v>1</v>
      </c>
      <c r="C33" s="103">
        <f>5580+1950</f>
        <v>7530</v>
      </c>
      <c r="D33" s="37">
        <f t="shared" si="20"/>
        <v>7530</v>
      </c>
      <c r="E33" s="39">
        <f>D33*0.1</f>
        <v>753</v>
      </c>
      <c r="F33" s="102">
        <f>2500/2</f>
        <v>1250</v>
      </c>
      <c r="G33" s="103">
        <v>0.1</v>
      </c>
      <c r="H33" s="37">
        <f t="shared" si="3"/>
        <v>0.1</v>
      </c>
      <c r="I33" s="4">
        <f>H33*$C$2</f>
        <v>780</v>
      </c>
      <c r="J33" s="51">
        <f>(D33+E33+F33+I33)*$C$3</f>
        <v>496.05529999999999</v>
      </c>
      <c r="K33" s="6"/>
      <c r="L33" s="17"/>
    </row>
    <row r="35" spans="1:12" ht="26.25" x14ac:dyDescent="0.4">
      <c r="A35" s="176" t="s">
        <v>629</v>
      </c>
    </row>
    <row r="36" spans="1:12" ht="31.5" x14ac:dyDescent="0.5">
      <c r="A36" s="152" t="s">
        <v>611</v>
      </c>
    </row>
    <row r="37" spans="1:12" x14ac:dyDescent="0.25">
      <c r="A37" s="36" t="s">
        <v>630</v>
      </c>
    </row>
    <row r="38" spans="1:12" ht="31.5" x14ac:dyDescent="0.5">
      <c r="A38" s="152" t="s">
        <v>479</v>
      </c>
    </row>
    <row r="39" spans="1:12" x14ac:dyDescent="0.25">
      <c r="A39" s="36" t="s">
        <v>630</v>
      </c>
    </row>
  </sheetData>
  <hyperlinks>
    <hyperlink ref="A37" r:id="rId1"/>
    <hyperlink ref="A39" r:id="rId2"/>
  </hyperlinks>
  <pageMargins left="0.7" right="0.7" top="0.75" bottom="0.75" header="0.3" footer="0.3"/>
  <pageSetup paperSize="9" orientation="portrait" horizontalDpi="0" verticalDpi="0"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4"/>
  <sheetViews>
    <sheetView topLeftCell="A4" zoomScale="70" zoomScaleNormal="70" workbookViewId="0">
      <selection activeCell="P38" sqref="P38"/>
    </sheetView>
  </sheetViews>
  <sheetFormatPr defaultRowHeight="15" x14ac:dyDescent="0.25"/>
  <cols>
    <col min="1" max="1" width="38.4257812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0" bestFit="1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42148</v>
      </c>
      <c r="D1" s="30"/>
    </row>
    <row r="2" spans="1:12" ht="21" x14ac:dyDescent="0.35">
      <c r="A2" s="55" t="s">
        <v>239</v>
      </c>
      <c r="B2" s="4"/>
      <c r="C2" s="16">
        <v>7800</v>
      </c>
      <c r="D2" s="30"/>
    </row>
    <row r="3" spans="1:12" ht="21" x14ac:dyDescent="0.35">
      <c r="A3" s="55" t="s">
        <v>240</v>
      </c>
      <c r="B3" s="4"/>
      <c r="C3" s="170">
        <v>4.7500000000000001E-2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655</v>
      </c>
      <c r="B6" s="151"/>
      <c r="C6" s="151"/>
      <c r="D6" s="32"/>
      <c r="E6" s="92"/>
      <c r="F6" s="177"/>
      <c r="G6" s="124"/>
      <c r="H6" s="32"/>
      <c r="I6" s="2"/>
      <c r="J6" s="52">
        <f>J7</f>
        <v>320.815</v>
      </c>
      <c r="K6" s="10">
        <v>324</v>
      </c>
      <c r="L6" s="10">
        <f t="shared" ref="L6" si="0">K6-J6</f>
        <v>3.1850000000000023</v>
      </c>
    </row>
    <row r="7" spans="1:12" x14ac:dyDescent="0.25">
      <c r="A7" s="4" t="s">
        <v>172</v>
      </c>
      <c r="B7" s="4">
        <v>1</v>
      </c>
      <c r="C7" s="4">
        <v>3300</v>
      </c>
      <c r="D7" s="37">
        <f t="shared" ref="D7" si="1">B7*C7</f>
        <v>3300</v>
      </c>
      <c r="E7" s="39">
        <f>D7*0.1</f>
        <v>330</v>
      </c>
      <c r="F7" s="4">
        <v>2500</v>
      </c>
      <c r="G7" s="4">
        <v>0.08</v>
      </c>
      <c r="H7" s="37">
        <f t="shared" ref="H7" si="2">G7*B7</f>
        <v>0.08</v>
      </c>
      <c r="I7" s="4">
        <f>H7*$C$2</f>
        <v>624</v>
      </c>
      <c r="J7" s="51">
        <f>(D7+E7+F7+I7)*$C$3</f>
        <v>320.815</v>
      </c>
      <c r="K7" s="6"/>
      <c r="L7" s="17"/>
    </row>
    <row r="8" spans="1:12" ht="31.5" x14ac:dyDescent="0.5">
      <c r="A8" s="152" t="s">
        <v>458</v>
      </c>
      <c r="B8" s="151"/>
      <c r="C8" s="151"/>
      <c r="D8" s="32"/>
      <c r="E8" s="92"/>
      <c r="F8" s="151"/>
      <c r="G8" s="151"/>
      <c r="H8" s="32"/>
      <c r="I8" s="2"/>
      <c r="J8" s="52">
        <f>J9</f>
        <v>556.41499999999996</v>
      </c>
      <c r="K8" s="10">
        <f>532+24</f>
        <v>556</v>
      </c>
      <c r="L8" s="10">
        <f t="shared" ref="L8" si="3">K8-J8</f>
        <v>-0.41499999999996362</v>
      </c>
    </row>
    <row r="9" spans="1:12" x14ac:dyDescent="0.25">
      <c r="A9" s="4" t="s">
        <v>656</v>
      </c>
      <c r="B9" s="4">
        <v>1</v>
      </c>
      <c r="C9" s="4">
        <v>7100</v>
      </c>
      <c r="D9" s="37">
        <f t="shared" ref="D9" si="4">B9*C9</f>
        <v>7100</v>
      </c>
      <c r="E9" s="39">
        <f>D9*0.1</f>
        <v>710</v>
      </c>
      <c r="F9" s="4">
        <v>2500</v>
      </c>
      <c r="G9" s="4">
        <v>0.18</v>
      </c>
      <c r="H9" s="37">
        <f t="shared" ref="H9" si="5">G9*B9</f>
        <v>0.18</v>
      </c>
      <c r="I9" s="4">
        <f>H9*$C$2</f>
        <v>1404</v>
      </c>
      <c r="J9" s="51">
        <f>(D9+E9+F9+I9)*$C$3</f>
        <v>556.41499999999996</v>
      </c>
      <c r="K9" s="6"/>
      <c r="L9" s="17"/>
    </row>
    <row r="10" spans="1:12" ht="31.5" x14ac:dyDescent="0.5">
      <c r="A10" s="152" t="s">
        <v>657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287.31166666666667</v>
      </c>
      <c r="K10" s="10">
        <v>290</v>
      </c>
      <c r="L10" s="10">
        <f t="shared" ref="L10" si="6">K10-J10</f>
        <v>2.6883333333333326</v>
      </c>
    </row>
    <row r="11" spans="1:12" x14ac:dyDescent="0.25">
      <c r="A11" s="4" t="s">
        <v>658</v>
      </c>
      <c r="B11" s="4">
        <v>1</v>
      </c>
      <c r="C11" s="4">
        <f>7900/2</f>
        <v>3950</v>
      </c>
      <c r="D11" s="37">
        <f t="shared" ref="D11" si="7">B11*C11</f>
        <v>3950</v>
      </c>
      <c r="E11" s="39">
        <f>D11*0.1</f>
        <v>395</v>
      </c>
      <c r="F11" s="4">
        <f>2500/6</f>
        <v>416.66666666666669</v>
      </c>
      <c r="G11" s="4">
        <f>0.33/2</f>
        <v>0.16500000000000001</v>
      </c>
      <c r="H11" s="37">
        <f t="shared" ref="H11" si="8">G11*B11</f>
        <v>0.16500000000000001</v>
      </c>
      <c r="I11" s="4">
        <f>H11*$C$2</f>
        <v>1287</v>
      </c>
      <c r="J11" s="51">
        <f>(D11+E11+F11+I11)*$C$3</f>
        <v>287.31166666666667</v>
      </c>
      <c r="K11" s="6"/>
      <c r="L11" s="17"/>
    </row>
    <row r="12" spans="1:12" ht="31.5" x14ac:dyDescent="0.5">
      <c r="A12" s="152" t="s">
        <v>659</v>
      </c>
      <c r="B12" s="151"/>
      <c r="C12" s="151"/>
      <c r="D12" s="32"/>
      <c r="E12" s="92"/>
      <c r="F12" s="151"/>
      <c r="G12" s="151"/>
      <c r="H12" s="32"/>
      <c r="I12" s="2"/>
      <c r="J12" s="52">
        <f>J13</f>
        <v>287.31166666666667</v>
      </c>
      <c r="K12" s="10">
        <v>290</v>
      </c>
      <c r="L12" s="10">
        <f t="shared" ref="L12" si="9">K12-J12</f>
        <v>2.6883333333333326</v>
      </c>
    </row>
    <row r="13" spans="1:12" x14ac:dyDescent="0.25">
      <c r="A13" s="4" t="s">
        <v>658</v>
      </c>
      <c r="B13" s="4">
        <v>1</v>
      </c>
      <c r="C13" s="4">
        <f>7900/2</f>
        <v>3950</v>
      </c>
      <c r="D13" s="37">
        <f t="shared" ref="D13" si="10">B13*C13</f>
        <v>3950</v>
      </c>
      <c r="E13" s="39">
        <f>D13*0.1</f>
        <v>395</v>
      </c>
      <c r="F13" s="4">
        <f>2500/6</f>
        <v>416.66666666666669</v>
      </c>
      <c r="G13" s="4">
        <f>0.33/2</f>
        <v>0.16500000000000001</v>
      </c>
      <c r="H13" s="37">
        <f t="shared" ref="H13" si="11">G13*B13</f>
        <v>0.16500000000000001</v>
      </c>
      <c r="I13" s="4">
        <f>H13*$C$2</f>
        <v>1287</v>
      </c>
      <c r="J13" s="51">
        <f>(D13+E13+F13+I13)*$C$3</f>
        <v>287.31166666666667</v>
      </c>
      <c r="K13" s="6"/>
      <c r="L13" s="17"/>
    </row>
    <row r="14" spans="1:12" ht="31.5" x14ac:dyDescent="0.5">
      <c r="A14" s="152" t="s">
        <v>660</v>
      </c>
      <c r="B14" s="151"/>
      <c r="C14" s="151"/>
      <c r="D14" s="32"/>
      <c r="E14" s="92"/>
      <c r="F14" s="151"/>
      <c r="G14" s="151"/>
      <c r="H14" s="32"/>
      <c r="I14" s="2"/>
      <c r="J14" s="52">
        <f>J15</f>
        <v>287.31166666666667</v>
      </c>
      <c r="K14" s="10">
        <v>290</v>
      </c>
      <c r="L14" s="10">
        <f t="shared" ref="L14" si="12">K14-J14</f>
        <v>2.6883333333333326</v>
      </c>
    </row>
    <row r="15" spans="1:12" x14ac:dyDescent="0.25">
      <c r="A15" s="4" t="s">
        <v>658</v>
      </c>
      <c r="B15" s="4">
        <v>1</v>
      </c>
      <c r="C15" s="4">
        <f>7900/2</f>
        <v>3950</v>
      </c>
      <c r="D15" s="37">
        <f t="shared" ref="D15" si="13">B15*C15</f>
        <v>3950</v>
      </c>
      <c r="E15" s="39">
        <f>D15*0.1</f>
        <v>395</v>
      </c>
      <c r="F15" s="4">
        <f>2500/6</f>
        <v>416.66666666666669</v>
      </c>
      <c r="G15" s="4">
        <f>0.33/2</f>
        <v>0.16500000000000001</v>
      </c>
      <c r="H15" s="37">
        <f t="shared" ref="H15" si="14">G15*B15</f>
        <v>0.16500000000000001</v>
      </c>
      <c r="I15" s="4">
        <f>H15*$C$2</f>
        <v>1287</v>
      </c>
      <c r="J15" s="51">
        <f>(D15+E15+F15+I15)*$C$3</f>
        <v>287.31166666666667</v>
      </c>
      <c r="K15" s="6"/>
      <c r="L15" s="17"/>
    </row>
    <row r="16" spans="1:12" ht="31.5" x14ac:dyDescent="0.5">
      <c r="A16" s="152" t="s">
        <v>661</v>
      </c>
      <c r="B16" s="151"/>
      <c r="C16" s="151"/>
      <c r="D16" s="32"/>
      <c r="E16" s="92"/>
      <c r="F16" s="151"/>
      <c r="G16" s="151"/>
      <c r="H16" s="32"/>
      <c r="I16" s="2"/>
      <c r="J16" s="52">
        <f>J17</f>
        <v>1457.0150000000001</v>
      </c>
      <c r="K16" s="10">
        <v>1592</v>
      </c>
      <c r="L16" s="10">
        <f t="shared" ref="L16" si="15">K16-J16</f>
        <v>134.9849999999999</v>
      </c>
    </row>
    <row r="17" spans="1:12" x14ac:dyDescent="0.25">
      <c r="A17" s="76" t="s">
        <v>662</v>
      </c>
      <c r="B17" s="4">
        <v>1</v>
      </c>
      <c r="C17" s="4">
        <v>25900</v>
      </c>
      <c r="D17" s="37">
        <f t="shared" ref="D17" si="16">B17*C17</f>
        <v>25900</v>
      </c>
      <c r="E17" s="39">
        <f>D17*0.1</f>
        <v>2590</v>
      </c>
      <c r="F17" s="4">
        <v>0</v>
      </c>
      <c r="G17" s="5">
        <v>0.28000000000000003</v>
      </c>
      <c r="H17" s="37">
        <f t="shared" ref="H17" si="17">G17*B17</f>
        <v>0.28000000000000003</v>
      </c>
      <c r="I17" s="4">
        <f>H17*$C$2</f>
        <v>2184</v>
      </c>
      <c r="J17" s="51">
        <f>(D17+E17+F17+I17)*$C$3</f>
        <v>1457.0150000000001</v>
      </c>
      <c r="K17" s="6"/>
      <c r="L17" s="17"/>
    </row>
    <row r="18" spans="1:12" ht="31.5" x14ac:dyDescent="0.5">
      <c r="A18" s="152" t="s">
        <v>663</v>
      </c>
      <c r="B18" s="151"/>
      <c r="C18" s="151"/>
      <c r="D18" s="32"/>
      <c r="E18" s="92"/>
      <c r="F18" s="151"/>
      <c r="G18" s="151"/>
      <c r="H18" s="32"/>
      <c r="I18" s="2"/>
      <c r="J18" s="52">
        <f>J19</f>
        <v>953.04</v>
      </c>
      <c r="K18" s="10">
        <v>1027</v>
      </c>
      <c r="L18" s="10">
        <f t="shared" ref="L18" si="18">K18-J18</f>
        <v>73.960000000000036</v>
      </c>
    </row>
    <row r="19" spans="1:12" x14ac:dyDescent="0.25">
      <c r="A19" s="4" t="s">
        <v>664</v>
      </c>
      <c r="B19" s="4">
        <v>1</v>
      </c>
      <c r="C19" s="4">
        <v>15900</v>
      </c>
      <c r="D19" s="37">
        <f t="shared" ref="D19" si="19">B19*C19</f>
        <v>15900</v>
      </c>
      <c r="E19" s="39">
        <f>D19*0.1</f>
        <v>1590</v>
      </c>
      <c r="F19" s="4">
        <v>0</v>
      </c>
      <c r="G19" s="5">
        <v>0.33</v>
      </c>
      <c r="H19" s="37">
        <f t="shared" ref="H19" si="20">G19*B19</f>
        <v>0.33</v>
      </c>
      <c r="I19" s="4">
        <f>H19*$C$2</f>
        <v>2574</v>
      </c>
      <c r="J19" s="51">
        <f>(D19+E19+F19+I19)*$C$3</f>
        <v>953.04</v>
      </c>
      <c r="K19" s="6"/>
      <c r="L19" s="17"/>
    </row>
    <row r="20" spans="1:12" ht="31.5" x14ac:dyDescent="0.5">
      <c r="A20" s="152" t="s">
        <v>604</v>
      </c>
      <c r="B20" s="151"/>
      <c r="C20" s="151"/>
      <c r="D20" s="32"/>
      <c r="E20" s="92"/>
      <c r="F20" s="151"/>
      <c r="G20" s="151"/>
      <c r="H20" s="32"/>
      <c r="I20" s="2"/>
      <c r="J20" s="52">
        <f>J21</f>
        <v>748.88499999999999</v>
      </c>
      <c r="K20" s="10">
        <v>746</v>
      </c>
      <c r="L20" s="10">
        <f t="shared" ref="L20" si="21">K20-J20</f>
        <v>-2.8849999999999909</v>
      </c>
    </row>
    <row r="21" spans="1:12" x14ac:dyDescent="0.25">
      <c r="A21" s="4" t="s">
        <v>57</v>
      </c>
      <c r="B21" s="4">
        <v>1</v>
      </c>
      <c r="C21" s="4">
        <v>10500</v>
      </c>
      <c r="D21" s="37">
        <f t="shared" ref="D21" si="22">B21*C21</f>
        <v>10500</v>
      </c>
      <c r="E21" s="39">
        <f>D21*0.1</f>
        <v>1050</v>
      </c>
      <c r="F21" s="4">
        <v>2500</v>
      </c>
      <c r="G21" s="4">
        <v>0.22</v>
      </c>
      <c r="H21" s="37">
        <f t="shared" ref="H21" si="23">G21*B21</f>
        <v>0.22</v>
      </c>
      <c r="I21" s="4">
        <f>H21*$C$2</f>
        <v>1716</v>
      </c>
      <c r="J21" s="51">
        <f>(D21+E21+F21+I21)*$C$3</f>
        <v>748.88499999999999</v>
      </c>
      <c r="K21" s="6"/>
      <c r="L21" s="17"/>
    </row>
    <row r="22" spans="1:12" ht="31.5" x14ac:dyDescent="0.5">
      <c r="A22" s="152" t="s">
        <v>382</v>
      </c>
      <c r="B22" s="151"/>
      <c r="C22" s="151"/>
      <c r="D22" s="32"/>
      <c r="E22" s="92"/>
      <c r="F22" s="151"/>
      <c r="G22" s="151"/>
      <c r="H22" s="32"/>
      <c r="I22" s="2"/>
      <c r="J22" s="52">
        <f>J23+J24</f>
        <v>1989.395</v>
      </c>
      <c r="K22" s="10">
        <v>2005</v>
      </c>
      <c r="L22" s="10">
        <f t="shared" ref="L22" si="24">K22-J22</f>
        <v>15.605000000000018</v>
      </c>
    </row>
    <row r="23" spans="1:12" x14ac:dyDescent="0.25">
      <c r="A23" s="4" t="s">
        <v>665</v>
      </c>
      <c r="B23" s="4">
        <v>1</v>
      </c>
      <c r="C23" s="4">
        <v>10900</v>
      </c>
      <c r="D23" s="37">
        <f t="shared" ref="D23:D24" si="25">B23*C23</f>
        <v>10900</v>
      </c>
      <c r="E23" s="39">
        <f>D23*0.1</f>
        <v>1090</v>
      </c>
      <c r="F23" s="4">
        <v>0</v>
      </c>
      <c r="G23" s="4">
        <v>0.22</v>
      </c>
      <c r="H23" s="37">
        <f>G23*B23</f>
        <v>0.22</v>
      </c>
      <c r="I23" s="4">
        <f>H23*$C$2</f>
        <v>1716</v>
      </c>
      <c r="J23" s="51">
        <f>(D23+E23+F23+I23)*$C$3</f>
        <v>651.03499999999997</v>
      </c>
      <c r="K23" s="6"/>
      <c r="L23" s="17"/>
    </row>
    <row r="24" spans="1:12" x14ac:dyDescent="0.25">
      <c r="A24" s="4" t="s">
        <v>666</v>
      </c>
      <c r="B24" s="188">
        <v>2</v>
      </c>
      <c r="C24" s="4">
        <v>9900</v>
      </c>
      <c r="D24" s="37">
        <f t="shared" si="25"/>
        <v>19800</v>
      </c>
      <c r="E24" s="39">
        <f>D24*0.1</f>
        <v>1980</v>
      </c>
      <c r="F24" s="4">
        <v>0</v>
      </c>
      <c r="G24" s="4">
        <v>0.41</v>
      </c>
      <c r="H24" s="37">
        <f>G24*B24</f>
        <v>0.82</v>
      </c>
      <c r="I24" s="4">
        <f>H24*$C$2</f>
        <v>6396</v>
      </c>
      <c r="J24" s="51">
        <f>(D24+E24+F24+I24)*$C$3</f>
        <v>1338.3600000000001</v>
      </c>
      <c r="K24" s="6"/>
      <c r="L24" s="17"/>
    </row>
    <row r="25" spans="1:12" ht="31.5" x14ac:dyDescent="0.5">
      <c r="A25" s="152" t="s">
        <v>667</v>
      </c>
      <c r="B25" s="151"/>
      <c r="C25" s="151"/>
      <c r="D25" s="32"/>
      <c r="E25" s="92"/>
      <c r="F25" s="151"/>
      <c r="G25" s="151"/>
      <c r="H25" s="32"/>
      <c r="I25" s="2"/>
      <c r="J25" s="52">
        <f>J26+J27</f>
        <v>1155.3266666666666</v>
      </c>
      <c r="K25" s="10">
        <f>1138+18</f>
        <v>1156</v>
      </c>
      <c r="L25" s="10">
        <f t="shared" ref="L25" si="26">K25-J25</f>
        <v>0.67333333333340306</v>
      </c>
    </row>
    <row r="26" spans="1:12" x14ac:dyDescent="0.25">
      <c r="A26" s="4" t="s">
        <v>166</v>
      </c>
      <c r="B26" s="4">
        <v>1</v>
      </c>
      <c r="C26" s="4">
        <v>12000</v>
      </c>
      <c r="D26" s="37">
        <f t="shared" ref="D26:D27" si="27">B26*C26</f>
        <v>12000</v>
      </c>
      <c r="E26" s="39">
        <f>D26*0.1</f>
        <v>1200</v>
      </c>
      <c r="F26" s="4">
        <v>2500</v>
      </c>
      <c r="G26" s="4">
        <v>0.33</v>
      </c>
      <c r="H26" s="37">
        <f>G26*B26</f>
        <v>0.33</v>
      </c>
      <c r="I26" s="4">
        <f>H26*$C$2</f>
        <v>2574</v>
      </c>
      <c r="J26" s="51">
        <f>(D26+E26+F26+I26)*$C$3</f>
        <v>868.01499999999999</v>
      </c>
      <c r="K26" s="6"/>
      <c r="L26" s="17"/>
    </row>
    <row r="27" spans="1:12" x14ac:dyDescent="0.25">
      <c r="A27" s="4" t="s">
        <v>658</v>
      </c>
      <c r="B27" s="4">
        <v>1</v>
      </c>
      <c r="C27" s="4">
        <f>7900/2</f>
        <v>3950</v>
      </c>
      <c r="D27" s="37">
        <f t="shared" si="27"/>
        <v>3950</v>
      </c>
      <c r="E27" s="39">
        <f>D27*0.1</f>
        <v>395</v>
      </c>
      <c r="F27" s="4">
        <f>2500/6</f>
        <v>416.66666666666669</v>
      </c>
      <c r="G27" s="4">
        <f>0.33/2</f>
        <v>0.16500000000000001</v>
      </c>
      <c r="H27" s="37">
        <f>G27*B27</f>
        <v>0.16500000000000001</v>
      </c>
      <c r="I27" s="4">
        <f>H27*$C$2</f>
        <v>1287</v>
      </c>
      <c r="J27" s="51">
        <f>(D27+E27+F27+I27)*$C$3</f>
        <v>287.31166666666667</v>
      </c>
      <c r="K27" s="6"/>
      <c r="L27" s="17"/>
    </row>
    <row r="28" spans="1:12" ht="31.5" x14ac:dyDescent="0.5">
      <c r="A28" s="152" t="s">
        <v>500</v>
      </c>
      <c r="B28" s="151"/>
      <c r="C28" s="151"/>
      <c r="D28" s="32"/>
      <c r="E28" s="92"/>
      <c r="F28" s="151"/>
      <c r="G28" s="151"/>
      <c r="H28" s="32"/>
      <c r="I28" s="2"/>
      <c r="J28" s="52">
        <f>J29+J30</f>
        <v>5866.915</v>
      </c>
      <c r="K28" s="10">
        <v>6026</v>
      </c>
      <c r="L28" s="10">
        <f t="shared" ref="L28" si="28">K28-J28</f>
        <v>159.08500000000004</v>
      </c>
    </row>
    <row r="29" spans="1:12" x14ac:dyDescent="0.25">
      <c r="A29" s="4" t="s">
        <v>668</v>
      </c>
      <c r="B29" s="188">
        <v>7</v>
      </c>
      <c r="C29" s="4">
        <v>9900</v>
      </c>
      <c r="D29" s="37">
        <f t="shared" ref="D29:D30" si="29">B29*C29</f>
        <v>69300</v>
      </c>
      <c r="E29" s="39">
        <f>D29*0.1</f>
        <v>6930</v>
      </c>
      <c r="F29" s="4">
        <v>2500</v>
      </c>
      <c r="G29" s="5">
        <v>0.22</v>
      </c>
      <c r="H29" s="37">
        <f>G29*B29</f>
        <v>1.54</v>
      </c>
      <c r="I29" s="4">
        <f>H29*$C$2</f>
        <v>12012</v>
      </c>
      <c r="J29" s="51">
        <f>(D29+E29+F29+I29)*$C$3</f>
        <v>4310.2449999999999</v>
      </c>
      <c r="K29" s="6"/>
      <c r="L29" s="17"/>
    </row>
    <row r="30" spans="1:12" x14ac:dyDescent="0.25">
      <c r="A30" s="4" t="s">
        <v>669</v>
      </c>
      <c r="B30" s="188">
        <v>2</v>
      </c>
      <c r="C30" s="4">
        <v>14400</v>
      </c>
      <c r="D30" s="37">
        <f t="shared" si="29"/>
        <v>28800</v>
      </c>
      <c r="E30" s="39">
        <f>D30*0.1</f>
        <v>2880</v>
      </c>
      <c r="F30" s="4">
        <v>0</v>
      </c>
      <c r="G30" s="5">
        <v>7.0000000000000007E-2</v>
      </c>
      <c r="H30" s="37">
        <f>G30*B30</f>
        <v>0.14000000000000001</v>
      </c>
      <c r="I30" s="4">
        <f>H30*$C$2</f>
        <v>1092</v>
      </c>
      <c r="J30" s="51">
        <f>(D30+E30+F30+I30)*$C$3</f>
        <v>1556.67</v>
      </c>
      <c r="K30" s="6"/>
      <c r="L30" s="17"/>
    </row>
    <row r="31" spans="1:12" ht="31.5" x14ac:dyDescent="0.5">
      <c r="A31" s="152" t="s">
        <v>331</v>
      </c>
      <c r="B31" s="151"/>
      <c r="C31" s="151"/>
      <c r="D31" s="32"/>
      <c r="E31" s="92"/>
      <c r="F31" s="151"/>
      <c r="G31" s="151"/>
      <c r="H31" s="32"/>
      <c r="I31" s="2"/>
      <c r="J31" s="52">
        <f>J32+J33</f>
        <v>1649.1208333333334</v>
      </c>
      <c r="K31" s="10">
        <v>1553</v>
      </c>
      <c r="L31" s="10">
        <f t="shared" ref="L31" si="30">K31-J31</f>
        <v>-96.120833333333394</v>
      </c>
    </row>
    <row r="32" spans="1:12" ht="48.75" customHeight="1" x14ac:dyDescent="0.25">
      <c r="A32" s="187" t="s">
        <v>670</v>
      </c>
      <c r="B32" s="188">
        <v>4</v>
      </c>
      <c r="C32" s="4">
        <v>6000</v>
      </c>
      <c r="D32" s="37">
        <f t="shared" ref="D32:D33" si="31">B32*C32</f>
        <v>24000</v>
      </c>
      <c r="E32" s="39">
        <f>D32*0.1</f>
        <v>2400</v>
      </c>
      <c r="F32" s="4">
        <v>0</v>
      </c>
      <c r="G32" s="5">
        <v>0.17</v>
      </c>
      <c r="H32" s="37">
        <f>G32*B32</f>
        <v>0.68</v>
      </c>
      <c r="I32" s="4">
        <f>H32*$C$2</f>
        <v>5304</v>
      </c>
      <c r="J32" s="51">
        <f>(D32+E32+F32+I32)*$C$3</f>
        <v>1505.94</v>
      </c>
      <c r="K32" s="6"/>
      <c r="L32" s="17"/>
    </row>
    <row r="33" spans="1:12" x14ac:dyDescent="0.25">
      <c r="A33" s="4" t="s">
        <v>671</v>
      </c>
      <c r="B33" s="4">
        <v>1</v>
      </c>
      <c r="C33" s="4">
        <v>990</v>
      </c>
      <c r="D33" s="37">
        <f t="shared" si="31"/>
        <v>990</v>
      </c>
      <c r="E33" s="39">
        <f>D33*0.1</f>
        <v>99</v>
      </c>
      <c r="F33" s="4">
        <f>2500/3</f>
        <v>833.33333333333337</v>
      </c>
      <c r="G33" s="4">
        <v>0.14000000000000001</v>
      </c>
      <c r="H33" s="37">
        <f>G33*B33</f>
        <v>0.14000000000000001</v>
      </c>
      <c r="I33" s="4">
        <f>H33*$C$2</f>
        <v>1092</v>
      </c>
      <c r="J33" s="51">
        <f>(D33+E33+F33+I33)*$C$3</f>
        <v>143.18083333333334</v>
      </c>
      <c r="K33" s="6"/>
      <c r="L33" s="17"/>
    </row>
    <row r="34" spans="1:12" ht="31.5" x14ac:dyDescent="0.5">
      <c r="A34" s="152" t="s">
        <v>354</v>
      </c>
      <c r="B34" s="151"/>
      <c r="C34" s="151"/>
      <c r="D34" s="32"/>
      <c r="E34" s="92"/>
      <c r="F34" s="151"/>
      <c r="G34" s="151"/>
      <c r="H34" s="32"/>
      <c r="I34" s="2"/>
      <c r="J34" s="52">
        <f>SUM(J35:J36)</f>
        <v>1604.3600000000001</v>
      </c>
      <c r="K34" s="10">
        <v>2219</v>
      </c>
      <c r="L34" s="10">
        <f t="shared" ref="L34" si="32">K34-J34</f>
        <v>614.63999999999987</v>
      </c>
    </row>
    <row r="35" spans="1:12" x14ac:dyDescent="0.25">
      <c r="A35" s="18" t="s">
        <v>702</v>
      </c>
      <c r="B35" s="4">
        <v>1</v>
      </c>
      <c r="C35" s="4"/>
      <c r="D35" s="37">
        <f t="shared" ref="D35:D36" si="33">B35*C35</f>
        <v>0</v>
      </c>
      <c r="E35" s="39">
        <f t="shared" ref="E35:E36" si="34">D35*0.1</f>
        <v>0</v>
      </c>
      <c r="F35" s="4">
        <v>0</v>
      </c>
      <c r="G35" s="4"/>
      <c r="H35" s="37">
        <f t="shared" ref="H35:H40" si="35">G35*B35</f>
        <v>0</v>
      </c>
      <c r="I35" s="4">
        <f t="shared" ref="I35:I36" si="36">H35*$C$2</f>
        <v>0</v>
      </c>
      <c r="J35" s="51">
        <f t="shared" ref="J35:J36" si="37">(D35+E35+F35+I35)*$C$3</f>
        <v>0</v>
      </c>
      <c r="K35" s="6"/>
      <c r="L35" s="17"/>
    </row>
    <row r="36" spans="1:12" x14ac:dyDescent="0.25">
      <c r="A36" s="4" t="s">
        <v>672</v>
      </c>
      <c r="B36" s="188">
        <v>2</v>
      </c>
      <c r="C36" s="4">
        <v>12800</v>
      </c>
      <c r="D36" s="37">
        <f t="shared" si="33"/>
        <v>25600</v>
      </c>
      <c r="E36" s="39">
        <f t="shared" si="34"/>
        <v>2560</v>
      </c>
      <c r="F36" s="4">
        <v>0</v>
      </c>
      <c r="G36" s="4">
        <v>0.36</v>
      </c>
      <c r="H36" s="37">
        <f t="shared" si="35"/>
        <v>0.72</v>
      </c>
      <c r="I36" s="4">
        <f t="shared" si="36"/>
        <v>5616</v>
      </c>
      <c r="J36" s="51">
        <f t="shared" si="37"/>
        <v>1604.3600000000001</v>
      </c>
      <c r="K36" s="6"/>
      <c r="L36" s="17"/>
    </row>
    <row r="37" spans="1:12" ht="31.5" x14ac:dyDescent="0.5">
      <c r="A37" s="152" t="s">
        <v>2</v>
      </c>
      <c r="B37" s="151"/>
      <c r="C37" s="151"/>
      <c r="D37" s="32"/>
      <c r="E37" s="92"/>
      <c r="F37" s="151"/>
      <c r="G37" s="151"/>
      <c r="H37" s="32"/>
      <c r="I37" s="2"/>
      <c r="J37" s="52">
        <f>SUM(J38:J40)</f>
        <v>1662.0408333333335</v>
      </c>
      <c r="K37" s="10">
        <f>1450+212</f>
        <v>1662</v>
      </c>
      <c r="L37" s="10">
        <f t="shared" ref="L37" si="38">K37-J37</f>
        <v>-4.0833333333466726E-2</v>
      </c>
    </row>
    <row r="38" spans="1:12" x14ac:dyDescent="0.25">
      <c r="A38" s="4" t="s">
        <v>673</v>
      </c>
      <c r="B38" s="188">
        <v>2</v>
      </c>
      <c r="C38" s="4">
        <v>3000</v>
      </c>
      <c r="D38" s="37">
        <f t="shared" ref="D38:D40" si="39">B38*C38</f>
        <v>6000</v>
      </c>
      <c r="E38" s="39">
        <f>D38*0.1</f>
        <v>600</v>
      </c>
      <c r="F38" s="4">
        <v>2500</v>
      </c>
      <c r="G38" s="4">
        <v>0.06</v>
      </c>
      <c r="H38" s="37">
        <f t="shared" si="35"/>
        <v>0.12</v>
      </c>
      <c r="I38" s="4">
        <f>H38*$C$2</f>
        <v>936</v>
      </c>
      <c r="J38" s="51">
        <f>(D38+E38+F38+I38)*$C$3</f>
        <v>476.71</v>
      </c>
      <c r="K38" s="6"/>
      <c r="L38" s="17"/>
    </row>
    <row r="39" spans="1:12" x14ac:dyDescent="0.25">
      <c r="A39" s="4" t="s">
        <v>674</v>
      </c>
      <c r="B39" s="4">
        <v>1</v>
      </c>
      <c r="C39" s="4">
        <v>12000</v>
      </c>
      <c r="D39" s="37">
        <f t="shared" si="39"/>
        <v>12000</v>
      </c>
      <c r="E39" s="39">
        <f>D39*0.1</f>
        <v>1200</v>
      </c>
      <c r="F39" s="4">
        <v>2500</v>
      </c>
      <c r="G39" s="5">
        <v>0.8</v>
      </c>
      <c r="H39" s="37">
        <f t="shared" si="35"/>
        <v>0.8</v>
      </c>
      <c r="I39" s="4">
        <f>H39*$C$2</f>
        <v>6240</v>
      </c>
      <c r="J39" s="51">
        <f>(D39+E39+F39+I39)*$C$3</f>
        <v>1042.1500000000001</v>
      </c>
      <c r="K39" s="6"/>
      <c r="L39" s="17"/>
    </row>
    <row r="40" spans="1:12" x14ac:dyDescent="0.25">
      <c r="A40" s="4" t="s">
        <v>671</v>
      </c>
      <c r="B40" s="4">
        <v>1</v>
      </c>
      <c r="C40" s="4">
        <v>990</v>
      </c>
      <c r="D40" s="37">
        <f t="shared" si="39"/>
        <v>990</v>
      </c>
      <c r="E40" s="39">
        <f>D40*0.1</f>
        <v>99</v>
      </c>
      <c r="F40" s="4">
        <f>2500/3</f>
        <v>833.33333333333337</v>
      </c>
      <c r="G40" s="4">
        <v>0.14000000000000001</v>
      </c>
      <c r="H40" s="37">
        <f t="shared" si="35"/>
        <v>0.14000000000000001</v>
      </c>
      <c r="I40" s="4">
        <f>H40*$C$2</f>
        <v>1092</v>
      </c>
      <c r="J40" s="51">
        <f>(D40+E40+F40+I40)*$C$3</f>
        <v>143.18083333333334</v>
      </c>
      <c r="K40" s="6"/>
      <c r="L40" s="17"/>
    </row>
    <row r="41" spans="1:12" ht="31.5" x14ac:dyDescent="0.5">
      <c r="A41" s="152" t="s">
        <v>675</v>
      </c>
      <c r="B41" s="151"/>
      <c r="C41" s="151"/>
      <c r="D41" s="32"/>
      <c r="E41" s="92"/>
      <c r="F41" s="151"/>
      <c r="G41" s="151"/>
      <c r="H41" s="32"/>
      <c r="I41" s="2"/>
      <c r="J41" s="52">
        <f>SUM(J42:J44)</f>
        <v>4470.6050000000005</v>
      </c>
      <c r="K41" s="10">
        <v>5608</v>
      </c>
      <c r="L41" s="10">
        <f t="shared" ref="L41" si="40">K41-J41</f>
        <v>1137.3949999999995</v>
      </c>
    </row>
    <row r="42" spans="1:12" x14ac:dyDescent="0.25">
      <c r="A42" s="18" t="s">
        <v>703</v>
      </c>
      <c r="B42" s="188">
        <v>2</v>
      </c>
      <c r="C42" s="4">
        <v>12500</v>
      </c>
      <c r="D42" s="37">
        <f t="shared" ref="D42:D44" si="41">B42*C42</f>
        <v>25000</v>
      </c>
      <c r="E42" s="39">
        <f>D42*0.1</f>
        <v>2500</v>
      </c>
      <c r="F42" s="4">
        <v>2500</v>
      </c>
      <c r="G42" s="5">
        <v>2.44</v>
      </c>
      <c r="H42" s="37">
        <f t="shared" ref="H42:H44" si="42">G42*B42</f>
        <v>4.88</v>
      </c>
      <c r="I42" s="4">
        <f>H42*$C$2</f>
        <v>38064</v>
      </c>
      <c r="J42" s="51">
        <f>(D42+E42+F42+I42)*$C$3</f>
        <v>3233.04</v>
      </c>
      <c r="K42" s="6"/>
      <c r="L42" s="17"/>
    </row>
    <row r="43" spans="1:12" x14ac:dyDescent="0.25">
      <c r="A43" t="s">
        <v>676</v>
      </c>
      <c r="B43" s="188">
        <v>2</v>
      </c>
      <c r="C43" s="4">
        <v>2200</v>
      </c>
      <c r="D43" s="37">
        <f t="shared" si="41"/>
        <v>4400</v>
      </c>
      <c r="E43" s="39">
        <f>D43*0.1</f>
        <v>440</v>
      </c>
      <c r="F43" s="4">
        <v>2500</v>
      </c>
      <c r="G43" s="4">
        <v>0.09</v>
      </c>
      <c r="H43" s="37">
        <f t="shared" si="42"/>
        <v>0.18</v>
      </c>
      <c r="I43" s="4">
        <f>H43*$C$2</f>
        <v>1404</v>
      </c>
      <c r="J43" s="51">
        <f>(D43+E43+F43+I43)*$C$3</f>
        <v>415.34000000000003</v>
      </c>
      <c r="K43" s="6"/>
      <c r="L43" s="17"/>
    </row>
    <row r="44" spans="1:12" x14ac:dyDescent="0.25">
      <c r="A44" s="4" t="s">
        <v>677</v>
      </c>
      <c r="B44" s="4">
        <v>1</v>
      </c>
      <c r="C44" s="4">
        <v>8500</v>
      </c>
      <c r="D44" s="37">
        <f t="shared" si="41"/>
        <v>8500</v>
      </c>
      <c r="E44" s="39">
        <f>D44*0.1</f>
        <v>850</v>
      </c>
      <c r="F44" s="4">
        <v>2500</v>
      </c>
      <c r="G44" s="4">
        <v>0.7</v>
      </c>
      <c r="H44" s="37">
        <f t="shared" si="42"/>
        <v>0.7</v>
      </c>
      <c r="I44" s="4">
        <f>H44*$C$2</f>
        <v>5460</v>
      </c>
      <c r="J44" s="51">
        <f>(D44+E44+F44+I44)*$C$3</f>
        <v>822.22500000000002</v>
      </c>
      <c r="K44" s="6"/>
      <c r="L44" s="17"/>
    </row>
  </sheetData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1"/>
  <sheetViews>
    <sheetView topLeftCell="A7" zoomScale="70" zoomScaleNormal="70" workbookViewId="0">
      <selection activeCell="A18" sqref="A18:L20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42167</v>
      </c>
      <c r="D1" s="30"/>
    </row>
    <row r="2" spans="1:12" ht="21" x14ac:dyDescent="0.35">
      <c r="A2" s="55" t="s">
        <v>239</v>
      </c>
      <c r="B2" s="4"/>
      <c r="C2" s="16">
        <v>7650</v>
      </c>
      <c r="D2" s="30"/>
    </row>
    <row r="3" spans="1:12" ht="21" x14ac:dyDescent="0.35">
      <c r="A3" s="55" t="s">
        <v>240</v>
      </c>
      <c r="B3" s="4"/>
      <c r="C3" s="170">
        <v>5.0500000000000003E-2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382</v>
      </c>
      <c r="B6" s="151"/>
      <c r="C6" s="151"/>
      <c r="D6" s="32"/>
      <c r="E6" s="92"/>
      <c r="F6" s="177"/>
      <c r="G6" s="124"/>
      <c r="H6" s="32"/>
      <c r="I6" s="2"/>
      <c r="J6" s="52">
        <f>J7</f>
        <v>751.03600000000006</v>
      </c>
      <c r="K6" s="10">
        <f>729+20</f>
        <v>749</v>
      </c>
      <c r="L6" s="10">
        <f t="shared" ref="L6" si="0">K6-J6</f>
        <v>-2.0360000000000582</v>
      </c>
    </row>
    <row r="7" spans="1:12" x14ac:dyDescent="0.25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2500</v>
      </c>
      <c r="G7" s="4">
        <v>0.28000000000000003</v>
      </c>
      <c r="H7" s="37">
        <f t="shared" ref="H7" si="2">G7*B7</f>
        <v>0.28000000000000003</v>
      </c>
      <c r="I7" s="4">
        <f>H7*$C$2</f>
        <v>2142</v>
      </c>
      <c r="J7" s="51">
        <f>(D7+E7+F7+I7)*$C$3</f>
        <v>751.03600000000006</v>
      </c>
      <c r="K7" s="6"/>
      <c r="L7" s="17"/>
    </row>
    <row r="8" spans="1:12" ht="31.5" x14ac:dyDescent="0.5">
      <c r="A8" s="152" t="s">
        <v>680</v>
      </c>
      <c r="B8" s="151"/>
      <c r="C8" s="151"/>
      <c r="D8" s="32"/>
      <c r="E8" s="92"/>
      <c r="F8" s="151"/>
      <c r="G8" s="151"/>
      <c r="H8" s="32"/>
      <c r="I8" s="2"/>
      <c r="J8" s="52">
        <f>J9</f>
        <v>762.04500000000007</v>
      </c>
      <c r="K8" s="10">
        <v>773</v>
      </c>
      <c r="L8" s="10">
        <f t="shared" ref="L8" si="3">K8-J8</f>
        <v>10.954999999999927</v>
      </c>
    </row>
    <row r="9" spans="1:12" x14ac:dyDescent="0.25">
      <c r="A9" s="21" t="s">
        <v>681</v>
      </c>
      <c r="B9" s="4">
        <v>1</v>
      </c>
      <c r="C9" s="4">
        <v>9800</v>
      </c>
      <c r="D9" s="37">
        <f t="shared" ref="D9" si="4">B9*C9</f>
        <v>9800</v>
      </c>
      <c r="E9" s="39">
        <f>D9*0.1</f>
        <v>980</v>
      </c>
      <c r="F9" s="4">
        <f>2500/2</f>
        <v>1250</v>
      </c>
      <c r="G9" s="4">
        <v>0.4</v>
      </c>
      <c r="H9" s="37">
        <f t="shared" ref="H9" si="5">G9*B9</f>
        <v>0.4</v>
      </c>
      <c r="I9" s="4">
        <f>H9*$C$2</f>
        <v>3060</v>
      </c>
      <c r="J9" s="51">
        <f>(D9+E9+F9+I9)*$C$3</f>
        <v>762.04500000000007</v>
      </c>
      <c r="K9" s="6"/>
      <c r="L9" s="17"/>
    </row>
    <row r="10" spans="1:12" ht="31.5" x14ac:dyDescent="0.5">
      <c r="A10" s="152" t="s">
        <v>500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3300.9325000000003</v>
      </c>
      <c r="K10" s="10">
        <v>3342</v>
      </c>
      <c r="L10" s="10">
        <f t="shared" ref="L10" si="6">K10-J10</f>
        <v>41.067499999999654</v>
      </c>
    </row>
    <row r="11" spans="1:12" x14ac:dyDescent="0.25">
      <c r="A11" s="4" t="s">
        <v>668</v>
      </c>
      <c r="B11" s="4">
        <v>5</v>
      </c>
      <c r="C11" s="4">
        <v>9900</v>
      </c>
      <c r="D11" s="37">
        <f t="shared" ref="D11" si="7">B11*C11</f>
        <v>49500</v>
      </c>
      <c r="E11" s="39">
        <f>D11*0.1</f>
        <v>4950</v>
      </c>
      <c r="F11" s="4">
        <v>2500</v>
      </c>
      <c r="G11" s="5">
        <v>0.22</v>
      </c>
      <c r="H11" s="37">
        <f t="shared" ref="H11" si="8">G11*B11</f>
        <v>1.1000000000000001</v>
      </c>
      <c r="I11" s="4">
        <f>H11*$C$2</f>
        <v>8415</v>
      </c>
      <c r="J11" s="51">
        <f>(D11+E11+F11+I11)*$C$3</f>
        <v>3300.9325000000003</v>
      </c>
      <c r="K11" s="6"/>
      <c r="L11" s="17"/>
    </row>
    <row r="12" spans="1:12" ht="31.5" x14ac:dyDescent="0.5">
      <c r="A12" s="152" t="s">
        <v>682</v>
      </c>
      <c r="B12" s="190"/>
      <c r="C12" s="151"/>
      <c r="D12" s="32"/>
      <c r="E12" s="92"/>
      <c r="F12" s="151"/>
      <c r="G12" s="151"/>
      <c r="H12" s="32"/>
      <c r="I12" s="2"/>
      <c r="J12" s="52">
        <f>J13+J14</f>
        <v>2047.1437500000002</v>
      </c>
      <c r="K12" s="10">
        <f>1980+67</f>
        <v>2047</v>
      </c>
      <c r="L12" s="10">
        <f t="shared" ref="L12" si="9">K12-J12</f>
        <v>-0.1437500000001819</v>
      </c>
    </row>
    <row r="13" spans="1:12" x14ac:dyDescent="0.25">
      <c r="A13" s="4" t="s">
        <v>683</v>
      </c>
      <c r="B13" s="4">
        <v>1</v>
      </c>
      <c r="C13" s="4">
        <v>14000</v>
      </c>
      <c r="D13" s="37">
        <f t="shared" ref="D13:D14" si="10">B13*C13</f>
        <v>14000</v>
      </c>
      <c r="E13" s="39">
        <f>D13*0.1</f>
        <v>1400</v>
      </c>
      <c r="F13" s="4">
        <v>2500</v>
      </c>
      <c r="G13" s="4">
        <v>1.35</v>
      </c>
      <c r="H13" s="37">
        <f>G13*B13</f>
        <v>1.35</v>
      </c>
      <c r="I13" s="4">
        <f>H13*$C$2</f>
        <v>10327.5</v>
      </c>
      <c r="J13" s="51">
        <f>(D13+E13+F13+I13)*$C$3</f>
        <v>1425.48875</v>
      </c>
      <c r="K13" s="6"/>
      <c r="L13" s="17"/>
    </row>
    <row r="14" spans="1:12" x14ac:dyDescent="0.25">
      <c r="A14" s="17" t="s">
        <v>700</v>
      </c>
      <c r="B14" s="71">
        <v>2</v>
      </c>
      <c r="C14" s="4">
        <v>4900</v>
      </c>
      <c r="D14" s="37">
        <f t="shared" si="10"/>
        <v>9800</v>
      </c>
      <c r="E14" s="39">
        <f>D14*0.1</f>
        <v>980</v>
      </c>
      <c r="F14" s="4">
        <v>0</v>
      </c>
      <c r="G14" s="4">
        <v>0.1</v>
      </c>
      <c r="H14" s="37">
        <f>G14*B14</f>
        <v>0.2</v>
      </c>
      <c r="I14" s="4">
        <f>H14*$C$2</f>
        <v>1530</v>
      </c>
      <c r="J14" s="51">
        <f>(D14+E14+F14+I14)*$C$3</f>
        <v>621.65500000000009</v>
      </c>
      <c r="K14" s="6"/>
      <c r="L14" s="17"/>
    </row>
    <row r="15" spans="1:12" ht="31.5" x14ac:dyDescent="0.5">
      <c r="A15" s="152" t="s">
        <v>487</v>
      </c>
      <c r="B15" s="151"/>
      <c r="C15" s="151"/>
      <c r="D15" s="32"/>
      <c r="E15" s="92"/>
      <c r="F15" s="151"/>
      <c r="G15" s="151"/>
      <c r="H15" s="32"/>
      <c r="I15" s="2"/>
      <c r="J15" s="52">
        <f>J16+J17</f>
        <v>1028.1210833333334</v>
      </c>
      <c r="K15" s="10">
        <v>1028</v>
      </c>
      <c r="L15" s="10">
        <f t="shared" ref="L15" si="11">K15-J15</f>
        <v>-0.1210833333334449</v>
      </c>
    </row>
    <row r="16" spans="1:12" x14ac:dyDescent="0.25">
      <c r="A16" s="21" t="s">
        <v>684</v>
      </c>
      <c r="B16" s="4">
        <v>1</v>
      </c>
      <c r="C16" s="5">
        <f>11900/3</f>
        <v>3966.6666666666665</v>
      </c>
      <c r="D16" s="37">
        <f t="shared" ref="D16:D17" si="12">B16*C16</f>
        <v>3966.6666666666665</v>
      </c>
      <c r="E16" s="39">
        <f>D16*0.1</f>
        <v>396.66666666666669</v>
      </c>
      <c r="F16" s="5">
        <v>0</v>
      </c>
      <c r="G16" s="5">
        <f>0.25/3</f>
        <v>8.3333333333333329E-2</v>
      </c>
      <c r="H16" s="37">
        <f>G16*B16</f>
        <v>8.3333333333333329E-2</v>
      </c>
      <c r="I16" s="4">
        <f>H16*$C$2</f>
        <v>637.5</v>
      </c>
      <c r="J16" s="51">
        <f>(D16+E16+F16+I16)*$C$3</f>
        <v>252.54208333333332</v>
      </c>
      <c r="K16" s="6"/>
      <c r="L16" s="17"/>
    </row>
    <row r="17" spans="1:13" x14ac:dyDescent="0.25">
      <c r="A17" s="21" t="s">
        <v>685</v>
      </c>
      <c r="B17" s="4">
        <v>1</v>
      </c>
      <c r="C17" s="4">
        <v>4480</v>
      </c>
      <c r="D17" s="37">
        <f t="shared" si="12"/>
        <v>4480</v>
      </c>
      <c r="E17" s="39">
        <f>D17*0.1</f>
        <v>448</v>
      </c>
      <c r="F17" s="4">
        <f>2500/2</f>
        <v>1250</v>
      </c>
      <c r="G17" s="4">
        <v>1.2</v>
      </c>
      <c r="H17" s="37">
        <f>G17*B17</f>
        <v>1.2</v>
      </c>
      <c r="I17" s="4">
        <f>H17*$C$2</f>
        <v>9180</v>
      </c>
      <c r="J17" s="51">
        <f>(D17+E17+F17+I17)*$C$3</f>
        <v>775.57900000000006</v>
      </c>
      <c r="K17" s="6"/>
      <c r="L17" s="17"/>
    </row>
    <row r="18" spans="1:13" ht="31.5" x14ac:dyDescent="0.5">
      <c r="A18" s="152" t="s">
        <v>2</v>
      </c>
      <c r="B18" s="151"/>
      <c r="C18" s="151"/>
      <c r="D18" s="32"/>
      <c r="E18" s="92"/>
      <c r="F18" s="151"/>
      <c r="G18" s="151"/>
      <c r="H18" s="32"/>
      <c r="I18" s="2"/>
      <c r="J18" s="52">
        <f>J19+J20</f>
        <v>2554.29</v>
      </c>
      <c r="K18" s="10">
        <f>2885-346</f>
        <v>2539</v>
      </c>
      <c r="L18" s="10">
        <f t="shared" ref="L18" si="13">K18-J18</f>
        <v>-15.289999999999964</v>
      </c>
      <c r="M18" t="s">
        <v>701</v>
      </c>
    </row>
    <row r="19" spans="1:13" x14ac:dyDescent="0.25">
      <c r="A19" s="17" t="s">
        <v>686</v>
      </c>
      <c r="B19" s="4">
        <v>1</v>
      </c>
      <c r="C19" s="4">
        <v>16200</v>
      </c>
      <c r="D19" s="37">
        <f t="shared" ref="D19:D20" si="14">B19*C19</f>
        <v>16200</v>
      </c>
      <c r="E19" s="39">
        <f>D19*0.1</f>
        <v>1620</v>
      </c>
      <c r="F19" s="4">
        <v>0</v>
      </c>
      <c r="G19" s="4">
        <v>0.2</v>
      </c>
      <c r="H19" s="37">
        <f>G19*B19</f>
        <v>0.2</v>
      </c>
      <c r="I19" s="4">
        <f>H19*$C$2</f>
        <v>1530</v>
      </c>
      <c r="J19" s="51">
        <f>(D19+E19+F19+I19)*$C$3</f>
        <v>977.17500000000007</v>
      </c>
      <c r="K19" s="6"/>
      <c r="L19" s="17"/>
    </row>
    <row r="20" spans="1:13" x14ac:dyDescent="0.25">
      <c r="A20" s="4" t="s">
        <v>687</v>
      </c>
      <c r="B20" s="4">
        <v>1</v>
      </c>
      <c r="C20" s="4">
        <v>27000</v>
      </c>
      <c r="D20" s="37">
        <f t="shared" si="14"/>
        <v>27000</v>
      </c>
      <c r="E20" s="39">
        <f>D20*0.1</f>
        <v>2700</v>
      </c>
      <c r="F20" s="4">
        <v>0</v>
      </c>
      <c r="G20" s="4">
        <v>0.2</v>
      </c>
      <c r="H20" s="37">
        <f>G20*B20</f>
        <v>0.2</v>
      </c>
      <c r="I20" s="4">
        <f>H20*$C$2</f>
        <v>1530</v>
      </c>
      <c r="J20" s="51">
        <f>(D20+E20+F20+I20)*$C$3</f>
        <v>1577.115</v>
      </c>
      <c r="K20" s="6"/>
      <c r="L20" s="17"/>
    </row>
    <row r="21" spans="1:13" ht="31.5" x14ac:dyDescent="0.5">
      <c r="A21" s="152" t="s">
        <v>688</v>
      </c>
      <c r="B21" s="190"/>
      <c r="C21" s="151"/>
      <c r="D21" s="32"/>
      <c r="E21" s="92"/>
      <c r="F21" s="151"/>
      <c r="G21" s="151"/>
      <c r="H21" s="32"/>
      <c r="I21" s="2"/>
      <c r="J21" s="52">
        <f>SUM(J22:J25)</f>
        <v>1843.4014999999999</v>
      </c>
      <c r="K21" s="10">
        <f>1827+16</f>
        <v>1843</v>
      </c>
      <c r="L21" s="10">
        <f t="shared" ref="L21" si="15">K21-J21</f>
        <v>-0.40149999999994179</v>
      </c>
    </row>
    <row r="22" spans="1:13" x14ac:dyDescent="0.25">
      <c r="A22" s="4" t="s">
        <v>689</v>
      </c>
      <c r="B22" s="4">
        <v>1</v>
      </c>
      <c r="C22" s="4">
        <v>4900</v>
      </c>
      <c r="D22" s="37">
        <f t="shared" ref="D22:D25" si="16">B22*C22</f>
        <v>4900</v>
      </c>
      <c r="E22" s="39">
        <f>D22*0.1</f>
        <v>490</v>
      </c>
      <c r="F22" s="4">
        <v>0</v>
      </c>
      <c r="G22" s="4">
        <v>0.1</v>
      </c>
      <c r="H22" s="37">
        <f t="shared" ref="H22:H25" si="17">G22*B22</f>
        <v>0.1</v>
      </c>
      <c r="I22" s="4">
        <f>H22*$C$2</f>
        <v>765</v>
      </c>
      <c r="J22" s="51">
        <f>(D22+E22+F22+I22)*$C$3</f>
        <v>310.82750000000004</v>
      </c>
      <c r="K22" s="6"/>
      <c r="L22" s="17"/>
    </row>
    <row r="23" spans="1:13" x14ac:dyDescent="0.25">
      <c r="A23" s="4" t="s">
        <v>690</v>
      </c>
      <c r="B23" s="4">
        <v>1</v>
      </c>
      <c r="C23" s="4">
        <v>4900</v>
      </c>
      <c r="D23" s="37">
        <f t="shared" si="16"/>
        <v>4900</v>
      </c>
      <c r="E23" s="39">
        <f>D23*0.1</f>
        <v>490</v>
      </c>
      <c r="F23" s="4">
        <v>0</v>
      </c>
      <c r="G23" s="4">
        <v>0.1</v>
      </c>
      <c r="H23" s="37">
        <f t="shared" si="17"/>
        <v>0.1</v>
      </c>
      <c r="I23" s="4">
        <f>H23*$C$2</f>
        <v>765</v>
      </c>
      <c r="J23" s="51">
        <f>(D23+E23+F23+I23)*$C$3</f>
        <v>310.82750000000004</v>
      </c>
      <c r="K23" s="6"/>
      <c r="L23" s="17"/>
    </row>
    <row r="24" spans="1:13" x14ac:dyDescent="0.25">
      <c r="A24" s="4" t="s">
        <v>691</v>
      </c>
      <c r="B24" s="4">
        <v>1</v>
      </c>
      <c r="C24" s="4">
        <v>9900</v>
      </c>
      <c r="D24" s="37">
        <f t="shared" ref="D24" si="18">B24*C24</f>
        <v>9900</v>
      </c>
      <c r="E24" s="39">
        <f>D24*0.1</f>
        <v>990</v>
      </c>
      <c r="F24" s="4">
        <v>0</v>
      </c>
      <c r="G24" s="4">
        <v>0.22</v>
      </c>
      <c r="H24" s="37">
        <f t="shared" ref="H24" si="19">G24*B24</f>
        <v>0.22</v>
      </c>
      <c r="I24" s="4">
        <f>H24*$C$2</f>
        <v>1683</v>
      </c>
      <c r="J24" s="51">
        <f>(D24+E24+F24+I24)*$C$3</f>
        <v>634.93650000000002</v>
      </c>
      <c r="K24" s="6"/>
      <c r="L24" s="17"/>
    </row>
    <row r="25" spans="1:13" x14ac:dyDescent="0.25">
      <c r="A25" s="4" t="s">
        <v>692</v>
      </c>
      <c r="B25" s="4">
        <v>1</v>
      </c>
      <c r="C25" s="4">
        <v>6900</v>
      </c>
      <c r="D25" s="37">
        <f t="shared" si="16"/>
        <v>6900</v>
      </c>
      <c r="E25" s="39">
        <f>D25*0.1</f>
        <v>690</v>
      </c>
      <c r="F25" s="4">
        <v>2500</v>
      </c>
      <c r="G25" s="4">
        <v>0.2</v>
      </c>
      <c r="H25" s="37">
        <f t="shared" si="17"/>
        <v>0.2</v>
      </c>
      <c r="I25" s="4">
        <f>H25*$C$2</f>
        <v>1530</v>
      </c>
      <c r="J25" s="51">
        <f>(D25+E25+F25+I25)*$C$3</f>
        <v>586.81000000000006</v>
      </c>
      <c r="K25" s="6"/>
      <c r="L25" s="17"/>
    </row>
    <row r="26" spans="1:13" ht="31.5" x14ac:dyDescent="0.5">
      <c r="A26" s="152" t="s">
        <v>693</v>
      </c>
      <c r="B26" s="190"/>
      <c r="C26" s="151"/>
      <c r="D26" s="32"/>
      <c r="E26" s="92"/>
      <c r="F26" s="151"/>
      <c r="G26" s="151"/>
      <c r="H26" s="32"/>
      <c r="I26" s="2"/>
      <c r="J26" s="52">
        <f>SUM(J27:J31)</f>
        <v>2043.9875000000002</v>
      </c>
      <c r="K26" s="10">
        <v>2031</v>
      </c>
      <c r="L26" s="10">
        <f t="shared" ref="L26" si="20">K26-J26</f>
        <v>-12.987500000000182</v>
      </c>
    </row>
    <row r="27" spans="1:13" x14ac:dyDescent="0.25">
      <c r="A27" s="17" t="s">
        <v>694</v>
      </c>
      <c r="B27" s="4">
        <v>1</v>
      </c>
      <c r="C27" s="4">
        <v>4900</v>
      </c>
      <c r="D27" s="37">
        <f t="shared" ref="D27:D31" si="21">B27*C27</f>
        <v>4900</v>
      </c>
      <c r="E27" s="39">
        <f>D27*0.1</f>
        <v>490</v>
      </c>
      <c r="F27" s="4">
        <v>0</v>
      </c>
      <c r="G27" s="4">
        <v>0.15</v>
      </c>
      <c r="H27" s="37">
        <f t="shared" ref="H27:H31" si="22">G27*B27</f>
        <v>0.15</v>
      </c>
      <c r="I27" s="4">
        <f>H27*$C$2</f>
        <v>1147.5</v>
      </c>
      <c r="J27" s="51">
        <f>(D27+E27+F27+I27)*$C$3</f>
        <v>330.14375000000001</v>
      </c>
      <c r="K27" s="6"/>
      <c r="L27" s="17"/>
    </row>
    <row r="28" spans="1:13" x14ac:dyDescent="0.25">
      <c r="A28" s="17" t="s">
        <v>695</v>
      </c>
      <c r="B28" s="4">
        <v>1</v>
      </c>
      <c r="C28" s="4">
        <v>4900</v>
      </c>
      <c r="D28" s="37">
        <f t="shared" si="21"/>
        <v>4900</v>
      </c>
      <c r="E28" s="39">
        <f>D28*0.1</f>
        <v>490</v>
      </c>
      <c r="F28" s="4">
        <v>0</v>
      </c>
      <c r="G28" s="4">
        <v>0.1</v>
      </c>
      <c r="H28" s="37">
        <f t="shared" si="22"/>
        <v>0.1</v>
      </c>
      <c r="I28" s="4">
        <f>H28*$C$2</f>
        <v>765</v>
      </c>
      <c r="J28" s="51">
        <f>(D28+E28+F28+I28)*$C$3</f>
        <v>310.82750000000004</v>
      </c>
      <c r="K28" s="6"/>
      <c r="L28" s="17"/>
    </row>
    <row r="29" spans="1:13" x14ac:dyDescent="0.25">
      <c r="A29" s="17" t="s">
        <v>696</v>
      </c>
      <c r="B29" s="4">
        <v>1</v>
      </c>
      <c r="C29" s="4">
        <v>4900</v>
      </c>
      <c r="D29" s="37">
        <f t="shared" si="21"/>
        <v>4900</v>
      </c>
      <c r="E29" s="39">
        <f>D29*0.1</f>
        <v>490</v>
      </c>
      <c r="F29" s="4">
        <v>0</v>
      </c>
      <c r="G29" s="4">
        <v>0.1</v>
      </c>
      <c r="H29" s="37">
        <f t="shared" si="22"/>
        <v>0.1</v>
      </c>
      <c r="I29" s="4">
        <f>H29*$C$2</f>
        <v>765</v>
      </c>
      <c r="J29" s="51">
        <f>(D29+E29+F29+I29)*$C$3</f>
        <v>310.82750000000004</v>
      </c>
      <c r="K29" s="6"/>
      <c r="L29" s="17"/>
    </row>
    <row r="30" spans="1:13" x14ac:dyDescent="0.25">
      <c r="A30" s="169" t="s">
        <v>697</v>
      </c>
      <c r="B30" s="4">
        <v>1</v>
      </c>
      <c r="C30" s="4">
        <v>4900</v>
      </c>
      <c r="D30" s="37">
        <f t="shared" ref="D30" si="23">B30*C30</f>
        <v>4900</v>
      </c>
      <c r="E30" s="39">
        <f>D30*0.1</f>
        <v>490</v>
      </c>
      <c r="F30" s="4">
        <v>0</v>
      </c>
      <c r="G30" s="4">
        <v>0.15</v>
      </c>
      <c r="H30" s="37">
        <f t="shared" ref="H30" si="24">G30*B30</f>
        <v>0.15</v>
      </c>
      <c r="I30" s="4">
        <f>H30*$C$2</f>
        <v>1147.5</v>
      </c>
      <c r="J30" s="51">
        <f>(D30+E30+F30+I30)*$C$3</f>
        <v>330.14375000000001</v>
      </c>
      <c r="K30" s="6"/>
      <c r="L30" s="17"/>
    </row>
    <row r="31" spans="1:13" x14ac:dyDescent="0.25">
      <c r="A31" s="191" t="s">
        <v>698</v>
      </c>
      <c r="B31" s="4">
        <v>1</v>
      </c>
      <c r="C31" s="4">
        <v>9800</v>
      </c>
      <c r="D31" s="37">
        <f t="shared" si="21"/>
        <v>9800</v>
      </c>
      <c r="E31" s="39">
        <f>D31*0.1</f>
        <v>980</v>
      </c>
      <c r="F31" s="4">
        <f>2500/2</f>
        <v>1250</v>
      </c>
      <c r="G31" s="4">
        <v>0.4</v>
      </c>
      <c r="H31" s="37">
        <f t="shared" si="22"/>
        <v>0.4</v>
      </c>
      <c r="I31" s="4">
        <f>H31*$C$2</f>
        <v>3060</v>
      </c>
      <c r="J31" s="51">
        <f>(D31+E31+F31+I31)*$C$3</f>
        <v>762.04500000000007</v>
      </c>
      <c r="K31" s="6"/>
      <c r="L31" s="1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0"/>
  <sheetViews>
    <sheetView topLeftCell="A4" zoomScale="70" zoomScaleNormal="70" workbookViewId="0">
      <selection activeCell="A24" sqref="A24:XFD26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42198</v>
      </c>
      <c r="D1" s="30"/>
    </row>
    <row r="2" spans="1:12" ht="21" x14ac:dyDescent="0.35">
      <c r="A2" s="55" t="s">
        <v>239</v>
      </c>
      <c r="B2" s="4"/>
      <c r="C2" s="16">
        <v>7980</v>
      </c>
      <c r="D2" s="30" t="s">
        <v>723</v>
      </c>
    </row>
    <row r="3" spans="1:12" ht="21" x14ac:dyDescent="0.35">
      <c r="A3" s="55" t="s">
        <v>240</v>
      </c>
      <c r="B3" s="4"/>
      <c r="C3" s="170">
        <v>5.1819999999999998E-2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705</v>
      </c>
      <c r="B6" s="151"/>
      <c r="C6" s="151"/>
      <c r="D6" s="32"/>
      <c r="E6" s="92"/>
      <c r="F6" s="177"/>
      <c r="G6" s="124"/>
      <c r="H6" s="32"/>
      <c r="I6" s="2"/>
      <c r="J6" s="52">
        <f>J7</f>
        <v>957.84087999999997</v>
      </c>
      <c r="K6" s="10">
        <f>896+62</f>
        <v>958</v>
      </c>
      <c r="L6" s="10">
        <f t="shared" ref="L6" si="0">K6-J6</f>
        <v>0.1591200000000299</v>
      </c>
    </row>
    <row r="7" spans="1:12" x14ac:dyDescent="0.25">
      <c r="A7" s="4" t="s">
        <v>706</v>
      </c>
      <c r="B7" s="4">
        <v>1</v>
      </c>
      <c r="C7" s="4">
        <v>11000</v>
      </c>
      <c r="D7" s="37">
        <f t="shared" ref="D7" si="1">B7*C7</f>
        <v>11000</v>
      </c>
      <c r="E7" s="39">
        <f>D7*0.1</f>
        <v>1100</v>
      </c>
      <c r="F7" s="4">
        <v>0</v>
      </c>
      <c r="G7" s="4">
        <v>0.8</v>
      </c>
      <c r="H7" s="37">
        <f t="shared" ref="H7" si="2">G7*B7</f>
        <v>0.8</v>
      </c>
      <c r="I7" s="4">
        <f>H7*$C$2</f>
        <v>6384</v>
      </c>
      <c r="J7" s="51">
        <f>(D7+E7+F7+I7)*$C$3</f>
        <v>957.84087999999997</v>
      </c>
      <c r="K7" s="6"/>
      <c r="L7" s="17"/>
    </row>
    <row r="8" spans="1:12" ht="31.5" x14ac:dyDescent="0.5">
      <c r="A8" s="152" t="s">
        <v>707</v>
      </c>
      <c r="B8" s="151"/>
      <c r="C8" s="151"/>
      <c r="D8" s="32"/>
      <c r="E8" s="92"/>
      <c r="F8" s="151"/>
      <c r="G8" s="151"/>
      <c r="H8" s="32"/>
      <c r="I8" s="2"/>
      <c r="J8" s="52">
        <f>J9</f>
        <v>890.11213999999995</v>
      </c>
      <c r="K8" s="10">
        <f>850+40</f>
        <v>890</v>
      </c>
      <c r="L8" s="10">
        <f t="shared" ref="L8" si="3">K8-J8</f>
        <v>-0.11213999999995394</v>
      </c>
    </row>
    <row r="9" spans="1:12" x14ac:dyDescent="0.25">
      <c r="A9" s="4" t="s">
        <v>708</v>
      </c>
      <c r="B9" s="4">
        <v>1</v>
      </c>
      <c r="C9" s="4">
        <v>10900</v>
      </c>
      <c r="D9" s="37">
        <f t="shared" ref="D9" si="4">B9*C9</f>
        <v>10900</v>
      </c>
      <c r="E9" s="39">
        <f>D9*0.1</f>
        <v>1090</v>
      </c>
      <c r="F9" s="4">
        <v>0</v>
      </c>
      <c r="G9" s="4">
        <v>0.65</v>
      </c>
      <c r="H9" s="37">
        <f t="shared" ref="H9" si="5">G9*B9</f>
        <v>0.65</v>
      </c>
      <c r="I9" s="4">
        <f>H9*$C$2</f>
        <v>5187</v>
      </c>
      <c r="J9" s="51">
        <f>(D9+E9+F9+I9)*$C$3</f>
        <v>890.11213999999995</v>
      </c>
      <c r="K9" s="6"/>
      <c r="L9" s="17"/>
    </row>
    <row r="10" spans="1:12" ht="31.5" x14ac:dyDescent="0.5">
      <c r="A10" s="152" t="s">
        <v>709</v>
      </c>
      <c r="B10" s="190"/>
      <c r="C10" s="151"/>
      <c r="D10" s="32"/>
      <c r="E10" s="92"/>
      <c r="F10" s="151"/>
      <c r="G10" s="151"/>
      <c r="H10" s="32"/>
      <c r="I10" s="2"/>
      <c r="J10" s="52">
        <f>J11</f>
        <v>816.37227999999993</v>
      </c>
      <c r="K10" s="10">
        <f>540+276</f>
        <v>816</v>
      </c>
      <c r="L10" s="10">
        <f t="shared" ref="L10" si="6">K10-J10</f>
        <v>-0.37227999999993244</v>
      </c>
    </row>
    <row r="11" spans="1:12" x14ac:dyDescent="0.25">
      <c r="A11" s="169" t="s">
        <v>636</v>
      </c>
      <c r="B11" s="4">
        <v>1</v>
      </c>
      <c r="C11" s="4">
        <v>4480</v>
      </c>
      <c r="D11" s="37">
        <f t="shared" ref="D11" si="7">B11*C11</f>
        <v>4480</v>
      </c>
      <c r="E11" s="39">
        <f>D11*0.1</f>
        <v>448</v>
      </c>
      <c r="F11" s="4">
        <f>2500/2</f>
        <v>1250</v>
      </c>
      <c r="G11" s="4">
        <v>1.2</v>
      </c>
      <c r="H11" s="37">
        <f t="shared" ref="H11" si="8">G11*B11</f>
        <v>1.2</v>
      </c>
      <c r="I11" s="4">
        <f>H11*$C$2</f>
        <v>9576</v>
      </c>
      <c r="J11" s="51">
        <f>(D11+E11+F11+I11)*$C$3</f>
        <v>816.37227999999993</v>
      </c>
      <c r="K11" s="6"/>
      <c r="L11" s="17"/>
    </row>
    <row r="12" spans="1:12" ht="31.5" x14ac:dyDescent="0.5">
      <c r="A12" s="152" t="s">
        <v>682</v>
      </c>
      <c r="B12" s="190"/>
      <c r="C12" s="151"/>
      <c r="D12" s="32"/>
      <c r="E12" s="92"/>
      <c r="F12" s="151"/>
      <c r="G12" s="151"/>
      <c r="H12" s="32"/>
      <c r="I12" s="2"/>
      <c r="J12" s="52">
        <f>J13</f>
        <v>320.66215999999997</v>
      </c>
      <c r="K12" s="10">
        <v>315</v>
      </c>
      <c r="L12" s="10">
        <f t="shared" ref="L12" si="9">K12-J12</f>
        <v>-5.6621599999999717</v>
      </c>
    </row>
    <row r="13" spans="1:12" x14ac:dyDescent="0.25">
      <c r="A13" s="6" t="s">
        <v>710</v>
      </c>
      <c r="B13" s="5">
        <v>1</v>
      </c>
      <c r="C13" s="4">
        <v>4900</v>
      </c>
      <c r="D13" s="37">
        <f t="shared" ref="D13" si="10">B13*C13</f>
        <v>4900</v>
      </c>
      <c r="E13" s="39">
        <f>D13*0.1</f>
        <v>490</v>
      </c>
      <c r="F13" s="5">
        <v>0</v>
      </c>
      <c r="G13" s="5">
        <v>0.1</v>
      </c>
      <c r="H13" s="37">
        <f t="shared" ref="H13" si="11">G13*B13</f>
        <v>0.1</v>
      </c>
      <c r="I13" s="4">
        <f>H13*$C$2</f>
        <v>798</v>
      </c>
      <c r="J13" s="51">
        <f>(D13+E13+F13+I13)*$C$3</f>
        <v>320.66215999999997</v>
      </c>
      <c r="K13" s="6"/>
      <c r="L13" s="17"/>
    </row>
    <row r="14" spans="1:12" ht="31.5" x14ac:dyDescent="0.5">
      <c r="A14" s="152" t="s">
        <v>711</v>
      </c>
      <c r="B14" s="190"/>
      <c r="C14" s="151"/>
      <c r="D14" s="32"/>
      <c r="E14" s="92"/>
      <c r="F14" s="151"/>
      <c r="G14" s="151"/>
      <c r="H14" s="32"/>
      <c r="I14" s="2"/>
      <c r="J14" s="52">
        <f>J15</f>
        <v>320.66215999999997</v>
      </c>
      <c r="K14" s="10">
        <f>315+6</f>
        <v>321</v>
      </c>
      <c r="L14" s="10">
        <f t="shared" ref="L14" si="12">K14-J14</f>
        <v>0.33784000000002834</v>
      </c>
    </row>
    <row r="15" spans="1:12" x14ac:dyDescent="0.25">
      <c r="A15" s="5" t="s">
        <v>720</v>
      </c>
      <c r="B15" s="5">
        <v>1</v>
      </c>
      <c r="C15" s="5">
        <v>4900</v>
      </c>
      <c r="D15" s="37">
        <f t="shared" ref="D15" si="13">B15*C15</f>
        <v>4900</v>
      </c>
      <c r="E15" s="39">
        <f>D15*0.1</f>
        <v>490</v>
      </c>
      <c r="F15" s="5">
        <v>0</v>
      </c>
      <c r="G15" s="5">
        <v>0.1</v>
      </c>
      <c r="H15" s="37">
        <f t="shared" ref="H15" si="14">G15*B15</f>
        <v>0.1</v>
      </c>
      <c r="I15" s="4">
        <f>H15*$C$2</f>
        <v>798</v>
      </c>
      <c r="J15" s="51">
        <f>(D15+E15+F15+I15)*$C$3</f>
        <v>320.66215999999997</v>
      </c>
      <c r="K15" s="6"/>
      <c r="L15" s="17"/>
    </row>
    <row r="16" spans="1:12" ht="31.5" x14ac:dyDescent="0.5">
      <c r="A16" s="152" t="s">
        <v>382</v>
      </c>
      <c r="B16" s="190"/>
      <c r="C16" s="151"/>
      <c r="D16" s="32"/>
      <c r="E16" s="92"/>
      <c r="F16" s="151"/>
      <c r="G16" s="151"/>
      <c r="H16" s="32"/>
      <c r="I16" s="2"/>
      <c r="J16" s="52">
        <f>J17</f>
        <v>700.78258799999992</v>
      </c>
      <c r="K16" s="10">
        <f>635+65</f>
        <v>700</v>
      </c>
      <c r="L16" s="10">
        <f t="shared" ref="L16" si="15">K16-J16</f>
        <v>-0.78258799999991879</v>
      </c>
    </row>
    <row r="17" spans="1:12" x14ac:dyDescent="0.25">
      <c r="A17" s="4" t="s">
        <v>712</v>
      </c>
      <c r="B17" s="4">
        <v>1</v>
      </c>
      <c r="C17" s="4">
        <v>9900</v>
      </c>
      <c r="D17" s="37">
        <f t="shared" ref="D17" si="16">B17*C17</f>
        <v>9900</v>
      </c>
      <c r="E17" s="39">
        <f>D17*0.1</f>
        <v>990</v>
      </c>
      <c r="F17" s="4">
        <v>0</v>
      </c>
      <c r="G17" s="4">
        <v>0.33</v>
      </c>
      <c r="H17" s="37">
        <f t="shared" ref="H17" si="17">G17*B17</f>
        <v>0.33</v>
      </c>
      <c r="I17" s="4">
        <f>H17*$C$2</f>
        <v>2633.4</v>
      </c>
      <c r="J17" s="51">
        <f>(D17+E17+F17+I17)*$C$3</f>
        <v>700.78258799999992</v>
      </c>
      <c r="K17" s="6"/>
      <c r="L17" s="17"/>
    </row>
    <row r="18" spans="1:12" ht="31.5" x14ac:dyDescent="0.5">
      <c r="A18" s="152" t="s">
        <v>181</v>
      </c>
      <c r="B18" s="190"/>
      <c r="C18" s="151"/>
      <c r="D18" s="32"/>
      <c r="E18" s="92"/>
      <c r="F18" s="151"/>
      <c r="G18" s="151"/>
      <c r="H18" s="32"/>
      <c r="I18" s="2"/>
      <c r="J18" s="52">
        <f>J19</f>
        <v>0</v>
      </c>
      <c r="K18" s="10">
        <v>1041</v>
      </c>
      <c r="L18" s="10">
        <f t="shared" ref="L18" si="18">K18-J18</f>
        <v>1041</v>
      </c>
    </row>
    <row r="19" spans="1:12" x14ac:dyDescent="0.25">
      <c r="A19" s="4" t="s">
        <v>199</v>
      </c>
      <c r="B19" s="18" t="s">
        <v>236</v>
      </c>
      <c r="C19" s="18"/>
      <c r="D19" s="192"/>
      <c r="E19" s="112"/>
      <c r="F19" s="18"/>
      <c r="G19" s="4"/>
      <c r="H19" s="37"/>
      <c r="I19" s="4">
        <f>H19*$C$2</f>
        <v>0</v>
      </c>
      <c r="J19" s="51">
        <f>(D19+E19+F19+I19)*$C$3</f>
        <v>0</v>
      </c>
      <c r="K19" s="6"/>
      <c r="L19" s="17"/>
    </row>
    <row r="20" spans="1:12" ht="31.5" x14ac:dyDescent="0.5">
      <c r="A20" s="152" t="s">
        <v>331</v>
      </c>
      <c r="B20" s="190"/>
      <c r="C20" s="151"/>
      <c r="D20" s="32"/>
      <c r="E20" s="92"/>
      <c r="F20" s="151"/>
      <c r="G20" s="151"/>
      <c r="H20" s="32"/>
      <c r="I20" s="2"/>
      <c r="J20" s="52">
        <f>SUM(J21:J23)</f>
        <v>2938.7121999999999</v>
      </c>
      <c r="K20" s="10">
        <f>2883+117</f>
        <v>3000</v>
      </c>
      <c r="L20" s="10">
        <f t="shared" ref="L20" si="19">K20-J20</f>
        <v>61.287800000000061</v>
      </c>
    </row>
    <row r="21" spans="1:12" x14ac:dyDescent="0.25">
      <c r="A21" s="17" t="s">
        <v>713</v>
      </c>
      <c r="B21" s="4">
        <v>1</v>
      </c>
      <c r="C21" s="4">
        <v>9900</v>
      </c>
      <c r="D21" s="37">
        <f t="shared" ref="D21:D23" si="20">B21*C21</f>
        <v>9900</v>
      </c>
      <c r="E21" s="39">
        <f>D21*0.1</f>
        <v>990</v>
      </c>
      <c r="F21" s="5">
        <v>0</v>
      </c>
      <c r="G21" s="5">
        <v>0.2</v>
      </c>
      <c r="H21" s="37">
        <f t="shared" ref="H21:H23" si="21">G21*B21</f>
        <v>0.2</v>
      </c>
      <c r="I21" s="4">
        <f>H21*$C$2</f>
        <v>1596</v>
      </c>
      <c r="J21" s="51">
        <f>(D21+E21+F21+I21)*$C$3</f>
        <v>647.02451999999994</v>
      </c>
      <c r="K21" s="6"/>
      <c r="L21" s="17"/>
    </row>
    <row r="22" spans="1:12" x14ac:dyDescent="0.25">
      <c r="A22" s="17" t="s">
        <v>714</v>
      </c>
      <c r="B22" s="4">
        <v>1</v>
      </c>
      <c r="C22" s="4">
        <v>9900</v>
      </c>
      <c r="D22" s="37">
        <f t="shared" si="20"/>
        <v>9900</v>
      </c>
      <c r="E22" s="39">
        <f>D22*0.1</f>
        <v>990</v>
      </c>
      <c r="F22" s="5">
        <v>0</v>
      </c>
      <c r="G22" s="5">
        <v>0.2</v>
      </c>
      <c r="H22" s="37">
        <f t="shared" si="21"/>
        <v>0.2</v>
      </c>
      <c r="I22" s="4">
        <f>H22*$C$2</f>
        <v>1596</v>
      </c>
      <c r="J22" s="51">
        <f>(D22+E22+F22+I22)*$C$3</f>
        <v>647.02451999999994</v>
      </c>
      <c r="K22" s="6"/>
      <c r="L22" s="17"/>
    </row>
    <row r="23" spans="1:12" x14ac:dyDescent="0.25">
      <c r="A23" s="4" t="s">
        <v>715</v>
      </c>
      <c r="B23" s="4">
        <v>1</v>
      </c>
      <c r="C23" s="4">
        <v>24500</v>
      </c>
      <c r="D23" s="37">
        <f t="shared" si="20"/>
        <v>24500</v>
      </c>
      <c r="E23" s="39">
        <f>D23*0.1</f>
        <v>2450</v>
      </c>
      <c r="F23" s="4">
        <v>0</v>
      </c>
      <c r="G23" s="4">
        <v>0.6</v>
      </c>
      <c r="H23" s="37">
        <f t="shared" si="21"/>
        <v>0.6</v>
      </c>
      <c r="I23" s="4">
        <f>H23*$C$2</f>
        <v>4788</v>
      </c>
      <c r="J23" s="51">
        <f>(D23+E23+F23+I23)*$C$3</f>
        <v>1644.6631599999998</v>
      </c>
      <c r="K23" s="6"/>
      <c r="L23" s="17"/>
    </row>
    <row r="24" spans="1:12" ht="31.5" x14ac:dyDescent="0.5">
      <c r="A24" s="152" t="s">
        <v>675</v>
      </c>
      <c r="B24" s="190"/>
      <c r="C24" s="151"/>
      <c r="D24" s="32"/>
      <c r="E24" s="92"/>
      <c r="F24" s="151"/>
      <c r="G24" s="151"/>
      <c r="H24" s="32"/>
      <c r="I24" s="2"/>
      <c r="J24" s="52">
        <f>J25+J26</f>
        <v>2204.8373599999995</v>
      </c>
      <c r="K24" s="10">
        <f>860+207</f>
        <v>1067</v>
      </c>
      <c r="L24" s="10">
        <f t="shared" ref="L24" si="22">K24-J24</f>
        <v>-1137.8373599999995</v>
      </c>
    </row>
    <row r="25" spans="1:12" x14ac:dyDescent="0.25">
      <c r="A25" s="4" t="s">
        <v>716</v>
      </c>
      <c r="B25" s="21">
        <v>1</v>
      </c>
      <c r="C25" s="21">
        <v>14400</v>
      </c>
      <c r="D25" s="37">
        <f t="shared" ref="D25" si="23">B25*C25</f>
        <v>14400</v>
      </c>
      <c r="E25" s="39">
        <f>D25*0.1</f>
        <v>1440</v>
      </c>
      <c r="F25" s="4">
        <v>0</v>
      </c>
      <c r="G25" s="4">
        <v>0.6</v>
      </c>
      <c r="H25" s="37">
        <f>G25*B25</f>
        <v>0.6</v>
      </c>
      <c r="I25" s="4">
        <f>H25*$C$2</f>
        <v>4788</v>
      </c>
      <c r="J25" s="51">
        <f>(D25+E25+F25+I25)*$C$3</f>
        <v>1068.9429599999999</v>
      </c>
      <c r="K25" s="6"/>
      <c r="L25" s="17"/>
    </row>
    <row r="26" spans="1:12" x14ac:dyDescent="0.25">
      <c r="A26" s="4" t="s">
        <v>717</v>
      </c>
      <c r="B26" s="21">
        <v>2</v>
      </c>
      <c r="C26" s="21">
        <v>4900</v>
      </c>
      <c r="D26" s="23">
        <f>4900+5500</f>
        <v>10400</v>
      </c>
      <c r="E26" s="39">
        <f>D26*0.1</f>
        <v>1040</v>
      </c>
      <c r="F26" s="4">
        <v>2500</v>
      </c>
      <c r="G26" s="4">
        <v>0.5</v>
      </c>
      <c r="H26" s="37">
        <f>G26*B26</f>
        <v>1</v>
      </c>
      <c r="I26" s="4">
        <f>H26*$C$2</f>
        <v>7980</v>
      </c>
      <c r="J26" s="51">
        <f>(D26+E26+F26+I26)*$C$3</f>
        <v>1135.8943999999999</v>
      </c>
      <c r="K26" s="6"/>
      <c r="L26" s="17"/>
    </row>
    <row r="27" spans="1:12" ht="31.5" x14ac:dyDescent="0.5">
      <c r="A27" s="152" t="s">
        <v>718</v>
      </c>
      <c r="B27" s="190"/>
      <c r="C27" s="151"/>
      <c r="D27" s="32"/>
      <c r="E27" s="92"/>
      <c r="F27" s="151"/>
      <c r="G27" s="151"/>
      <c r="H27" s="32"/>
      <c r="I27" s="2"/>
      <c r="J27" s="52">
        <f>SUM(J28:J30)</f>
        <v>8252.5215520000002</v>
      </c>
      <c r="K27" s="10">
        <f>7905+348</f>
        <v>8253</v>
      </c>
      <c r="L27" s="10">
        <f t="shared" ref="L27" si="24">K27-J27</f>
        <v>0.47844799999984389</v>
      </c>
    </row>
    <row r="28" spans="1:12" x14ac:dyDescent="0.25">
      <c r="A28" s="5" t="s">
        <v>722</v>
      </c>
      <c r="B28" s="4">
        <v>3</v>
      </c>
      <c r="C28" s="4">
        <v>14400</v>
      </c>
      <c r="D28" s="37">
        <f t="shared" ref="D28:D30" si="25">B28*C28</f>
        <v>43200</v>
      </c>
      <c r="E28" s="39">
        <f>D28*0.1</f>
        <v>4320</v>
      </c>
      <c r="F28" s="4">
        <v>0</v>
      </c>
      <c r="G28" s="5">
        <v>7.0000000000000007E-2</v>
      </c>
      <c r="H28" s="37">
        <f t="shared" ref="H28:H30" si="26">G28*B28</f>
        <v>0.21000000000000002</v>
      </c>
      <c r="I28" s="4">
        <f>H28*$C$2</f>
        <v>1675.8000000000002</v>
      </c>
      <c r="J28" s="51">
        <f>(D28+E28+F28+I28)*$C$3</f>
        <v>2549.326356</v>
      </c>
      <c r="K28" s="6"/>
      <c r="L28" s="17"/>
    </row>
    <row r="29" spans="1:12" x14ac:dyDescent="0.25">
      <c r="A29" s="5" t="s">
        <v>719</v>
      </c>
      <c r="B29" s="4">
        <v>1</v>
      </c>
      <c r="C29" s="4">
        <v>16800</v>
      </c>
      <c r="D29" s="37">
        <f t="shared" si="25"/>
        <v>16800</v>
      </c>
      <c r="E29" s="39">
        <f>D29*0.1</f>
        <v>1680</v>
      </c>
      <c r="F29" s="4">
        <v>0</v>
      </c>
      <c r="G29" s="5">
        <v>7.0000000000000007E-2</v>
      </c>
      <c r="H29" s="37">
        <f t="shared" si="26"/>
        <v>7.0000000000000007E-2</v>
      </c>
      <c r="I29" s="4">
        <f>H29*$C$2</f>
        <v>558.6</v>
      </c>
      <c r="J29" s="51">
        <f>(D29+E29+F29+I29)*$C$3</f>
        <v>986.58025199999986</v>
      </c>
      <c r="K29" s="6"/>
      <c r="L29" s="17"/>
    </row>
    <row r="30" spans="1:12" x14ac:dyDescent="0.25">
      <c r="A30" s="4" t="s">
        <v>668</v>
      </c>
      <c r="B30" s="4">
        <v>7</v>
      </c>
      <c r="C30" s="4">
        <v>9900</v>
      </c>
      <c r="D30" s="37">
        <f t="shared" si="25"/>
        <v>69300</v>
      </c>
      <c r="E30" s="39">
        <f>D30*0.1</f>
        <v>6930</v>
      </c>
      <c r="F30" s="4">
        <v>2500</v>
      </c>
      <c r="G30" s="4">
        <v>0.22</v>
      </c>
      <c r="H30" s="37">
        <f t="shared" si="26"/>
        <v>1.54</v>
      </c>
      <c r="I30" s="4">
        <f>H30*$C$2</f>
        <v>12289.2</v>
      </c>
      <c r="J30" s="51">
        <f>(D30+E30+F30+I30)*$C$3</f>
        <v>4716.6149439999999</v>
      </c>
      <c r="K30" s="6"/>
      <c r="L30" s="17"/>
    </row>
  </sheetData>
  <hyperlinks>
    <hyperlink ref="A13" r:id="rId1" display="http://forum.sibmama.ru/showfull.php?pic=157583_800x467_2.png"/>
    <hyperlink ref="A20" r:id="rId2" display="http://forum.sibmama.ru/viewtopic.php?p=63072629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zoomScale="70" zoomScaleNormal="70" workbookViewId="0">
      <selection activeCell="A12" sqref="A12:XFD12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42249</v>
      </c>
      <c r="D1" s="30"/>
    </row>
    <row r="2" spans="1:12" ht="21" x14ac:dyDescent="0.35">
      <c r="A2" s="55" t="s">
        <v>239</v>
      </c>
      <c r="B2" s="4"/>
      <c r="C2" s="16">
        <v>8090</v>
      </c>
      <c r="D2" s="30"/>
    </row>
    <row r="3" spans="1:12" ht="21" x14ac:dyDescent="0.35">
      <c r="A3" s="55" t="s">
        <v>240</v>
      </c>
      <c r="B3" s="4"/>
      <c r="C3" s="170">
        <v>6.0299999999999999E-2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42" t="s">
        <v>546</v>
      </c>
      <c r="B6" s="196"/>
      <c r="C6" s="124"/>
      <c r="D6" s="32"/>
      <c r="E6" s="92"/>
      <c r="F6" s="177"/>
      <c r="G6" s="124"/>
      <c r="H6" s="32"/>
      <c r="I6" s="2"/>
      <c r="J6" s="52">
        <f>J7</f>
        <v>660.38751000000002</v>
      </c>
      <c r="K6" s="10">
        <f>595+65</f>
        <v>660</v>
      </c>
      <c r="L6" s="10">
        <f t="shared" ref="L6" si="0">K6-J6</f>
        <v>-0.38751000000002023</v>
      </c>
    </row>
    <row r="7" spans="1:12" x14ac:dyDescent="0.25">
      <c r="A7" s="39" t="s">
        <v>725</v>
      </c>
      <c r="B7" s="98">
        <v>1</v>
      </c>
      <c r="C7" s="99">
        <v>9000</v>
      </c>
      <c r="D7" s="37">
        <f t="shared" ref="D7" si="1">B7*C7</f>
        <v>9000</v>
      </c>
      <c r="E7" s="39">
        <f>D7*0.1</f>
        <v>900</v>
      </c>
      <c r="F7" s="98">
        <v>0</v>
      </c>
      <c r="G7" s="99">
        <v>0.13</v>
      </c>
      <c r="H7" s="37">
        <f t="shared" ref="H7" si="2">G7*B7</f>
        <v>0.13</v>
      </c>
      <c r="I7" s="4">
        <f>H7*$C$2</f>
        <v>1051.7</v>
      </c>
      <c r="J7" s="51">
        <f>(D7+E7+F7+I7)*$C$3</f>
        <v>660.38751000000002</v>
      </c>
      <c r="K7" s="6"/>
      <c r="L7" s="17"/>
    </row>
    <row r="8" spans="1:12" ht="31.5" x14ac:dyDescent="0.5">
      <c r="A8" s="142" t="s">
        <v>373</v>
      </c>
      <c r="B8" s="196"/>
      <c r="C8" s="124"/>
      <c r="D8" s="32"/>
      <c r="E8" s="92"/>
      <c r="F8" s="123"/>
      <c r="G8" s="124"/>
      <c r="H8" s="32"/>
      <c r="I8" s="2"/>
      <c r="J8" s="52">
        <f>J9</f>
        <v>660.38751000000002</v>
      </c>
      <c r="K8" s="10">
        <f>598+62</f>
        <v>660</v>
      </c>
      <c r="L8" s="10">
        <f t="shared" ref="L8" si="3">K8-J8</f>
        <v>-0.38751000000002023</v>
      </c>
    </row>
    <row r="9" spans="1:12" x14ac:dyDescent="0.25">
      <c r="A9" s="39" t="s">
        <v>725</v>
      </c>
      <c r="B9" s="98">
        <v>1</v>
      </c>
      <c r="C9" s="99">
        <v>9000</v>
      </c>
      <c r="D9" s="37">
        <f t="shared" ref="D9" si="4">B9*C9</f>
        <v>9000</v>
      </c>
      <c r="E9" s="39">
        <f>D9*0.1</f>
        <v>900</v>
      </c>
      <c r="F9" s="98">
        <v>0</v>
      </c>
      <c r="G9" s="99">
        <v>0.13</v>
      </c>
      <c r="H9" s="37">
        <f t="shared" ref="H9" si="5">G9*B9</f>
        <v>0.13</v>
      </c>
      <c r="I9" s="4">
        <f>H9*$C$2</f>
        <v>1051.7</v>
      </c>
      <c r="J9" s="51">
        <f>(D9+E9+F9+I9)*$C$3</f>
        <v>660.38751000000002</v>
      </c>
      <c r="K9" s="6"/>
      <c r="L9" s="17"/>
    </row>
    <row r="10" spans="1:12" ht="31.5" x14ac:dyDescent="0.5">
      <c r="A10" s="142" t="s">
        <v>726</v>
      </c>
      <c r="B10" s="196"/>
      <c r="C10" s="124"/>
      <c r="D10" s="32"/>
      <c r="E10" s="92"/>
      <c r="F10" s="123"/>
      <c r="G10" s="124"/>
      <c r="H10" s="32"/>
      <c r="I10" s="2"/>
      <c r="J10" s="52">
        <f>J11</f>
        <v>660.38751000000002</v>
      </c>
      <c r="K10" s="10">
        <f>595+65</f>
        <v>660</v>
      </c>
      <c r="L10" s="10">
        <f t="shared" ref="L10" si="6">K10-J10</f>
        <v>-0.38751000000002023</v>
      </c>
    </row>
    <row r="11" spans="1:12" x14ac:dyDescent="0.25">
      <c r="A11" s="39" t="s">
        <v>725</v>
      </c>
      <c r="B11" s="98">
        <v>1</v>
      </c>
      <c r="C11" s="99">
        <v>9000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0.13</v>
      </c>
      <c r="H11" s="37">
        <f t="shared" ref="H11" si="8">G11*B11</f>
        <v>0.13</v>
      </c>
      <c r="I11" s="4">
        <f>H11*$C$2</f>
        <v>1051.7</v>
      </c>
      <c r="J11" s="51">
        <f>(D11+E11+F11+I11)*$C$3</f>
        <v>660.38751000000002</v>
      </c>
      <c r="K11" s="6"/>
      <c r="L11" s="17"/>
    </row>
    <row r="12" spans="1:12" ht="31.5" x14ac:dyDescent="0.5">
      <c r="A12" s="193">
        <v>51150</v>
      </c>
      <c r="B12" s="196"/>
      <c r="C12" s="124"/>
      <c r="D12" s="32"/>
      <c r="E12" s="92"/>
      <c r="F12" s="123"/>
      <c r="G12" s="124"/>
      <c r="H12" s="32"/>
      <c r="I12" s="2"/>
      <c r="J12" s="52">
        <f>J13</f>
        <v>660.38751000000002</v>
      </c>
      <c r="K12" s="10">
        <f>595+65</f>
        <v>660</v>
      </c>
      <c r="L12" s="10">
        <f t="shared" ref="L12" si="9">K12-J12</f>
        <v>-0.38751000000002023</v>
      </c>
    </row>
    <row r="13" spans="1:12" x14ac:dyDescent="0.25">
      <c r="A13" s="39" t="s">
        <v>725</v>
      </c>
      <c r="B13" s="98">
        <v>1</v>
      </c>
      <c r="C13" s="99">
        <v>9000</v>
      </c>
      <c r="D13" s="37">
        <f t="shared" ref="D13" si="10">B13*C13</f>
        <v>9000</v>
      </c>
      <c r="E13" s="39">
        <f>D13*0.1</f>
        <v>900</v>
      </c>
      <c r="F13" s="98">
        <v>0</v>
      </c>
      <c r="G13" s="99">
        <v>0.13</v>
      </c>
      <c r="H13" s="37">
        <f t="shared" ref="H13" si="11">G13*B13</f>
        <v>0.13</v>
      </c>
      <c r="I13" s="4">
        <f>H13*$C$2</f>
        <v>1051.7</v>
      </c>
      <c r="J13" s="51">
        <f>(D13+E13+F13+I13)*$C$3</f>
        <v>660.38751000000002</v>
      </c>
      <c r="K13" s="6"/>
      <c r="L13" s="17"/>
    </row>
    <row r="14" spans="1:12" ht="31.5" x14ac:dyDescent="0.5">
      <c r="A14" s="142" t="s">
        <v>727</v>
      </c>
      <c r="B14" s="196"/>
      <c r="C14" s="124"/>
      <c r="D14" s="32"/>
      <c r="E14" s="92"/>
      <c r="F14" s="123"/>
      <c r="G14" s="124"/>
      <c r="H14" s="32"/>
      <c r="I14" s="2"/>
      <c r="J14" s="52">
        <f>J15</f>
        <v>660.38751000000002</v>
      </c>
      <c r="K14" s="10">
        <f>595+65</f>
        <v>660</v>
      </c>
      <c r="L14" s="10">
        <f t="shared" ref="L14" si="12">K14-J14</f>
        <v>-0.38751000000002023</v>
      </c>
    </row>
    <row r="15" spans="1:12" x14ac:dyDescent="0.25">
      <c r="A15" s="39" t="s">
        <v>725</v>
      </c>
      <c r="B15" s="98">
        <v>1</v>
      </c>
      <c r="C15" s="99">
        <v>9000</v>
      </c>
      <c r="D15" s="37">
        <f t="shared" ref="D15" si="13">B15*C15</f>
        <v>9000</v>
      </c>
      <c r="E15" s="39">
        <f>D15*0.1</f>
        <v>900</v>
      </c>
      <c r="F15" s="98">
        <v>0</v>
      </c>
      <c r="G15" s="99">
        <v>0.13</v>
      </c>
      <c r="H15" s="37">
        <f t="shared" ref="H15" si="14">G15*B15</f>
        <v>0.13</v>
      </c>
      <c r="I15" s="4">
        <f>H15*$C$2</f>
        <v>1051.7</v>
      </c>
      <c r="J15" s="51">
        <f>(D15+E15+F15+I15)*$C$3</f>
        <v>660.38751000000002</v>
      </c>
      <c r="K15" s="6"/>
      <c r="L15" s="17"/>
    </row>
    <row r="16" spans="1:12" ht="31.5" x14ac:dyDescent="0.5">
      <c r="A16" s="142" t="s">
        <v>2</v>
      </c>
      <c r="B16" s="196"/>
      <c r="C16" s="124"/>
      <c r="D16" s="32"/>
      <c r="E16" s="92"/>
      <c r="F16" s="123"/>
      <c r="G16" s="124"/>
      <c r="H16" s="32"/>
      <c r="I16" s="2"/>
      <c r="J16" s="52">
        <f>J17</f>
        <v>1320.77502</v>
      </c>
      <c r="K16" s="10">
        <f>1144+177</f>
        <v>1321</v>
      </c>
      <c r="L16" s="10">
        <f t="shared" ref="L16" si="15">K16-J16</f>
        <v>0.22497999999995955</v>
      </c>
    </row>
    <row r="17" spans="1:12" x14ac:dyDescent="0.25">
      <c r="A17" s="39" t="s">
        <v>725</v>
      </c>
      <c r="B17" s="98">
        <v>2</v>
      </c>
      <c r="C17" s="99">
        <v>9000</v>
      </c>
      <c r="D17" s="37">
        <f t="shared" ref="D17" si="16">B17*C17</f>
        <v>18000</v>
      </c>
      <c r="E17" s="39">
        <f>D17*0.1</f>
        <v>1800</v>
      </c>
      <c r="F17" s="98">
        <v>0</v>
      </c>
      <c r="G17" s="99">
        <v>0.13</v>
      </c>
      <c r="H17" s="37">
        <f t="shared" ref="H17" si="17">G17*B17</f>
        <v>0.26</v>
      </c>
      <c r="I17" s="4">
        <f>H17*$C$2</f>
        <v>2103.4</v>
      </c>
      <c r="J17" s="51">
        <f>(D17+E17+F17+I17)*$C$3</f>
        <v>1320.77502</v>
      </c>
      <c r="K17" s="6"/>
      <c r="L17" s="17"/>
    </row>
    <row r="18" spans="1:12" ht="31.5" x14ac:dyDescent="0.5">
      <c r="A18" s="142" t="s">
        <v>728</v>
      </c>
      <c r="B18" s="196"/>
      <c r="C18" s="124"/>
      <c r="D18" s="32"/>
      <c r="E18" s="92"/>
      <c r="F18" s="123"/>
      <c r="G18" s="124"/>
      <c r="H18" s="32"/>
      <c r="I18" s="2"/>
      <c r="J18" s="52">
        <f>J19</f>
        <v>1320.77502</v>
      </c>
      <c r="K18" s="10">
        <f>1190+131</f>
        <v>1321</v>
      </c>
      <c r="L18" s="10">
        <f t="shared" ref="L18" si="18">K18-J18</f>
        <v>0.22497999999995955</v>
      </c>
    </row>
    <row r="19" spans="1:12" x14ac:dyDescent="0.25">
      <c r="A19" s="39" t="s">
        <v>725</v>
      </c>
      <c r="B19" s="98">
        <v>2</v>
      </c>
      <c r="C19" s="99">
        <v>9000</v>
      </c>
      <c r="D19" s="37">
        <f t="shared" ref="D19" si="19">B19*C19</f>
        <v>18000</v>
      </c>
      <c r="E19" s="39">
        <f>D19*0.1</f>
        <v>1800</v>
      </c>
      <c r="F19" s="98">
        <v>0</v>
      </c>
      <c r="G19" s="99">
        <v>0.13</v>
      </c>
      <c r="H19" s="37">
        <f t="shared" ref="H19" si="20">G19*B19</f>
        <v>0.26</v>
      </c>
      <c r="I19" s="4">
        <f>H19*$C$2</f>
        <v>2103.4</v>
      </c>
      <c r="J19" s="51">
        <f>(D19+E19+F19+I19)*$C$3</f>
        <v>1320.77502</v>
      </c>
      <c r="K19" s="6"/>
      <c r="L19" s="17"/>
    </row>
    <row r="20" spans="1:12" ht="31.5" x14ac:dyDescent="0.5">
      <c r="A20" s="142" t="s">
        <v>729</v>
      </c>
      <c r="B20" s="196"/>
      <c r="C20" s="124"/>
      <c r="D20" s="32"/>
      <c r="E20" s="92"/>
      <c r="F20" s="123"/>
      <c r="G20" s="124"/>
      <c r="H20" s="32"/>
      <c r="I20" s="2"/>
      <c r="J20" s="52">
        <f>J21</f>
        <v>660.38751000000002</v>
      </c>
      <c r="K20" s="10">
        <f>595+65</f>
        <v>660</v>
      </c>
      <c r="L20" s="10">
        <f t="shared" ref="L20" si="21">K20-J20</f>
        <v>-0.38751000000002023</v>
      </c>
    </row>
    <row r="21" spans="1:12" x14ac:dyDescent="0.25">
      <c r="A21" s="39" t="s">
        <v>725</v>
      </c>
      <c r="B21" s="98">
        <v>1</v>
      </c>
      <c r="C21" s="99">
        <v>9000</v>
      </c>
      <c r="D21" s="37">
        <f t="shared" ref="D21" si="22">B21*C21</f>
        <v>9000</v>
      </c>
      <c r="E21" s="39">
        <f>D21*0.1</f>
        <v>900</v>
      </c>
      <c r="F21" s="98">
        <v>0</v>
      </c>
      <c r="G21" s="99">
        <v>0.13</v>
      </c>
      <c r="H21" s="37">
        <f t="shared" ref="H21" si="23">G21*B21</f>
        <v>0.13</v>
      </c>
      <c r="I21" s="4">
        <f>H21*$C$2</f>
        <v>1051.7</v>
      </c>
      <c r="J21" s="51">
        <f>(D21+E21+F21+I21)*$C$3</f>
        <v>660.38751000000002</v>
      </c>
      <c r="K21" s="6"/>
      <c r="L21" s="17"/>
    </row>
    <row r="22" spans="1:12" ht="31.5" x14ac:dyDescent="0.5">
      <c r="A22" s="142" t="s">
        <v>181</v>
      </c>
      <c r="B22" s="196"/>
      <c r="C22" s="124"/>
      <c r="D22" s="32"/>
      <c r="E22" s="92"/>
      <c r="F22" s="123"/>
      <c r="G22" s="124"/>
      <c r="H22" s="32"/>
      <c r="I22" s="2"/>
      <c r="J22" s="52">
        <f>J23</f>
        <v>2443.50675</v>
      </c>
      <c r="K22" s="10">
        <f>1217+170</f>
        <v>1387</v>
      </c>
      <c r="L22" s="10">
        <f t="shared" ref="L22" si="24">K22-J22</f>
        <v>-1056.50675</v>
      </c>
    </row>
    <row r="23" spans="1:12" x14ac:dyDescent="0.25">
      <c r="A23" s="39" t="s">
        <v>199</v>
      </c>
      <c r="B23" s="98">
        <v>2</v>
      </c>
      <c r="C23" s="99">
        <v>17500</v>
      </c>
      <c r="D23" s="37">
        <f t="shared" ref="D23" si="25">B23*C23</f>
        <v>35000</v>
      </c>
      <c r="E23" s="39">
        <f>D23*0.1</f>
        <v>3500</v>
      </c>
      <c r="F23" s="98">
        <v>0</v>
      </c>
      <c r="G23" s="99">
        <v>0.125</v>
      </c>
      <c r="H23" s="37">
        <f t="shared" ref="H23" si="26">G23*B23</f>
        <v>0.25</v>
      </c>
      <c r="I23" s="4">
        <f>H23*$C$2</f>
        <v>2022.5</v>
      </c>
      <c r="J23" s="51">
        <f>(D23+E23+F23+I23)*$C$3</f>
        <v>2443.50675</v>
      </c>
      <c r="K23" s="6"/>
      <c r="L23" s="17"/>
    </row>
    <row r="24" spans="1:12" ht="31.5" x14ac:dyDescent="0.5">
      <c r="A24" s="142" t="s">
        <v>730</v>
      </c>
      <c r="B24" s="196"/>
      <c r="C24" s="124"/>
      <c r="D24" s="32"/>
      <c r="E24" s="92"/>
      <c r="F24" s="123"/>
      <c r="G24" s="124"/>
      <c r="H24" s="32"/>
      <c r="I24" s="2"/>
      <c r="J24" s="52">
        <f>J25</f>
        <v>547.18632000000002</v>
      </c>
      <c r="K24" s="10">
        <v>547</v>
      </c>
      <c r="L24" s="10">
        <f t="shared" ref="L24" si="27">K24-J24</f>
        <v>-0.18632000000002336</v>
      </c>
    </row>
    <row r="25" spans="1:12" x14ac:dyDescent="0.25">
      <c r="A25" s="39" t="s">
        <v>203</v>
      </c>
      <c r="B25" s="98">
        <v>1</v>
      </c>
      <c r="C25" s="99">
        <v>4800</v>
      </c>
      <c r="D25" s="37">
        <f t="shared" ref="D25" si="28">B25*C25</f>
        <v>4800</v>
      </c>
      <c r="E25" s="39">
        <f>D25*0.1</f>
        <v>480</v>
      </c>
      <c r="F25" s="98">
        <v>2500</v>
      </c>
      <c r="G25" s="99">
        <v>0.16</v>
      </c>
      <c r="H25" s="37">
        <f t="shared" ref="H25" si="29">G25*B25</f>
        <v>0.16</v>
      </c>
      <c r="I25" s="4">
        <f>H25*$C$2</f>
        <v>1294.4000000000001</v>
      </c>
      <c r="J25" s="51">
        <f>(D25+E25+F25+I25)*$C$3</f>
        <v>547.18632000000002</v>
      </c>
      <c r="K25" s="6"/>
      <c r="L25" s="17"/>
    </row>
    <row r="26" spans="1:12" ht="31.5" x14ac:dyDescent="0.5">
      <c r="A26" s="142" t="s">
        <v>731</v>
      </c>
      <c r="B26" s="196"/>
      <c r="C26" s="124"/>
      <c r="D26" s="32"/>
      <c r="E26" s="92"/>
      <c r="F26" s="123"/>
      <c r="G26" s="124"/>
      <c r="H26" s="32"/>
      <c r="I26" s="2"/>
      <c r="J26" s="52">
        <f>J27</f>
        <v>543.34521000000007</v>
      </c>
      <c r="K26" s="10">
        <v>495</v>
      </c>
      <c r="L26" s="10">
        <f t="shared" ref="L26" si="30">K26-J26</f>
        <v>-48.345210000000066</v>
      </c>
    </row>
    <row r="27" spans="1:12" x14ac:dyDescent="0.25">
      <c r="A27" s="39" t="s">
        <v>261</v>
      </c>
      <c r="B27" s="98">
        <v>1</v>
      </c>
      <c r="C27" s="99">
        <v>6500</v>
      </c>
      <c r="D27" s="37">
        <f t="shared" ref="D27" si="31">B27*C27</f>
        <v>6500</v>
      </c>
      <c r="E27" s="39">
        <f>D27*0.1</f>
        <v>650</v>
      </c>
      <c r="F27" s="98">
        <v>0</v>
      </c>
      <c r="G27" s="99">
        <v>0.23</v>
      </c>
      <c r="H27" s="37">
        <f t="shared" ref="H27" si="32">G27*B27</f>
        <v>0.23</v>
      </c>
      <c r="I27" s="4">
        <f>H27*$C$2</f>
        <v>1860.7</v>
      </c>
      <c r="J27" s="51">
        <f>(D27+E27+F27+I27)*$C$3</f>
        <v>543.34521000000007</v>
      </c>
      <c r="K27" s="6"/>
      <c r="L27" s="17"/>
    </row>
    <row r="28" spans="1:12" ht="31.5" x14ac:dyDescent="0.5">
      <c r="A28" s="142" t="s">
        <v>732</v>
      </c>
      <c r="B28" s="196"/>
      <c r="C28" s="124"/>
      <c r="D28" s="32"/>
      <c r="E28" s="92"/>
      <c r="F28" s="123"/>
      <c r="G28" s="124"/>
      <c r="H28" s="32"/>
      <c r="I28" s="2"/>
      <c r="J28" s="52">
        <f>SUM(J29:J31)</f>
        <v>2750.4518399999997</v>
      </c>
      <c r="K28" s="10">
        <f>2388+362</f>
        <v>2750</v>
      </c>
      <c r="L28" s="10">
        <f t="shared" ref="L28" si="33">K28-J28</f>
        <v>-0.45183999999972002</v>
      </c>
    </row>
    <row r="29" spans="1:12" x14ac:dyDescent="0.25">
      <c r="A29" s="194" t="s">
        <v>733</v>
      </c>
      <c r="B29" s="197">
        <v>1</v>
      </c>
      <c r="C29" s="162">
        <v>9900</v>
      </c>
      <c r="D29" s="37">
        <f t="shared" ref="D29:D31" si="34">B29*C29</f>
        <v>9900</v>
      </c>
      <c r="E29" s="39">
        <f>D29*0.1</f>
        <v>990</v>
      </c>
      <c r="F29" s="197">
        <v>0</v>
      </c>
      <c r="G29" s="115">
        <v>0.35</v>
      </c>
      <c r="H29" s="37">
        <f t="shared" ref="H29:H31" si="35">G29*B29</f>
        <v>0.35</v>
      </c>
      <c r="I29" s="4">
        <f>H29*$C$2</f>
        <v>2831.5</v>
      </c>
      <c r="J29" s="51">
        <f>(D29+E29+F29+I29)*$C$3</f>
        <v>827.40644999999995</v>
      </c>
      <c r="K29" s="6"/>
      <c r="L29" s="17"/>
    </row>
    <row r="30" spans="1:12" x14ac:dyDescent="0.25">
      <c r="A30" s="39" t="s">
        <v>734</v>
      </c>
      <c r="B30" s="98">
        <v>1</v>
      </c>
      <c r="C30" s="99">
        <v>11900</v>
      </c>
      <c r="D30" s="37">
        <f t="shared" si="34"/>
        <v>11900</v>
      </c>
      <c r="E30" s="39">
        <f>D30*0.1</f>
        <v>1190</v>
      </c>
      <c r="F30" s="98">
        <v>0</v>
      </c>
      <c r="G30" s="99">
        <v>0.35</v>
      </c>
      <c r="H30" s="37">
        <f t="shared" si="35"/>
        <v>0.35</v>
      </c>
      <c r="I30" s="4">
        <f>H30*$C$2</f>
        <v>2831.5</v>
      </c>
      <c r="J30" s="51">
        <f>(D30+E30+F30+I30)*$C$3</f>
        <v>960.06645000000003</v>
      </c>
      <c r="K30" s="6"/>
      <c r="L30" s="17"/>
    </row>
    <row r="31" spans="1:12" x14ac:dyDescent="0.25">
      <c r="A31" s="39" t="s">
        <v>509</v>
      </c>
      <c r="B31" s="98">
        <v>1</v>
      </c>
      <c r="C31" s="99">
        <v>12900</v>
      </c>
      <c r="D31" s="37">
        <f t="shared" si="34"/>
        <v>12900</v>
      </c>
      <c r="E31" s="39">
        <f>D31*0.1</f>
        <v>1290</v>
      </c>
      <c r="F31" s="98">
        <v>0</v>
      </c>
      <c r="G31" s="99">
        <v>0.22</v>
      </c>
      <c r="H31" s="37">
        <f t="shared" si="35"/>
        <v>0.22</v>
      </c>
      <c r="I31" s="4">
        <f>H31*$C$2</f>
        <v>1779.8</v>
      </c>
      <c r="J31" s="51">
        <f>(D31+E31+F31+I31)*$C$3</f>
        <v>962.97893999999997</v>
      </c>
      <c r="K31" s="6"/>
      <c r="L31" s="17"/>
    </row>
    <row r="32" spans="1:12" ht="31.5" x14ac:dyDescent="0.5">
      <c r="A32" s="142" t="s">
        <v>750</v>
      </c>
      <c r="B32" s="196"/>
      <c r="C32" s="124"/>
      <c r="D32" s="32"/>
      <c r="E32" s="92"/>
      <c r="F32" s="123"/>
      <c r="G32" s="124"/>
      <c r="H32" s="32"/>
      <c r="I32" s="2"/>
      <c r="J32" s="52">
        <f>J33</f>
        <v>763.98893999999996</v>
      </c>
      <c r="K32" s="10">
        <f>703+61</f>
        <v>764</v>
      </c>
      <c r="L32" s="10">
        <f t="shared" ref="L32" si="36">K32-J32</f>
        <v>1.1060000000043146E-2</v>
      </c>
    </row>
    <row r="33" spans="1:13" x14ac:dyDescent="0.25">
      <c r="A33" s="39" t="s">
        <v>668</v>
      </c>
      <c r="B33" s="98">
        <v>1</v>
      </c>
      <c r="C33" s="99">
        <v>9900</v>
      </c>
      <c r="D33" s="37">
        <f t="shared" ref="D33" si="37">B33*C33</f>
        <v>9900</v>
      </c>
      <c r="E33" s="39">
        <f>D33*0.1</f>
        <v>990</v>
      </c>
      <c r="F33" s="98">
        <v>0</v>
      </c>
      <c r="G33" s="99">
        <v>0.22</v>
      </c>
      <c r="H33" s="37">
        <f t="shared" ref="H33" si="38">G33*B33</f>
        <v>0.22</v>
      </c>
      <c r="I33" s="4">
        <f>H33*$C$2</f>
        <v>1779.8</v>
      </c>
      <c r="J33" s="51">
        <f>(D33+E33+F33+I33)*$C$3</f>
        <v>763.98893999999996</v>
      </c>
      <c r="K33" s="6"/>
      <c r="L33" s="17"/>
    </row>
    <row r="34" spans="1:13" ht="31.5" x14ac:dyDescent="0.5">
      <c r="A34" s="142" t="s">
        <v>500</v>
      </c>
      <c r="B34" s="196"/>
      <c r="C34" s="124"/>
      <c r="D34" s="32"/>
      <c r="E34" s="92"/>
      <c r="F34" s="123"/>
      <c r="G34" s="124"/>
      <c r="H34" s="32"/>
      <c r="I34" s="2"/>
      <c r="J34" s="52">
        <f>J35</f>
        <v>2037.1390200000001</v>
      </c>
      <c r="K34" s="10">
        <f>1695+342</f>
        <v>2037</v>
      </c>
      <c r="L34" s="10">
        <f t="shared" ref="L34" si="39">K34-J34</f>
        <v>-0.1390200000000732</v>
      </c>
    </row>
    <row r="35" spans="1:13" x14ac:dyDescent="0.25">
      <c r="A35" s="130" t="s">
        <v>735</v>
      </c>
      <c r="B35" s="98">
        <v>2</v>
      </c>
      <c r="C35" s="99">
        <v>14400</v>
      </c>
      <c r="D35" s="37">
        <f t="shared" ref="D35" si="40">B35*C35</f>
        <v>28800</v>
      </c>
      <c r="E35" s="39">
        <f>D35*0.1</f>
        <v>2880</v>
      </c>
      <c r="F35" s="98">
        <v>0</v>
      </c>
      <c r="G35" s="115">
        <v>0.13</v>
      </c>
      <c r="H35" s="37">
        <f>G35*B35</f>
        <v>0.26</v>
      </c>
      <c r="I35" s="4">
        <f>H35*$C$2</f>
        <v>2103.4</v>
      </c>
      <c r="J35" s="51">
        <f>(D35+E35+F35+I35)*$C$3</f>
        <v>2037.1390200000001</v>
      </c>
      <c r="K35" s="6"/>
      <c r="L35" s="17"/>
    </row>
    <row r="36" spans="1:13" ht="31.5" x14ac:dyDescent="0.5">
      <c r="A36" s="142" t="s">
        <v>736</v>
      </c>
      <c r="B36" s="196"/>
      <c r="C36" s="124"/>
      <c r="D36" s="32"/>
      <c r="E36" s="92"/>
      <c r="F36" s="123"/>
      <c r="G36" s="124"/>
      <c r="H36" s="32"/>
      <c r="I36" s="2"/>
      <c r="J36" s="52">
        <f>J37</f>
        <v>359.56889999999999</v>
      </c>
      <c r="K36" s="10">
        <f>330+30</f>
        <v>360</v>
      </c>
      <c r="L36" s="10">
        <f t="shared" ref="L36" si="41">K36-J36</f>
        <v>0.43110000000001492</v>
      </c>
    </row>
    <row r="37" spans="1:13" x14ac:dyDescent="0.25">
      <c r="A37" s="39" t="s">
        <v>437</v>
      </c>
      <c r="B37" s="98">
        <v>1</v>
      </c>
      <c r="C37" s="99">
        <f>7900/2</f>
        <v>3950</v>
      </c>
      <c r="D37" s="37">
        <f t="shared" ref="D37" si="42">B37*C37</f>
        <v>3950</v>
      </c>
      <c r="E37" s="39">
        <f>D37*0.1</f>
        <v>395</v>
      </c>
      <c r="F37" s="98">
        <v>0</v>
      </c>
      <c r="G37" s="99">
        <v>0.2</v>
      </c>
      <c r="H37" s="37">
        <f t="shared" ref="H37" si="43">G37*B37</f>
        <v>0.2</v>
      </c>
      <c r="I37" s="4">
        <f>H37*$C$2</f>
        <v>1618</v>
      </c>
      <c r="J37" s="51">
        <f>(D37+E37+F37+I37)*$C$3</f>
        <v>359.56889999999999</v>
      </c>
      <c r="K37" s="6"/>
      <c r="L37" s="17"/>
    </row>
    <row r="38" spans="1:13" ht="31.5" x14ac:dyDescent="0.5">
      <c r="A38" s="142" t="s">
        <v>737</v>
      </c>
      <c r="B38" s="196"/>
      <c r="C38" s="124"/>
      <c r="D38" s="32"/>
      <c r="E38" s="92"/>
      <c r="F38" s="123"/>
      <c r="G38" s="124"/>
      <c r="H38" s="32"/>
      <c r="I38" s="2"/>
      <c r="J38" s="52">
        <f>J39</f>
        <v>359.56889999999999</v>
      </c>
      <c r="K38" s="10">
        <f>330+30</f>
        <v>360</v>
      </c>
      <c r="L38" s="10">
        <f t="shared" ref="L38" si="44">K38-J38</f>
        <v>0.43110000000001492</v>
      </c>
      <c r="M38" t="s">
        <v>752</v>
      </c>
    </row>
    <row r="39" spans="1:13" x14ac:dyDescent="0.25">
      <c r="A39" s="39" t="s">
        <v>437</v>
      </c>
      <c r="B39" s="98">
        <v>1</v>
      </c>
      <c r="C39" s="99">
        <f>7900/2</f>
        <v>3950</v>
      </c>
      <c r="D39" s="37">
        <f t="shared" ref="D39" si="45">B39*C39</f>
        <v>3950</v>
      </c>
      <c r="E39" s="39">
        <f>D39*0.1</f>
        <v>395</v>
      </c>
      <c r="F39" s="98">
        <v>0</v>
      </c>
      <c r="G39" s="99">
        <v>0.2</v>
      </c>
      <c r="H39" s="37">
        <f t="shared" ref="H39" si="46">G39*B39</f>
        <v>0.2</v>
      </c>
      <c r="I39" s="4">
        <f>H39*$C$2</f>
        <v>1618</v>
      </c>
      <c r="J39" s="51">
        <f>(D39+E39+F39+I39)*$C$3</f>
        <v>359.56889999999999</v>
      </c>
      <c r="K39" s="6"/>
      <c r="L39" s="17"/>
    </row>
    <row r="40" spans="1:13" ht="31.5" x14ac:dyDescent="0.5">
      <c r="A40" s="142" t="s">
        <v>458</v>
      </c>
      <c r="B40" s="196"/>
      <c r="C40" s="124"/>
      <c r="D40" s="32"/>
      <c r="E40" s="92"/>
      <c r="F40" s="123"/>
      <c r="G40" s="124"/>
      <c r="H40" s="32"/>
      <c r="I40" s="2"/>
      <c r="J40" s="52">
        <f>J41</f>
        <v>971.31240000000003</v>
      </c>
      <c r="K40" s="10">
        <f>895+76</f>
        <v>971</v>
      </c>
      <c r="L40" s="10">
        <f t="shared" ref="L40" si="47">K40-J40</f>
        <v>-0.3124000000000251</v>
      </c>
    </row>
    <row r="41" spans="1:13" x14ac:dyDescent="0.25">
      <c r="A41" s="39" t="s">
        <v>57</v>
      </c>
      <c r="B41" s="98">
        <v>1</v>
      </c>
      <c r="C41" s="99">
        <v>10900</v>
      </c>
      <c r="D41" s="37">
        <f t="shared" ref="D41" si="48">B41*C41</f>
        <v>10900</v>
      </c>
      <c r="E41" s="39">
        <f>D41*0.1</f>
        <v>1090</v>
      </c>
      <c r="F41" s="98">
        <v>2500</v>
      </c>
      <c r="G41" s="99">
        <v>0.2</v>
      </c>
      <c r="H41" s="37">
        <f t="shared" ref="H41" si="49">G41*B41</f>
        <v>0.2</v>
      </c>
      <c r="I41" s="4">
        <f>H41*$C$2</f>
        <v>1618</v>
      </c>
      <c r="J41" s="51">
        <f>(D41+E41+F41+I41)*$C$3</f>
        <v>971.31240000000003</v>
      </c>
      <c r="K41" s="6"/>
      <c r="L41" s="17"/>
    </row>
    <row r="42" spans="1:13" ht="31.5" x14ac:dyDescent="0.5">
      <c r="A42" s="142" t="s">
        <v>748</v>
      </c>
      <c r="B42" s="196"/>
      <c r="C42" s="124"/>
      <c r="D42" s="32"/>
      <c r="E42" s="92"/>
      <c r="F42" s="123"/>
      <c r="G42" s="124"/>
      <c r="H42" s="32"/>
      <c r="I42" s="2"/>
      <c r="J42" s="52">
        <f>J43</f>
        <v>1873.8586799999998</v>
      </c>
      <c r="K42" s="10">
        <f>1460+414</f>
        <v>1874</v>
      </c>
      <c r="L42" s="10">
        <f t="shared" ref="L42:L44" si="50">K42-J42</f>
        <v>0.14132000000017797</v>
      </c>
    </row>
    <row r="43" spans="1:13" x14ac:dyDescent="0.25">
      <c r="A43" s="195" t="s">
        <v>749</v>
      </c>
      <c r="B43" s="181">
        <v>1</v>
      </c>
      <c r="C43" s="180">
        <v>19800</v>
      </c>
      <c r="D43" s="37">
        <f t="shared" ref="D43" si="51">B43*C43</f>
        <v>19800</v>
      </c>
      <c r="E43" s="39">
        <f>D43*0.1</f>
        <v>1980</v>
      </c>
      <c r="F43" s="98">
        <v>2500</v>
      </c>
      <c r="G43" s="180">
        <v>0.84</v>
      </c>
      <c r="H43" s="37">
        <f t="shared" ref="H43:H45" si="52">G43*B43</f>
        <v>0.84</v>
      </c>
      <c r="I43" s="4">
        <f>H43*$C$2</f>
        <v>6795.5999999999995</v>
      </c>
      <c r="J43" s="51">
        <f>(D43+E43+F43+I43)*$C$3</f>
        <v>1873.8586799999998</v>
      </c>
      <c r="K43" s="6"/>
      <c r="L43" s="17"/>
    </row>
    <row r="44" spans="1:13" ht="31.5" x14ac:dyDescent="0.5">
      <c r="A44" s="142" t="s">
        <v>354</v>
      </c>
      <c r="B44" s="196"/>
      <c r="C44" s="124"/>
      <c r="D44" s="32"/>
      <c r="E44" s="92"/>
      <c r="F44" s="123"/>
      <c r="G44" s="124"/>
      <c r="H44" s="32"/>
      <c r="I44" s="2"/>
      <c r="J44" s="52">
        <f>J45</f>
        <v>827.40644999999995</v>
      </c>
      <c r="K44" s="10">
        <v>213</v>
      </c>
      <c r="L44" s="10">
        <f t="shared" si="50"/>
        <v>-614.40644999999995</v>
      </c>
    </row>
    <row r="45" spans="1:13" ht="15.75" thickBot="1" x14ac:dyDescent="0.3">
      <c r="A45" s="164" t="s">
        <v>733</v>
      </c>
      <c r="B45" s="198">
        <v>1</v>
      </c>
      <c r="C45" s="199">
        <v>9900</v>
      </c>
      <c r="D45" s="37">
        <f t="shared" ref="D45" si="53">B45*C45</f>
        <v>9900</v>
      </c>
      <c r="E45" s="39">
        <f>D45*0.1</f>
        <v>990</v>
      </c>
      <c r="F45" s="102">
        <v>0</v>
      </c>
      <c r="G45" s="200">
        <v>0.35</v>
      </c>
      <c r="H45" s="37">
        <f t="shared" si="52"/>
        <v>0.35</v>
      </c>
      <c r="I45" s="4">
        <f>H45*$C$2</f>
        <v>2831.5</v>
      </c>
      <c r="J45" s="51">
        <f>(D45+E45+F45+I45)*$C$3</f>
        <v>827.40644999999995</v>
      </c>
      <c r="K45" s="6"/>
      <c r="L45" s="17"/>
    </row>
    <row r="47" spans="1:13" ht="21" x14ac:dyDescent="0.35">
      <c r="A47" s="30" t="s">
        <v>738</v>
      </c>
    </row>
    <row r="48" spans="1:13" ht="31.5" x14ac:dyDescent="0.5">
      <c r="A48" s="152" t="s">
        <v>731</v>
      </c>
      <c r="B48" s="36" t="s">
        <v>742</v>
      </c>
    </row>
    <row r="49" spans="1:2" x14ac:dyDescent="0.25">
      <c r="A49" t="s">
        <v>739</v>
      </c>
    </row>
    <row r="50" spans="1:2" ht="31.5" x14ac:dyDescent="0.5">
      <c r="A50" s="152" t="s">
        <v>730</v>
      </c>
    </row>
    <row r="51" spans="1:2" x14ac:dyDescent="0.25">
      <c r="A51" t="s">
        <v>743</v>
      </c>
      <c r="B51" s="36" t="s">
        <v>740</v>
      </c>
    </row>
    <row r="52" spans="1:2" x14ac:dyDescent="0.25">
      <c r="A52" t="s">
        <v>743</v>
      </c>
      <c r="B52" s="36" t="s">
        <v>741</v>
      </c>
    </row>
  </sheetData>
  <hyperlinks>
    <hyperlink ref="A16" r:id="rId1" display="http://forum.sibmama.ru/viewtopic.php?p=63531625"/>
    <hyperlink ref="A20" r:id="rId2" display="http://forum.sibmama.ru/viewtopic.php?p=63531625"/>
    <hyperlink ref="B51" r:id="rId3" display="http://item2.gmarket.co.kr/English/detailview/item.aspx?goodscode=346997384"/>
    <hyperlink ref="B52" r:id="rId4"/>
    <hyperlink ref="B48" r:id="rId5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2"/>
  <sheetViews>
    <sheetView topLeftCell="A7" zoomScale="80" zoomScaleNormal="80" workbookViewId="0">
      <selection activeCell="M19" sqref="M19"/>
    </sheetView>
  </sheetViews>
  <sheetFormatPr defaultRowHeight="15" x14ac:dyDescent="0.25"/>
  <cols>
    <col min="1" max="1" width="35.140625" customWidth="1"/>
    <col min="3" max="3" width="17" customWidth="1"/>
    <col min="6" max="6" width="11.42578125" customWidth="1"/>
    <col min="10" max="10" width="13.28515625" customWidth="1"/>
    <col min="11" max="11" width="10.5703125" customWidth="1"/>
    <col min="12" max="12" width="14.28515625" customWidth="1"/>
  </cols>
  <sheetData>
    <row r="1" spans="1:13" ht="21" x14ac:dyDescent="0.35">
      <c r="A1" s="55" t="s">
        <v>281</v>
      </c>
      <c r="B1" s="4"/>
      <c r="C1" s="189">
        <v>42263</v>
      </c>
      <c r="D1" s="30"/>
    </row>
    <row r="2" spans="1:13" ht="21" x14ac:dyDescent="0.35">
      <c r="A2" s="55" t="s">
        <v>239</v>
      </c>
      <c r="B2" s="4"/>
      <c r="C2" s="16">
        <v>8350</v>
      </c>
      <c r="D2" s="30" t="s">
        <v>724</v>
      </c>
    </row>
    <row r="3" spans="1:13" ht="21" x14ac:dyDescent="0.35">
      <c r="A3" s="55" t="s">
        <v>240</v>
      </c>
      <c r="B3" s="4"/>
      <c r="C3" s="170">
        <v>5.8000000000000003E-2</v>
      </c>
      <c r="D3" s="30" t="s">
        <v>704</v>
      </c>
    </row>
    <row r="4" spans="1:13" ht="15.75" thickBot="1" x14ac:dyDescent="0.3"/>
    <row r="5" spans="1:13" ht="45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2" t="s">
        <v>732</v>
      </c>
      <c r="B6" s="196"/>
      <c r="C6" s="124"/>
      <c r="D6" s="32"/>
      <c r="E6" s="92"/>
      <c r="F6" s="177"/>
      <c r="G6" s="124"/>
      <c r="H6" s="32"/>
      <c r="I6" s="2"/>
      <c r="J6" s="52">
        <f>J7</f>
        <v>963.81500000000005</v>
      </c>
      <c r="K6" s="10">
        <v>992</v>
      </c>
      <c r="L6" s="10">
        <f t="shared" ref="L6" si="0">K6-J6</f>
        <v>28.184999999999945</v>
      </c>
    </row>
    <row r="7" spans="1:13" x14ac:dyDescent="0.25">
      <c r="A7" s="39" t="s">
        <v>753</v>
      </c>
      <c r="B7" s="201">
        <v>1</v>
      </c>
      <c r="C7" s="202">
        <v>7900</v>
      </c>
      <c r="D7" s="37">
        <f t="shared" ref="D7" si="1">B7*C7</f>
        <v>7900</v>
      </c>
      <c r="E7" s="39">
        <f>D7*0.1</f>
        <v>790</v>
      </c>
      <c r="F7" s="98">
        <v>2500</v>
      </c>
      <c r="G7" s="202">
        <v>0.65</v>
      </c>
      <c r="H7" s="37">
        <f t="shared" ref="H7" si="2">G7*B7</f>
        <v>0.65</v>
      </c>
      <c r="I7" s="4">
        <f>H7*$C$2</f>
        <v>5427.5</v>
      </c>
      <c r="J7" s="51">
        <f>(D7+E7+F7+I7)*$C$3</f>
        <v>963.81500000000005</v>
      </c>
      <c r="K7" s="6"/>
      <c r="L7" s="17"/>
    </row>
    <row r="8" spans="1:13" ht="31.5" x14ac:dyDescent="0.5">
      <c r="A8" s="142" t="s">
        <v>382</v>
      </c>
      <c r="B8" s="196"/>
      <c r="C8" s="124"/>
      <c r="D8" s="32"/>
      <c r="E8" s="92"/>
      <c r="F8" s="123"/>
      <c r="G8" s="124"/>
      <c r="H8" s="32"/>
      <c r="I8" s="2"/>
      <c r="J8" s="52">
        <f>J9</f>
        <v>956.94200000000001</v>
      </c>
      <c r="K8" s="10">
        <v>918</v>
      </c>
      <c r="L8" s="10">
        <f t="shared" ref="L8" si="3">K8-J8</f>
        <v>-38.942000000000007</v>
      </c>
    </row>
    <row r="9" spans="1:13" x14ac:dyDescent="0.25">
      <c r="A9" s="130" t="s">
        <v>754</v>
      </c>
      <c r="B9" s="98">
        <v>1</v>
      </c>
      <c r="C9" s="99">
        <v>10900</v>
      </c>
      <c r="D9" s="37">
        <f t="shared" ref="D9" si="4">B9*C9</f>
        <v>10900</v>
      </c>
      <c r="E9" s="39">
        <f>D9*0.1</f>
        <v>1090</v>
      </c>
      <c r="F9" s="98">
        <v>0</v>
      </c>
      <c r="G9" s="99">
        <v>0.54</v>
      </c>
      <c r="H9" s="37">
        <f t="shared" ref="H9" si="5">G9*B9</f>
        <v>0.54</v>
      </c>
      <c r="I9" s="4">
        <f>H9*$C$2</f>
        <v>4509</v>
      </c>
      <c r="J9" s="51">
        <f>(D9+E9+F9+I9)*$C$3</f>
        <v>956.94200000000001</v>
      </c>
      <c r="K9" s="6"/>
      <c r="L9" s="17"/>
    </row>
    <row r="10" spans="1:13" ht="31.5" x14ac:dyDescent="0.5">
      <c r="A10" s="142" t="s">
        <v>755</v>
      </c>
      <c r="B10" s="196"/>
      <c r="C10" s="124"/>
      <c r="D10" s="32"/>
      <c r="E10" s="92"/>
      <c r="F10" s="123"/>
      <c r="G10" s="124"/>
      <c r="H10" s="32"/>
      <c r="I10" s="2"/>
      <c r="J10" s="52">
        <f>J11</f>
        <v>690.43200000000002</v>
      </c>
      <c r="K10" s="10">
        <v>1797</v>
      </c>
      <c r="L10" s="10">
        <f t="shared" ref="L10" si="6">K10-J10</f>
        <v>1106.568</v>
      </c>
    </row>
    <row r="11" spans="1:13" x14ac:dyDescent="0.25">
      <c r="A11" s="39" t="s">
        <v>756</v>
      </c>
      <c r="B11" s="98">
        <v>3</v>
      </c>
      <c r="C11" s="99">
        <v>3000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0.08</v>
      </c>
      <c r="H11" s="37">
        <f t="shared" ref="H11" si="8">G11*B11</f>
        <v>0.24</v>
      </c>
      <c r="I11" s="4">
        <f>H11*$C$2</f>
        <v>2004</v>
      </c>
      <c r="J11" s="51">
        <f>(D11+E11+F11+I11)*$C$3</f>
        <v>690.43200000000002</v>
      </c>
      <c r="K11" s="6"/>
      <c r="L11" s="17"/>
    </row>
    <row r="12" spans="1:13" ht="31.5" x14ac:dyDescent="0.5">
      <c r="A12" s="142" t="s">
        <v>757</v>
      </c>
      <c r="B12" s="196"/>
      <c r="C12" s="124"/>
      <c r="D12" s="32"/>
      <c r="E12" s="92"/>
      <c r="F12" s="123"/>
      <c r="G12" s="124"/>
      <c r="H12" s="32"/>
      <c r="I12" s="2"/>
      <c r="J12" s="52">
        <f>J13</f>
        <v>437.00100000000003</v>
      </c>
      <c r="K12" s="10">
        <f>416+21</f>
        <v>437</v>
      </c>
      <c r="L12" s="10">
        <f t="shared" ref="L12" si="9">K12-J12</f>
        <v>-1.0000000000331966E-3</v>
      </c>
    </row>
    <row r="13" spans="1:13" x14ac:dyDescent="0.25">
      <c r="A13" s="39" t="s">
        <v>758</v>
      </c>
      <c r="B13" s="98">
        <v>1</v>
      </c>
      <c r="C13" s="99">
        <v>4800</v>
      </c>
      <c r="D13" s="37">
        <f t="shared" ref="D13" si="10">B13*C13</f>
        <v>4800</v>
      </c>
      <c r="E13" s="39">
        <f>D13*0.1</f>
        <v>480</v>
      </c>
      <c r="F13" s="98">
        <v>0</v>
      </c>
      <c r="G13" s="99">
        <v>0.27</v>
      </c>
      <c r="H13" s="37">
        <f t="shared" ref="H13" si="11">G13*B13</f>
        <v>0.27</v>
      </c>
      <c r="I13" s="4">
        <f>H13*$C$2</f>
        <v>2254.5</v>
      </c>
      <c r="J13" s="51">
        <f>(D13+E13+F13+I13)*$C$3</f>
        <v>437.00100000000003</v>
      </c>
      <c r="K13" s="6"/>
      <c r="L13" s="17"/>
    </row>
    <row r="14" spans="1:13" ht="31.5" x14ac:dyDescent="0.5">
      <c r="A14" s="142" t="s">
        <v>759</v>
      </c>
      <c r="B14" s="196"/>
      <c r="C14" s="124"/>
      <c r="D14" s="32"/>
      <c r="E14" s="92"/>
      <c r="F14" s="123"/>
      <c r="G14" s="124"/>
      <c r="H14" s="32"/>
      <c r="I14" s="2"/>
      <c r="J14" s="52">
        <f>J15</f>
        <v>364.53000000000003</v>
      </c>
      <c r="K14" s="10">
        <f>377-12</f>
        <v>365</v>
      </c>
      <c r="L14" s="10">
        <f t="shared" ref="L14" si="12">K14-J14</f>
        <v>0.46999999999997044</v>
      </c>
      <c r="M14" t="s">
        <v>776</v>
      </c>
    </row>
    <row r="15" spans="1:13" x14ac:dyDescent="0.25">
      <c r="A15" s="39" t="s">
        <v>760</v>
      </c>
      <c r="B15" s="98">
        <v>1</v>
      </c>
      <c r="C15" s="99">
        <v>4500</v>
      </c>
      <c r="D15" s="37">
        <f t="shared" ref="D15" si="13">B15*C15</f>
        <v>4500</v>
      </c>
      <c r="E15" s="39">
        <f>D15*0.1</f>
        <v>450</v>
      </c>
      <c r="F15" s="98">
        <v>500</v>
      </c>
      <c r="G15" s="99">
        <v>0.1</v>
      </c>
      <c r="H15" s="37">
        <f t="shared" ref="H15" si="14">G15*B15</f>
        <v>0.1</v>
      </c>
      <c r="I15" s="4">
        <f>H15*$C$2</f>
        <v>835</v>
      </c>
      <c r="J15" s="51">
        <f>(D15+E15+F15+I15)*$C$3</f>
        <v>364.53000000000003</v>
      </c>
      <c r="K15" s="6"/>
      <c r="L15" s="17"/>
    </row>
    <row r="16" spans="1:13" ht="31.5" x14ac:dyDescent="0.5">
      <c r="A16" s="142" t="s">
        <v>680</v>
      </c>
      <c r="B16" s="196"/>
      <c r="C16" s="124"/>
      <c r="D16" s="32"/>
      <c r="E16" s="92"/>
      <c r="F16" s="123"/>
      <c r="G16" s="124"/>
      <c r="H16" s="32"/>
      <c r="I16" s="2"/>
      <c r="J16" s="52">
        <f>J17</f>
        <v>1352.8790000000001</v>
      </c>
      <c r="K16" s="10">
        <v>1392</v>
      </c>
      <c r="L16" s="10">
        <f t="shared" ref="L16" si="15">K16-J16</f>
        <v>39.120999999999867</v>
      </c>
    </row>
    <row r="17" spans="1:13" x14ac:dyDescent="0.25">
      <c r="A17" s="39" t="s">
        <v>761</v>
      </c>
      <c r="B17" s="98">
        <v>1</v>
      </c>
      <c r="C17" s="99">
        <v>18700</v>
      </c>
      <c r="D17" s="37">
        <f t="shared" ref="D17" si="16">B17*C17</f>
        <v>18700</v>
      </c>
      <c r="E17" s="39">
        <f>D17*0.1</f>
        <v>1870</v>
      </c>
      <c r="F17" s="98">
        <v>0</v>
      </c>
      <c r="G17" s="99">
        <v>0.33</v>
      </c>
      <c r="H17" s="37">
        <f>G17*B17</f>
        <v>0.33</v>
      </c>
      <c r="I17" s="4">
        <f>H17*$C$2</f>
        <v>2755.5</v>
      </c>
      <c r="J17" s="51">
        <f>(D17+E17+F17+I17)*$C$3</f>
        <v>1352.8790000000001</v>
      </c>
      <c r="K17" s="6"/>
      <c r="L17" s="17"/>
    </row>
    <row r="18" spans="1:13" ht="31.5" x14ac:dyDescent="0.5">
      <c r="A18" s="142" t="s">
        <v>2</v>
      </c>
      <c r="B18" s="196"/>
      <c r="C18" s="124"/>
      <c r="D18" s="32"/>
      <c r="E18" s="92"/>
      <c r="F18" s="123"/>
      <c r="G18" s="124"/>
      <c r="H18" s="32"/>
      <c r="I18" s="2"/>
      <c r="J18" s="52">
        <f>J19+J20</f>
        <v>1230.18</v>
      </c>
      <c r="K18" s="10">
        <f>1273-89</f>
        <v>1184</v>
      </c>
      <c r="L18" s="10">
        <f t="shared" ref="L18" si="17">K18-J18</f>
        <v>-46.180000000000064</v>
      </c>
      <c r="M18" t="s">
        <v>777</v>
      </c>
    </row>
    <row r="19" spans="1:13" x14ac:dyDescent="0.25">
      <c r="A19" s="39" t="s">
        <v>762</v>
      </c>
      <c r="B19" s="98">
        <v>2</v>
      </c>
      <c r="C19" s="99">
        <v>3000</v>
      </c>
      <c r="D19" s="37">
        <f t="shared" ref="D19:D20" si="18">B19*C19</f>
        <v>6000</v>
      </c>
      <c r="E19" s="39">
        <f>D19*0.1</f>
        <v>600</v>
      </c>
      <c r="F19" s="98">
        <v>2500</v>
      </c>
      <c r="G19" s="99">
        <v>0.1</v>
      </c>
      <c r="H19" s="37">
        <f>G19*B19</f>
        <v>0.2</v>
      </c>
      <c r="I19" s="4">
        <f>H19*$C$2</f>
        <v>1670</v>
      </c>
      <c r="J19" s="51">
        <f>(D19+E19+F19+I19)*$C$3</f>
        <v>624.66000000000008</v>
      </c>
      <c r="K19" s="6"/>
      <c r="L19" s="17"/>
    </row>
    <row r="20" spans="1:13" x14ac:dyDescent="0.25">
      <c r="A20" s="39" t="s">
        <v>762</v>
      </c>
      <c r="B20" s="98">
        <v>2</v>
      </c>
      <c r="C20" s="99">
        <v>2850</v>
      </c>
      <c r="D20" s="37">
        <f t="shared" si="18"/>
        <v>5700</v>
      </c>
      <c r="E20" s="39">
        <f>D20*0.1</f>
        <v>570</v>
      </c>
      <c r="F20" s="98">
        <v>2500</v>
      </c>
      <c r="G20" s="99">
        <v>0.1</v>
      </c>
      <c r="H20" s="37">
        <f>G20*B20</f>
        <v>0.2</v>
      </c>
      <c r="I20" s="4">
        <f>H20*$C$2</f>
        <v>1670</v>
      </c>
      <c r="J20" s="51">
        <f>(D20+E20+F20+I20)*$C$3</f>
        <v>605.52</v>
      </c>
      <c r="K20" s="6"/>
      <c r="L20" s="17"/>
    </row>
    <row r="21" spans="1:13" ht="31.5" x14ac:dyDescent="0.5">
      <c r="A21" s="142" t="s">
        <v>763</v>
      </c>
      <c r="B21" s="196"/>
      <c r="C21" s="124"/>
      <c r="D21" s="32"/>
      <c r="E21" s="92"/>
      <c r="F21" s="123"/>
      <c r="G21" s="124"/>
      <c r="H21" s="32"/>
      <c r="I21" s="2"/>
      <c r="J21" s="52">
        <f>J22</f>
        <v>808.23</v>
      </c>
      <c r="K21" s="10">
        <v>910</v>
      </c>
      <c r="L21" s="10">
        <f t="shared" ref="L21" si="19">K21-J21</f>
        <v>101.76999999999998</v>
      </c>
    </row>
    <row r="22" spans="1:13" ht="15.75" thickBot="1" x14ac:dyDescent="0.3">
      <c r="A22" s="39" t="s">
        <v>764</v>
      </c>
      <c r="B22" s="102">
        <v>1</v>
      </c>
      <c r="C22" s="103">
        <v>6600</v>
      </c>
      <c r="D22" s="37">
        <f t="shared" ref="D22" si="20">B22*C22</f>
        <v>6600</v>
      </c>
      <c r="E22" s="39">
        <f>D22*0.1</f>
        <v>660</v>
      </c>
      <c r="F22" s="102">
        <v>2500</v>
      </c>
      <c r="G22" s="103">
        <v>0.5</v>
      </c>
      <c r="H22" s="37">
        <f>G22*B22</f>
        <v>0.5</v>
      </c>
      <c r="I22" s="4">
        <f>H22*$C$2</f>
        <v>4175</v>
      </c>
      <c r="J22" s="51">
        <f>(D22+E22+F22+I22)*$C$3</f>
        <v>808.23</v>
      </c>
      <c r="K22" s="6"/>
      <c r="L22" s="17"/>
    </row>
  </sheetData>
  <hyperlinks>
    <hyperlink ref="A21" r:id="rId1" display="http://forum.sibmama.ru/viewtopic.php?t=715424&amp;start=20880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"/>
  <sheetViews>
    <sheetView zoomScale="90" zoomScaleNormal="90" workbookViewId="0">
      <selection activeCell="F26" sqref="F26"/>
    </sheetView>
  </sheetViews>
  <sheetFormatPr defaultRowHeight="15" x14ac:dyDescent="0.25"/>
  <cols>
    <col min="1" max="1" width="41" customWidth="1"/>
    <col min="3" max="3" width="12.85546875" customWidth="1"/>
    <col min="6" max="6" width="12" customWidth="1"/>
    <col min="10" max="10" width="13.42578125" customWidth="1"/>
    <col min="11" max="11" width="12.140625" customWidth="1"/>
    <col min="12" max="12" width="14" customWidth="1"/>
  </cols>
  <sheetData>
    <row r="1" spans="1:12" ht="21" x14ac:dyDescent="0.35">
      <c r="A1" s="55" t="s">
        <v>281</v>
      </c>
      <c r="B1" s="4"/>
      <c r="C1" s="189">
        <v>42286</v>
      </c>
      <c r="D1" s="30"/>
    </row>
    <row r="2" spans="1:12" ht="21" x14ac:dyDescent="0.35">
      <c r="A2" s="55" t="s">
        <v>239</v>
      </c>
      <c r="B2" s="4"/>
      <c r="C2" s="16">
        <v>8230</v>
      </c>
      <c r="D2" s="30" t="s">
        <v>724</v>
      </c>
    </row>
    <row r="3" spans="1:12" ht="21" x14ac:dyDescent="0.35">
      <c r="A3" s="55" t="s">
        <v>240</v>
      </c>
      <c r="B3" s="4"/>
      <c r="C3" s="170">
        <v>5.6000000000000001E-2</v>
      </c>
      <c r="D3" s="30" t="s">
        <v>704</v>
      </c>
    </row>
    <row r="4" spans="1:12" ht="15.75" thickBot="1" x14ac:dyDescent="0.3"/>
    <row r="5" spans="1:12" ht="45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203" t="s">
        <v>766</v>
      </c>
      <c r="B6" s="204"/>
      <c r="C6" s="204"/>
      <c r="D6" s="32"/>
      <c r="E6" s="92"/>
      <c r="F6" s="177"/>
      <c r="G6" s="124"/>
      <c r="H6" s="32"/>
      <c r="I6" s="2"/>
      <c r="J6" s="52">
        <f>J7</f>
        <v>692.7088</v>
      </c>
      <c r="K6" s="10">
        <v>677</v>
      </c>
      <c r="L6" s="10">
        <f t="shared" ref="L6" si="0">K6-J6</f>
        <v>-15.708799999999997</v>
      </c>
    </row>
    <row r="7" spans="1:12" x14ac:dyDescent="0.25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0</v>
      </c>
      <c r="G7" s="4">
        <v>0.26</v>
      </c>
      <c r="H7" s="37">
        <f t="shared" ref="H7" si="2">G7*B7</f>
        <v>0.26</v>
      </c>
      <c r="I7" s="4">
        <f>H7*$C$2</f>
        <v>2139.8000000000002</v>
      </c>
      <c r="J7" s="51">
        <f>(D7+E7+F7+I7)*$C$3</f>
        <v>692.7088</v>
      </c>
      <c r="K7" s="6"/>
      <c r="L7" s="17"/>
    </row>
    <row r="8" spans="1:12" ht="31.5" x14ac:dyDescent="0.5">
      <c r="A8" s="152" t="s">
        <v>711</v>
      </c>
      <c r="B8" s="151"/>
      <c r="C8" s="151"/>
      <c r="D8" s="32"/>
      <c r="E8" s="92"/>
      <c r="F8" s="151"/>
      <c r="G8" s="151"/>
      <c r="H8" s="32"/>
      <c r="I8" s="2"/>
      <c r="J8" s="52">
        <f>J9</f>
        <v>1354.8416</v>
      </c>
      <c r="K8" s="10">
        <v>1362</v>
      </c>
      <c r="L8" s="10">
        <f t="shared" ref="L8" si="3">K8-J8</f>
        <v>7.1584000000000287</v>
      </c>
    </row>
    <row r="9" spans="1:12" x14ac:dyDescent="0.25">
      <c r="A9" s="4" t="s">
        <v>773</v>
      </c>
      <c r="B9" s="4">
        <v>4</v>
      </c>
      <c r="C9" s="4">
        <v>4900</v>
      </c>
      <c r="D9" s="37">
        <f t="shared" ref="D9" si="4">B9*C9</f>
        <v>19600</v>
      </c>
      <c r="E9" s="39">
        <f>D9*0.1</f>
        <v>1960</v>
      </c>
      <c r="F9" s="4">
        <v>0</v>
      </c>
      <c r="G9" s="4">
        <v>0.08</v>
      </c>
      <c r="H9" s="37">
        <f t="shared" ref="H9" si="5">G9*B9</f>
        <v>0.32</v>
      </c>
      <c r="I9" s="4">
        <f>H9*$C$2</f>
        <v>2633.6</v>
      </c>
      <c r="J9" s="51">
        <f>(D9+E9+F9+I9)*$C$3</f>
        <v>1354.8416</v>
      </c>
      <c r="K9" s="6"/>
      <c r="L9" s="17"/>
    </row>
    <row r="10" spans="1:12" ht="31.5" x14ac:dyDescent="0.5">
      <c r="A10" s="152" t="s">
        <v>767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874.27200000000005</v>
      </c>
      <c r="K10" s="10">
        <f>856+18</f>
        <v>874</v>
      </c>
      <c r="L10" s="10">
        <f t="shared" ref="L10" si="6">K10-J10</f>
        <v>-0.2720000000000482</v>
      </c>
    </row>
    <row r="11" spans="1:12" x14ac:dyDescent="0.25">
      <c r="A11" s="4" t="s">
        <v>768</v>
      </c>
      <c r="B11" s="4">
        <v>2</v>
      </c>
      <c r="C11" s="4">
        <v>5780</v>
      </c>
      <c r="D11" s="37">
        <f t="shared" ref="D11" si="7">B11*C11</f>
        <v>11560</v>
      </c>
      <c r="E11" s="39">
        <f>D11*0.1</f>
        <v>1156</v>
      </c>
      <c r="F11" s="4">
        <f>2500/2</f>
        <v>1250</v>
      </c>
      <c r="G11" s="4">
        <v>0.1</v>
      </c>
      <c r="H11" s="37">
        <f t="shared" ref="H11" si="8">G11*B11</f>
        <v>0.2</v>
      </c>
      <c r="I11" s="4">
        <f>H11*$C$2</f>
        <v>1646</v>
      </c>
      <c r="J11" s="51">
        <f>(D11+E11+F11+I11)*$C$3</f>
        <v>874.27200000000005</v>
      </c>
      <c r="K11" s="6"/>
      <c r="L11" s="17"/>
    </row>
    <row r="12" spans="1:12" ht="31.5" x14ac:dyDescent="0.5">
      <c r="A12" s="152" t="s">
        <v>769</v>
      </c>
      <c r="B12" s="151"/>
      <c r="C12" s="151"/>
      <c r="D12" s="32"/>
      <c r="E12" s="92"/>
      <c r="F12" s="151"/>
      <c r="G12" s="151"/>
      <c r="H12" s="32"/>
      <c r="I12" s="2"/>
      <c r="J12" s="52">
        <f>J13+J14</f>
        <v>658.89599999999996</v>
      </c>
      <c r="K12" s="10">
        <v>680</v>
      </c>
      <c r="L12" s="10">
        <f t="shared" ref="L12" si="9">K12-J12</f>
        <v>21.104000000000042</v>
      </c>
    </row>
    <row r="13" spans="1:12" x14ac:dyDescent="0.25">
      <c r="A13" s="17" t="s">
        <v>770</v>
      </c>
      <c r="B13" s="4">
        <v>1</v>
      </c>
      <c r="C13" s="4">
        <v>4800</v>
      </c>
      <c r="D13" s="37">
        <f t="shared" ref="D13:D14" si="10">B13*C13</f>
        <v>4800</v>
      </c>
      <c r="E13" s="39">
        <f>D13*0.1</f>
        <v>480</v>
      </c>
      <c r="F13" s="4">
        <v>0</v>
      </c>
      <c r="G13" s="4">
        <v>0.1</v>
      </c>
      <c r="H13" s="37">
        <f>G13*B13</f>
        <v>0.1</v>
      </c>
      <c r="I13" s="4">
        <f>H13*$C$2</f>
        <v>823</v>
      </c>
      <c r="J13" s="51">
        <f>(D13+E13+F13+I13)*$C$3</f>
        <v>341.76800000000003</v>
      </c>
      <c r="K13" s="6"/>
      <c r="L13" s="17"/>
    </row>
    <row r="14" spans="1:12" x14ac:dyDescent="0.25">
      <c r="A14" s="4" t="s">
        <v>49</v>
      </c>
      <c r="B14" s="4">
        <v>1</v>
      </c>
      <c r="C14" s="4">
        <v>4400</v>
      </c>
      <c r="D14" s="37">
        <f t="shared" si="10"/>
        <v>4400</v>
      </c>
      <c r="E14" s="39">
        <f>D14*0.1</f>
        <v>440</v>
      </c>
      <c r="F14" s="4">
        <v>0</v>
      </c>
      <c r="G14" s="4">
        <v>0.1</v>
      </c>
      <c r="H14" s="37">
        <f>G14*B14</f>
        <v>0.1</v>
      </c>
      <c r="I14" s="4">
        <f>H14*$C$2</f>
        <v>823</v>
      </c>
      <c r="J14" s="51">
        <f>(D14+E14+F14+I14)*$C$3</f>
        <v>317.12799999999999</v>
      </c>
      <c r="K14" s="6"/>
      <c r="L14" s="17"/>
    </row>
    <row r="15" spans="1:12" ht="31.5" x14ac:dyDescent="0.5">
      <c r="A15" s="152" t="s">
        <v>750</v>
      </c>
      <c r="B15" s="151"/>
      <c r="C15" s="151"/>
      <c r="D15" s="32"/>
      <c r="E15" s="92"/>
      <c r="F15" s="151"/>
      <c r="G15" s="151"/>
      <c r="H15" s="32"/>
      <c r="I15" s="2"/>
      <c r="J15" s="52">
        <f>J16+J17</f>
        <v>1500.1970666666666</v>
      </c>
      <c r="K15" s="10">
        <f>1460+40</f>
        <v>1500</v>
      </c>
      <c r="L15" s="10">
        <f t="shared" ref="L15" si="11">K15-J15</f>
        <v>-0.19706666666661476</v>
      </c>
    </row>
    <row r="16" spans="1:12" x14ac:dyDescent="0.25">
      <c r="A16" s="4" t="s">
        <v>771</v>
      </c>
      <c r="B16" s="4">
        <v>1</v>
      </c>
      <c r="C16" s="4">
        <v>9900</v>
      </c>
      <c r="D16" s="37">
        <f t="shared" ref="D16:D17" si="12">B16*C16</f>
        <v>9900</v>
      </c>
      <c r="E16" s="39">
        <f>D16*0.1</f>
        <v>990</v>
      </c>
      <c r="F16" s="4">
        <v>0</v>
      </c>
      <c r="G16" s="4">
        <v>0.8</v>
      </c>
      <c r="H16" s="37">
        <f>G16*B16</f>
        <v>0.8</v>
      </c>
      <c r="I16" s="4">
        <f>H16*$C$2</f>
        <v>6584</v>
      </c>
      <c r="J16" s="51">
        <f>(D16+E16+F16+I16)*$C$3</f>
        <v>978.54399999999998</v>
      </c>
      <c r="K16" s="6"/>
      <c r="L16" s="17"/>
    </row>
    <row r="17" spans="1:12" x14ac:dyDescent="0.25">
      <c r="A17" s="5" t="s">
        <v>772</v>
      </c>
      <c r="B17" s="4">
        <v>1</v>
      </c>
      <c r="C17" s="4">
        <v>5990</v>
      </c>
      <c r="D17" s="37">
        <f t="shared" si="12"/>
        <v>5990</v>
      </c>
      <c r="E17" s="39">
        <f>D17*0.1</f>
        <v>599</v>
      </c>
      <c r="F17" s="4">
        <f>2500/3</f>
        <v>833.33333333333337</v>
      </c>
      <c r="G17" s="4">
        <v>0.23</v>
      </c>
      <c r="H17" s="37">
        <f>G17*B17</f>
        <v>0.23</v>
      </c>
      <c r="I17" s="4">
        <f>H17*$C$2</f>
        <v>1892.9</v>
      </c>
      <c r="J17" s="51">
        <f>(D17+E17+F17+I17)*$C$3</f>
        <v>521.65306666666675</v>
      </c>
      <c r="K17" s="6"/>
      <c r="L17" s="1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4"/>
  <sheetViews>
    <sheetView topLeftCell="A25" zoomScale="70" zoomScaleNormal="70" workbookViewId="0">
      <selection activeCell="A28" sqref="A28:XFD31"/>
    </sheetView>
  </sheetViews>
  <sheetFormatPr defaultRowHeight="15" x14ac:dyDescent="0.25"/>
  <cols>
    <col min="1" max="1" width="60.85546875" customWidth="1"/>
    <col min="3" max="3" width="14.85546875" customWidth="1"/>
    <col min="10" max="10" width="10.42578125" customWidth="1"/>
    <col min="11" max="11" width="11.85546875" customWidth="1"/>
    <col min="12" max="12" width="11.42578125" customWidth="1"/>
  </cols>
  <sheetData>
    <row r="1" spans="1:13" ht="21" x14ac:dyDescent="0.35">
      <c r="A1" s="55" t="s">
        <v>281</v>
      </c>
      <c r="B1" s="4"/>
      <c r="C1" s="189">
        <v>42322</v>
      </c>
      <c r="D1" s="30"/>
    </row>
    <row r="2" spans="1:13" ht="21" x14ac:dyDescent="0.35">
      <c r="A2" s="55" t="s">
        <v>239</v>
      </c>
      <c r="B2" s="4"/>
      <c r="C2" s="16">
        <v>8390</v>
      </c>
      <c r="D2" s="30"/>
    </row>
    <row r="3" spans="1:13" ht="21" x14ac:dyDescent="0.35">
      <c r="A3" s="55" t="s">
        <v>240</v>
      </c>
      <c r="B3" s="4"/>
      <c r="C3" s="170">
        <v>5.7410000000000003E-2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778</v>
      </c>
      <c r="B6" s="151"/>
      <c r="C6" s="151"/>
      <c r="D6" s="32"/>
      <c r="E6" s="92"/>
      <c r="F6" s="177"/>
      <c r="G6" s="124"/>
      <c r="H6" s="32"/>
      <c r="I6" s="2"/>
      <c r="J6" s="52">
        <f>J7</f>
        <v>324.06031333333334</v>
      </c>
      <c r="K6" s="10">
        <v>315</v>
      </c>
      <c r="L6" s="10">
        <f t="shared" ref="L6" si="0">K6-J6</f>
        <v>-9.0603133333333403</v>
      </c>
    </row>
    <row r="7" spans="1:13" x14ac:dyDescent="0.25">
      <c r="A7" s="4" t="s">
        <v>779</v>
      </c>
      <c r="B7" s="4">
        <v>1</v>
      </c>
      <c r="C7" s="4">
        <v>3990</v>
      </c>
      <c r="D7" s="37">
        <f t="shared" ref="D7" si="1">B7*C7</f>
        <v>3990</v>
      </c>
      <c r="E7" s="39">
        <f>D7*0.1</f>
        <v>399</v>
      </c>
      <c r="F7" s="60">
        <f>2500/6</f>
        <v>416.66666666666669</v>
      </c>
      <c r="G7" s="4">
        <v>0.1</v>
      </c>
      <c r="H7" s="37">
        <f t="shared" ref="H7" si="2">G7*B7</f>
        <v>0.1</v>
      </c>
      <c r="I7" s="4">
        <f>H7*$C$2</f>
        <v>839</v>
      </c>
      <c r="J7" s="51">
        <f>(D7+E7+F7+I7)*$C$3</f>
        <v>324.06031333333334</v>
      </c>
      <c r="K7" s="6"/>
      <c r="L7" s="17"/>
    </row>
    <row r="8" spans="1:13" ht="31.5" x14ac:dyDescent="0.5">
      <c r="A8" s="152" t="s">
        <v>780</v>
      </c>
      <c r="B8" s="151"/>
      <c r="C8" s="151"/>
      <c r="D8" s="32"/>
      <c r="E8" s="92"/>
      <c r="F8" s="206"/>
      <c r="G8" s="151"/>
      <c r="H8" s="32"/>
      <c r="I8" s="2"/>
      <c r="J8" s="52">
        <f>J9</f>
        <v>324.06031333333334</v>
      </c>
      <c r="K8" s="10">
        <f>315+9</f>
        <v>324</v>
      </c>
      <c r="L8" s="10">
        <f t="shared" ref="L8" si="3">K8-J8</f>
        <v>-6.0313333333340324E-2</v>
      </c>
    </row>
    <row r="9" spans="1:13" x14ac:dyDescent="0.25">
      <c r="A9" s="4" t="s">
        <v>779</v>
      </c>
      <c r="B9" s="4">
        <v>1</v>
      </c>
      <c r="C9" s="4">
        <v>3990</v>
      </c>
      <c r="D9" s="37">
        <f t="shared" ref="D9" si="4">B9*C9</f>
        <v>3990</v>
      </c>
      <c r="E9" s="39">
        <f>D9*0.1</f>
        <v>399</v>
      </c>
      <c r="F9" s="60">
        <f>2500/6</f>
        <v>416.66666666666669</v>
      </c>
      <c r="G9" s="4">
        <v>0.1</v>
      </c>
      <c r="H9" s="37">
        <f t="shared" ref="H9" si="5">G9*B9</f>
        <v>0.1</v>
      </c>
      <c r="I9" s="4">
        <f>H9*$C$2</f>
        <v>839</v>
      </c>
      <c r="J9" s="51">
        <f>(D9+E9+F9+I9)*$C$3</f>
        <v>324.06031333333334</v>
      </c>
      <c r="K9" s="6"/>
      <c r="L9" s="17"/>
    </row>
    <row r="10" spans="1:13" ht="31.5" x14ac:dyDescent="0.5">
      <c r="A10" s="152" t="s">
        <v>781</v>
      </c>
      <c r="B10" s="151"/>
      <c r="C10" s="151"/>
      <c r="D10" s="32"/>
      <c r="E10" s="92"/>
      <c r="F10" s="206"/>
      <c r="G10" s="151"/>
      <c r="H10" s="32"/>
      <c r="I10" s="2"/>
      <c r="J10" s="52">
        <f>J11</f>
        <v>366.39253366666668</v>
      </c>
      <c r="K10" s="10">
        <f>342+24</f>
        <v>366</v>
      </c>
      <c r="L10" s="10">
        <f t="shared" ref="L10" si="6">K10-J10</f>
        <v>-0.39253366666667944</v>
      </c>
    </row>
    <row r="11" spans="1:13" x14ac:dyDescent="0.25">
      <c r="A11" s="4" t="s">
        <v>782</v>
      </c>
      <c r="B11" s="4">
        <v>1</v>
      </c>
      <c r="C11" s="4">
        <v>3290</v>
      </c>
      <c r="D11" s="37">
        <f t="shared" ref="D11" si="7">B11*C11</f>
        <v>3290</v>
      </c>
      <c r="E11" s="39">
        <f>D11*0.1</f>
        <v>329</v>
      </c>
      <c r="F11" s="60">
        <f>2500/3</f>
        <v>833.33333333333337</v>
      </c>
      <c r="G11" s="4">
        <v>0.23</v>
      </c>
      <c r="H11" s="37">
        <f t="shared" ref="H11" si="8">G11*B11</f>
        <v>0.23</v>
      </c>
      <c r="I11" s="4">
        <f>H11*$C$2</f>
        <v>1929.7</v>
      </c>
      <c r="J11" s="51">
        <f>(D11+E11+F11+I11)*$C$3</f>
        <v>366.39253366666668</v>
      </c>
      <c r="K11" s="6"/>
      <c r="L11" s="17"/>
    </row>
    <row r="12" spans="1:13" ht="31.5" x14ac:dyDescent="0.5">
      <c r="A12" s="152" t="s">
        <v>783</v>
      </c>
      <c r="B12" s="151"/>
      <c r="C12" s="151"/>
      <c r="D12" s="32"/>
      <c r="E12" s="92"/>
      <c r="F12" s="206"/>
      <c r="G12" s="151"/>
      <c r="H12" s="32"/>
      <c r="I12" s="2"/>
      <c r="J12" s="52">
        <f>J13</f>
        <v>0</v>
      </c>
      <c r="K12" s="10">
        <v>367</v>
      </c>
      <c r="L12" s="10">
        <f t="shared" ref="L12" si="9">K12-J12</f>
        <v>367</v>
      </c>
    </row>
    <row r="13" spans="1:13" x14ac:dyDescent="0.25">
      <c r="A13" s="18" t="s">
        <v>784</v>
      </c>
      <c r="B13" s="18">
        <v>2</v>
      </c>
      <c r="C13" s="18">
        <v>2200</v>
      </c>
      <c r="D13" s="192">
        <f t="shared" ref="D13" si="10">B13*C13</f>
        <v>4400</v>
      </c>
      <c r="E13" s="112">
        <f>D13*0.1</f>
        <v>440</v>
      </c>
      <c r="F13" s="208">
        <f>2500/9*2</f>
        <v>555.55555555555554</v>
      </c>
      <c r="G13" s="18">
        <v>7.0000000000000007E-2</v>
      </c>
      <c r="H13" s="192">
        <f t="shared" ref="H13" si="11">G13*B13</f>
        <v>0.14000000000000001</v>
      </c>
      <c r="I13" s="18">
        <f>H13*$C$2</f>
        <v>1174.6000000000001</v>
      </c>
      <c r="J13" s="78"/>
      <c r="K13" s="209"/>
      <c r="L13" s="210"/>
      <c r="M13" t="s">
        <v>809</v>
      </c>
    </row>
    <row r="14" spans="1:13" ht="31.5" x14ac:dyDescent="0.5">
      <c r="A14" s="152" t="s">
        <v>682</v>
      </c>
      <c r="B14" s="151"/>
      <c r="C14" s="151"/>
      <c r="D14" s="32"/>
      <c r="E14" s="92"/>
      <c r="F14" s="206"/>
      <c r="G14" s="151"/>
      <c r="H14" s="32"/>
      <c r="I14" s="2"/>
      <c r="J14" s="52">
        <f>J15</f>
        <v>0</v>
      </c>
      <c r="K14" s="10">
        <f>1015-1015</f>
        <v>0</v>
      </c>
      <c r="L14" s="10">
        <f t="shared" ref="L14" si="12">K14-J14</f>
        <v>0</v>
      </c>
    </row>
    <row r="15" spans="1:13" x14ac:dyDescent="0.25">
      <c r="A15" s="18" t="s">
        <v>785</v>
      </c>
      <c r="B15" s="18">
        <v>1</v>
      </c>
      <c r="C15" s="18">
        <v>11210</v>
      </c>
      <c r="D15" s="192">
        <f t="shared" ref="D15" si="13">B15*C15</f>
        <v>11210</v>
      </c>
      <c r="E15" s="112">
        <f>D15*0.1</f>
        <v>1121</v>
      </c>
      <c r="F15" s="208">
        <v>2500</v>
      </c>
      <c r="G15" s="18">
        <v>0.4</v>
      </c>
      <c r="H15" s="192">
        <f t="shared" ref="H15" si="14">G15*B15</f>
        <v>0.4</v>
      </c>
      <c r="I15" s="18">
        <f>H15*$C$2</f>
        <v>3356</v>
      </c>
      <c r="J15" s="78"/>
      <c r="K15" s="209"/>
      <c r="L15" s="210"/>
      <c r="M15" t="s">
        <v>817</v>
      </c>
    </row>
    <row r="16" spans="1:13" ht="31.5" x14ac:dyDescent="0.5">
      <c r="A16" s="152" t="s">
        <v>786</v>
      </c>
      <c r="B16" s="151"/>
      <c r="C16" s="151"/>
      <c r="D16" s="32"/>
      <c r="E16" s="92"/>
      <c r="F16" s="206"/>
      <c r="G16" s="151"/>
      <c r="H16" s="32"/>
      <c r="I16" s="2"/>
      <c r="J16" s="52">
        <f>J17</f>
        <v>697.09135666666668</v>
      </c>
      <c r="K16" s="10">
        <f>676+21</f>
        <v>697</v>
      </c>
      <c r="L16" s="10">
        <f t="shared" ref="L16" si="15">K16-J16</f>
        <v>-9.135666666668385E-2</v>
      </c>
    </row>
    <row r="17" spans="1:12" x14ac:dyDescent="0.25">
      <c r="A17" s="4" t="s">
        <v>787</v>
      </c>
      <c r="B17" s="4">
        <v>1</v>
      </c>
      <c r="C17" s="4">
        <v>7230</v>
      </c>
      <c r="D17" s="37">
        <f t="shared" ref="D17" si="16">B17*C17</f>
        <v>7230</v>
      </c>
      <c r="E17" s="39">
        <f>D17*0.1</f>
        <v>723</v>
      </c>
      <c r="F17" s="60">
        <f>2500/3</f>
        <v>833.33333333333337</v>
      </c>
      <c r="G17" s="4">
        <v>0.4</v>
      </c>
      <c r="H17" s="37">
        <f t="shared" ref="H17" si="17">G17*B17</f>
        <v>0.4</v>
      </c>
      <c r="I17" s="4">
        <f>H17*$C$2</f>
        <v>3356</v>
      </c>
      <c r="J17" s="51">
        <f>(D17+E17+F17+I17)*$C$3</f>
        <v>697.09135666666668</v>
      </c>
      <c r="K17" s="6"/>
      <c r="L17" s="17"/>
    </row>
    <row r="18" spans="1:12" ht="31.5" x14ac:dyDescent="0.5">
      <c r="A18" s="152" t="s">
        <v>482</v>
      </c>
      <c r="B18" s="151"/>
      <c r="C18" s="151"/>
      <c r="D18" s="32"/>
      <c r="E18" s="92"/>
      <c r="F18" s="206"/>
      <c r="G18" s="151"/>
      <c r="H18" s="32"/>
      <c r="I18" s="2"/>
      <c r="J18" s="52">
        <f>J19+J20</f>
        <v>1720.8915413333334</v>
      </c>
      <c r="K18" s="10">
        <f>1663+58</f>
        <v>1721</v>
      </c>
      <c r="L18" s="10">
        <f t="shared" ref="L18" si="18">K18-J18</f>
        <v>0.10845866666659276</v>
      </c>
    </row>
    <row r="19" spans="1:12" ht="23.25" x14ac:dyDescent="0.35">
      <c r="A19" s="4" t="s">
        <v>779</v>
      </c>
      <c r="B19" s="205">
        <v>2</v>
      </c>
      <c r="C19" s="4">
        <v>3990</v>
      </c>
      <c r="D19" s="37">
        <f t="shared" ref="D19" si="19">B19*C19</f>
        <v>7980</v>
      </c>
      <c r="E19" s="39">
        <f>D19*0.1</f>
        <v>798</v>
      </c>
      <c r="F19" s="60">
        <f>2500/6</f>
        <v>416.66666666666669</v>
      </c>
      <c r="G19" s="4">
        <v>0.1</v>
      </c>
      <c r="H19" s="37">
        <f>G19*B19</f>
        <v>0.2</v>
      </c>
      <c r="I19" s="4">
        <f>H19*$C$2</f>
        <v>1678</v>
      </c>
      <c r="J19" s="51">
        <f>(D19+E19+F19+I19)*$C$3</f>
        <v>624.19979333333333</v>
      </c>
      <c r="K19" s="6"/>
      <c r="L19" s="17"/>
    </row>
    <row r="20" spans="1:12" x14ac:dyDescent="0.25">
      <c r="A20" s="4" t="s">
        <v>788</v>
      </c>
      <c r="B20" s="4">
        <v>1</v>
      </c>
      <c r="C20" s="4">
        <v>13400</v>
      </c>
      <c r="D20" s="37">
        <f t="shared" ref="D20" si="20">B20*C20</f>
        <v>13400</v>
      </c>
      <c r="E20" s="39">
        <f>D20*0.1</f>
        <v>1340</v>
      </c>
      <c r="F20" s="60">
        <v>0</v>
      </c>
      <c r="G20" s="4">
        <v>0.52</v>
      </c>
      <c r="H20" s="37">
        <f>G20*B20</f>
        <v>0.52</v>
      </c>
      <c r="I20" s="4">
        <f>H20*$C$2</f>
        <v>4362.8</v>
      </c>
      <c r="J20" s="51">
        <f>(D20+E20+F20+I20)*$C$3</f>
        <v>1096.691748</v>
      </c>
      <c r="K20" s="6"/>
      <c r="L20" s="17"/>
    </row>
    <row r="21" spans="1:12" ht="31.5" x14ac:dyDescent="0.5">
      <c r="A21" s="152" t="s">
        <v>500</v>
      </c>
      <c r="B21" s="151"/>
      <c r="C21" s="151"/>
      <c r="D21" s="32"/>
      <c r="E21" s="92"/>
      <c r="F21" s="206"/>
      <c r="G21" s="151"/>
      <c r="H21" s="32"/>
      <c r="I21" s="2"/>
      <c r="J21" s="52">
        <f>J22+J23</f>
        <v>4361.1793550000002</v>
      </c>
      <c r="K21" s="10">
        <v>4031</v>
      </c>
      <c r="L21" s="10">
        <f t="shared" ref="L21" si="21">K21-J21</f>
        <v>-330.17935500000021</v>
      </c>
    </row>
    <row r="22" spans="1:12" x14ac:dyDescent="0.25">
      <c r="A22" s="4" t="s">
        <v>668</v>
      </c>
      <c r="B22" s="4">
        <v>5</v>
      </c>
      <c r="C22" s="4">
        <v>9900</v>
      </c>
      <c r="D22" s="37">
        <f t="shared" ref="D22" si="22">B22*C22</f>
        <v>49500</v>
      </c>
      <c r="E22" s="39">
        <f>D22*0.1</f>
        <v>4950</v>
      </c>
      <c r="F22" s="60">
        <v>0</v>
      </c>
      <c r="G22" s="4">
        <v>0.26</v>
      </c>
      <c r="H22" s="37">
        <f>G22*B22</f>
        <v>1.3</v>
      </c>
      <c r="I22" s="4">
        <f>H22*$C$2</f>
        <v>10907</v>
      </c>
      <c r="J22" s="51">
        <f>(D22+E22+F22+I22)*$C$3</f>
        <v>3752.1453700000002</v>
      </c>
      <c r="K22" s="6"/>
      <c r="L22" s="17"/>
    </row>
    <row r="23" spans="1:12" x14ac:dyDescent="0.25">
      <c r="A23" s="4" t="s">
        <v>789</v>
      </c>
      <c r="B23" s="4">
        <v>1</v>
      </c>
      <c r="C23" s="4">
        <v>8500</v>
      </c>
      <c r="D23" s="37">
        <f t="shared" ref="D23" si="23">B23*C23</f>
        <v>8500</v>
      </c>
      <c r="E23" s="39">
        <f>D23*0.1</f>
        <v>850</v>
      </c>
      <c r="F23" s="60">
        <v>0</v>
      </c>
      <c r="G23" s="4">
        <v>0.15</v>
      </c>
      <c r="H23" s="37">
        <f>G23*B23</f>
        <v>0.15</v>
      </c>
      <c r="I23" s="4">
        <f>H23*$C$2</f>
        <v>1258.5</v>
      </c>
      <c r="J23" s="51">
        <f>(D23+E23+F23+I23)*$C$3</f>
        <v>609.03398500000003</v>
      </c>
      <c r="K23" s="6"/>
      <c r="L23" s="17"/>
    </row>
    <row r="24" spans="1:12" ht="31.5" x14ac:dyDescent="0.5">
      <c r="A24" s="152" t="s">
        <v>331</v>
      </c>
      <c r="B24" s="151"/>
      <c r="C24" s="151"/>
      <c r="D24" s="32"/>
      <c r="E24" s="92"/>
      <c r="F24" s="206"/>
      <c r="G24" s="151"/>
      <c r="H24" s="32"/>
      <c r="I24" s="2"/>
      <c r="J24" s="52">
        <f>SUM(J25:J27)</f>
        <v>1686.9756270000003</v>
      </c>
      <c r="K24" s="10">
        <v>2508</v>
      </c>
      <c r="L24" s="10">
        <f t="shared" ref="L24" si="24">K24-J24</f>
        <v>821.02437299999974</v>
      </c>
    </row>
    <row r="25" spans="1:12" x14ac:dyDescent="0.25">
      <c r="A25" s="18" t="s">
        <v>790</v>
      </c>
      <c r="B25" s="18">
        <v>1</v>
      </c>
      <c r="C25" s="18">
        <v>12600</v>
      </c>
      <c r="D25" s="192">
        <f t="shared" ref="D25:D27" si="25">B25*C25</f>
        <v>12600</v>
      </c>
      <c r="E25" s="112">
        <f>D25*0.1</f>
        <v>1260</v>
      </c>
      <c r="F25" s="208">
        <v>0</v>
      </c>
      <c r="G25" s="18">
        <v>0.4</v>
      </c>
      <c r="H25" s="192">
        <f t="shared" ref="H25:H27" si="26">G25*B25</f>
        <v>0.4</v>
      </c>
      <c r="I25" s="18">
        <f>H25*$C$2</f>
        <v>3356</v>
      </c>
      <c r="J25" s="78"/>
      <c r="K25" s="209"/>
      <c r="L25" s="210"/>
    </row>
    <row r="26" spans="1:12" x14ac:dyDescent="0.25">
      <c r="A26" s="41" t="s">
        <v>791</v>
      </c>
      <c r="B26" s="4">
        <v>1</v>
      </c>
      <c r="C26" s="4">
        <v>6700</v>
      </c>
      <c r="D26" s="37">
        <f t="shared" si="25"/>
        <v>6700</v>
      </c>
      <c r="E26" s="39">
        <f>D26*0.1</f>
        <v>670</v>
      </c>
      <c r="F26" s="60">
        <v>2500</v>
      </c>
      <c r="G26" s="4">
        <v>0.23</v>
      </c>
      <c r="H26" s="37">
        <f t="shared" si="26"/>
        <v>0.23</v>
      </c>
      <c r="I26" s="4">
        <f>H26*$C$2</f>
        <v>1929.7</v>
      </c>
      <c r="J26" s="51">
        <f>(D26+E26+F26+I26)*$C$3</f>
        <v>677.42077700000004</v>
      </c>
      <c r="K26" s="6"/>
      <c r="L26" s="17"/>
    </row>
    <row r="27" spans="1:12" x14ac:dyDescent="0.25">
      <c r="A27" s="4" t="s">
        <v>792</v>
      </c>
      <c r="B27" s="4">
        <v>1</v>
      </c>
      <c r="C27" s="4">
        <v>9900</v>
      </c>
      <c r="D27" s="37">
        <f t="shared" si="25"/>
        <v>9900</v>
      </c>
      <c r="E27" s="39">
        <f>D27*0.1</f>
        <v>990</v>
      </c>
      <c r="F27" s="60">
        <v>2500</v>
      </c>
      <c r="G27" s="4">
        <v>0.5</v>
      </c>
      <c r="H27" s="37">
        <f t="shared" si="26"/>
        <v>0.5</v>
      </c>
      <c r="I27" s="4">
        <f>H27*$C$2</f>
        <v>4195</v>
      </c>
      <c r="J27" s="51">
        <f>(D27+E27+F27+I27)*$C$3</f>
        <v>1009.5548500000001</v>
      </c>
      <c r="K27" s="6"/>
      <c r="L27" s="17"/>
    </row>
    <row r="28" spans="1:12" ht="31.5" x14ac:dyDescent="0.5">
      <c r="A28" s="203" t="s">
        <v>680</v>
      </c>
      <c r="B28" s="151"/>
      <c r="C28" s="151"/>
      <c r="D28" s="32"/>
      <c r="E28" s="92"/>
      <c r="F28" s="206"/>
      <c r="G28" s="151"/>
      <c r="H28" s="32"/>
      <c r="I28" s="2"/>
      <c r="J28" s="52">
        <f>SUM(J29:J31)</f>
        <v>2990.291706</v>
      </c>
      <c r="K28" s="10">
        <f>2853+137</f>
        <v>2990</v>
      </c>
      <c r="L28" s="10">
        <f t="shared" ref="L28" si="27">K28-J28</f>
        <v>-0.29170599999997648</v>
      </c>
    </row>
    <row r="29" spans="1:12" x14ac:dyDescent="0.25">
      <c r="A29" s="17" t="s">
        <v>793</v>
      </c>
      <c r="B29" s="4">
        <v>1</v>
      </c>
      <c r="C29" s="4">
        <v>16900</v>
      </c>
      <c r="D29" s="37">
        <f t="shared" ref="D29:D31" si="28">B29*C29</f>
        <v>16900</v>
      </c>
      <c r="E29" s="39">
        <f>D29*0.1</f>
        <v>1690</v>
      </c>
      <c r="F29" s="60">
        <v>0</v>
      </c>
      <c r="G29" s="4">
        <v>0.34</v>
      </c>
      <c r="H29" s="37">
        <f t="shared" ref="H29:H31" si="29">G29*B29</f>
        <v>0.34</v>
      </c>
      <c r="I29" s="4">
        <f>H29*$C$2</f>
        <v>2852.6000000000004</v>
      </c>
      <c r="J29" s="51">
        <f>(D29+E29+F29+I29)*$C$3</f>
        <v>1231.0196659999999</v>
      </c>
      <c r="K29" s="6"/>
      <c r="L29" s="17"/>
    </row>
    <row r="30" spans="1:12" x14ac:dyDescent="0.25">
      <c r="A30" s="17" t="s">
        <v>794</v>
      </c>
      <c r="B30" s="4">
        <v>1</v>
      </c>
      <c r="C30" s="4">
        <v>12900</v>
      </c>
      <c r="D30" s="37">
        <f t="shared" si="28"/>
        <v>12900</v>
      </c>
      <c r="E30" s="39">
        <f>D30*0.1</f>
        <v>1290</v>
      </c>
      <c r="F30" s="60">
        <v>0</v>
      </c>
      <c r="G30" s="4">
        <v>1</v>
      </c>
      <c r="H30" s="37">
        <f t="shared" si="29"/>
        <v>1</v>
      </c>
      <c r="I30" s="4">
        <f>H30*$C$2</f>
        <v>8390</v>
      </c>
      <c r="J30" s="51">
        <f>(D30+E30+F30+I30)*$C$3</f>
        <v>1296.3178</v>
      </c>
      <c r="K30" s="6"/>
      <c r="L30" s="17"/>
    </row>
    <row r="31" spans="1:12" x14ac:dyDescent="0.25">
      <c r="A31" s="17" t="s">
        <v>795</v>
      </c>
      <c r="B31" s="4">
        <v>1</v>
      </c>
      <c r="C31" s="4">
        <v>6000</v>
      </c>
      <c r="D31" s="37">
        <f t="shared" si="28"/>
        <v>6000</v>
      </c>
      <c r="E31" s="39">
        <f>D31*0.1</f>
        <v>600</v>
      </c>
      <c r="F31" s="60">
        <f>2500/4</f>
        <v>625</v>
      </c>
      <c r="G31" s="4">
        <v>0.1</v>
      </c>
      <c r="H31" s="37">
        <f t="shared" si="29"/>
        <v>0.1</v>
      </c>
      <c r="I31" s="4">
        <f>H31*$C$2</f>
        <v>839</v>
      </c>
      <c r="J31" s="51">
        <f>(D31+E31+F31+I31)*$C$3</f>
        <v>462.95424000000003</v>
      </c>
      <c r="K31" s="6"/>
      <c r="L31" s="17"/>
    </row>
    <row r="32" spans="1:12" ht="31.5" x14ac:dyDescent="0.5">
      <c r="A32" s="152" t="s">
        <v>769</v>
      </c>
      <c r="B32" s="151"/>
      <c r="C32" s="151"/>
      <c r="D32" s="32"/>
      <c r="E32" s="92"/>
      <c r="F32" s="206"/>
      <c r="G32" s="151"/>
      <c r="H32" s="32"/>
      <c r="I32" s="2"/>
      <c r="J32" s="52">
        <f>SUM(J33:J35)</f>
        <v>1851.9930173333335</v>
      </c>
      <c r="K32" s="10">
        <f>1677+175</f>
        <v>1852</v>
      </c>
      <c r="L32" s="10">
        <f t="shared" ref="L32" si="30">K32-J32</f>
        <v>6.9826666665449011E-3</v>
      </c>
    </row>
    <row r="33" spans="1:12" x14ac:dyDescent="0.25">
      <c r="A33" s="17" t="s">
        <v>796</v>
      </c>
      <c r="B33" s="4">
        <v>4</v>
      </c>
      <c r="C33" s="4">
        <v>650</v>
      </c>
      <c r="D33" s="37">
        <f t="shared" ref="D33:D35" si="31">B33*C33</f>
        <v>2600</v>
      </c>
      <c r="E33" s="39">
        <f>D33*0.1</f>
        <v>260</v>
      </c>
      <c r="F33" s="60">
        <v>2500</v>
      </c>
      <c r="G33" s="4"/>
      <c r="H33" s="37">
        <v>0.6</v>
      </c>
      <c r="I33" s="4">
        <f>H33*$C$2</f>
        <v>5034</v>
      </c>
      <c r="J33" s="51">
        <f>(D33+E33+F33+I33)*$C$3</f>
        <v>596.71954000000005</v>
      </c>
      <c r="K33" s="6"/>
      <c r="L33" s="17"/>
    </row>
    <row r="34" spans="1:12" x14ac:dyDescent="0.25">
      <c r="A34" s="4" t="s">
        <v>779</v>
      </c>
      <c r="B34" s="4">
        <v>1</v>
      </c>
      <c r="C34" s="4">
        <v>3990</v>
      </c>
      <c r="D34" s="37">
        <f t="shared" si="31"/>
        <v>3990</v>
      </c>
      <c r="E34" s="39">
        <f>D34*0.1</f>
        <v>399</v>
      </c>
      <c r="F34" s="60">
        <f>2500/6</f>
        <v>416.66666666666669</v>
      </c>
      <c r="G34" s="4">
        <v>0.1</v>
      </c>
      <c r="H34" s="37">
        <f t="shared" ref="H34:H35" si="32">G34*B34</f>
        <v>0.1</v>
      </c>
      <c r="I34" s="4">
        <f>H34*$C$2</f>
        <v>839</v>
      </c>
      <c r="J34" s="51">
        <f>(D34+E34+F34+I34)*$C$3</f>
        <v>324.06031333333334</v>
      </c>
      <c r="K34" s="6"/>
      <c r="L34" s="17"/>
    </row>
    <row r="35" spans="1:12" x14ac:dyDescent="0.25">
      <c r="A35" s="191" t="s">
        <v>797</v>
      </c>
      <c r="B35" s="4">
        <v>1</v>
      </c>
      <c r="C35" s="4">
        <v>12000</v>
      </c>
      <c r="D35" s="37">
        <f t="shared" si="31"/>
        <v>12000</v>
      </c>
      <c r="E35" s="39">
        <f>D35*0.1</f>
        <v>1200</v>
      </c>
      <c r="F35" s="60">
        <v>0</v>
      </c>
      <c r="G35" s="4">
        <v>0.36</v>
      </c>
      <c r="H35" s="37">
        <f t="shared" si="32"/>
        <v>0.36</v>
      </c>
      <c r="I35" s="4">
        <f>H35*$C$2</f>
        <v>3020.4</v>
      </c>
      <c r="J35" s="51">
        <f>(D35+E35+F35+I35)*$C$3</f>
        <v>931.21316400000001</v>
      </c>
      <c r="K35" s="6"/>
      <c r="L35" s="17"/>
    </row>
    <row r="36" spans="1:12" ht="31.5" x14ac:dyDescent="0.5">
      <c r="A36" s="152" t="s">
        <v>763</v>
      </c>
      <c r="B36" s="151"/>
      <c r="C36" s="151"/>
      <c r="D36" s="32"/>
      <c r="E36" s="92"/>
      <c r="F36" s="206"/>
      <c r="G36" s="151"/>
      <c r="H36" s="32"/>
      <c r="I36" s="2"/>
      <c r="J36" s="52">
        <f>SUM(J37:J39)</f>
        <v>2004.292179</v>
      </c>
      <c r="K36" s="10">
        <f>1793+110</f>
        <v>1903</v>
      </c>
      <c r="L36" s="10">
        <f t="shared" ref="L36" si="33">K36-J36</f>
        <v>-101.29217900000003</v>
      </c>
    </row>
    <row r="37" spans="1:12" x14ac:dyDescent="0.25">
      <c r="A37" s="4" t="s">
        <v>798</v>
      </c>
      <c r="B37" s="4">
        <v>1</v>
      </c>
      <c r="C37" s="4">
        <v>13900</v>
      </c>
      <c r="D37" s="37">
        <f t="shared" ref="D37:D39" si="34">B37*C37</f>
        <v>13900</v>
      </c>
      <c r="E37" s="39">
        <f>D37*0.1</f>
        <v>1390</v>
      </c>
      <c r="F37" s="60">
        <v>0</v>
      </c>
      <c r="G37" s="4">
        <v>0.22</v>
      </c>
      <c r="H37" s="37">
        <f t="shared" ref="H37:H39" si="35">G37*B37</f>
        <v>0.22</v>
      </c>
      <c r="I37" s="4">
        <f>H37*$C$2</f>
        <v>1845.8</v>
      </c>
      <c r="J37" s="51">
        <f>(D37+E37+F37+I37)*$C$3</f>
        <v>983.76627800000006</v>
      </c>
      <c r="K37" s="6"/>
      <c r="L37" s="17"/>
    </row>
    <row r="38" spans="1:12" x14ac:dyDescent="0.25">
      <c r="A38" s="4" t="s">
        <v>799</v>
      </c>
      <c r="B38" s="4">
        <v>1</v>
      </c>
      <c r="C38" s="4">
        <v>2640</v>
      </c>
      <c r="D38" s="37">
        <f t="shared" si="34"/>
        <v>2640</v>
      </c>
      <c r="E38" s="39">
        <f>D38*0.1</f>
        <v>264</v>
      </c>
      <c r="F38" s="60">
        <v>2500</v>
      </c>
      <c r="G38" s="4">
        <v>0.12</v>
      </c>
      <c r="H38" s="37">
        <f t="shared" si="35"/>
        <v>0.12</v>
      </c>
      <c r="I38" s="4">
        <f>H38*$C$2</f>
        <v>1006.8</v>
      </c>
      <c r="J38" s="51">
        <f>(D38+E38+F38+I38)*$C$3</f>
        <v>368.04402800000003</v>
      </c>
      <c r="K38" s="6"/>
      <c r="L38" s="17"/>
    </row>
    <row r="39" spans="1:12" x14ac:dyDescent="0.25">
      <c r="A39" s="4" t="s">
        <v>800</v>
      </c>
      <c r="B39" s="4">
        <v>1</v>
      </c>
      <c r="C39" s="4">
        <v>6000</v>
      </c>
      <c r="D39" s="37">
        <f t="shared" si="34"/>
        <v>6000</v>
      </c>
      <c r="E39" s="39">
        <f>D39*0.1</f>
        <v>600</v>
      </c>
      <c r="F39" s="60">
        <v>2500</v>
      </c>
      <c r="G39" s="4">
        <v>0.27</v>
      </c>
      <c r="H39" s="37">
        <f t="shared" si="35"/>
        <v>0.27</v>
      </c>
      <c r="I39" s="4">
        <f>H39*$C$2</f>
        <v>2265.3000000000002</v>
      </c>
      <c r="J39" s="51">
        <f>(D39+E39+F39+I39)*$C$3</f>
        <v>652.48187299999995</v>
      </c>
      <c r="K39" s="6"/>
      <c r="L39" s="17"/>
    </row>
    <row r="40" spans="1:12" ht="31.5" x14ac:dyDescent="0.5">
      <c r="A40" s="152" t="s">
        <v>688</v>
      </c>
      <c r="B40" s="196"/>
      <c r="C40" s="124"/>
      <c r="D40" s="32"/>
      <c r="E40" s="92"/>
      <c r="F40" s="207"/>
      <c r="G40" s="124"/>
      <c r="H40" s="32"/>
      <c r="I40" s="2"/>
      <c r="J40" s="52">
        <f>SUM(J41:J44)</f>
        <v>2221.1756770000002</v>
      </c>
      <c r="K40" s="10">
        <f>2143+78</f>
        <v>2221</v>
      </c>
      <c r="L40" s="10">
        <f t="shared" ref="L40" si="36">K40-J40</f>
        <v>-0.17567700000017794</v>
      </c>
    </row>
    <row r="41" spans="1:12" x14ac:dyDescent="0.25">
      <c r="A41" s="17" t="s">
        <v>801</v>
      </c>
      <c r="B41" s="4">
        <v>1</v>
      </c>
      <c r="C41" s="4">
        <v>6000</v>
      </c>
      <c r="D41" s="37">
        <f t="shared" ref="D41:D44" si="37">B41*C41</f>
        <v>6000</v>
      </c>
      <c r="E41" s="39">
        <f>D41*0.1</f>
        <v>600</v>
      </c>
      <c r="F41" s="60">
        <f>2500/4</f>
        <v>625</v>
      </c>
      <c r="G41" s="4">
        <v>0.1</v>
      </c>
      <c r="H41" s="37">
        <f t="shared" ref="H41:H44" si="38">G41*B41</f>
        <v>0.1</v>
      </c>
      <c r="I41" s="4">
        <f>H41*$C$2</f>
        <v>839</v>
      </c>
      <c r="J41" s="51">
        <f>(D41+E41+F41+I41)*$C$3</f>
        <v>462.95424000000003</v>
      </c>
      <c r="K41" s="6"/>
      <c r="L41" s="17"/>
    </row>
    <row r="42" spans="1:12" x14ac:dyDescent="0.25">
      <c r="A42" s="17" t="s">
        <v>802</v>
      </c>
      <c r="B42" s="4">
        <v>1</v>
      </c>
      <c r="C42" s="4">
        <v>6000</v>
      </c>
      <c r="D42" s="37">
        <f t="shared" ref="D42" si="39">B42*C42</f>
        <v>6000</v>
      </c>
      <c r="E42" s="39">
        <f>D42*0.1</f>
        <v>600</v>
      </c>
      <c r="F42" s="60">
        <f t="shared" ref="F42:F43" si="40">2500/4</f>
        <v>625</v>
      </c>
      <c r="G42" s="4">
        <v>0.12</v>
      </c>
      <c r="H42" s="37">
        <f>G42*B42</f>
        <v>0.12</v>
      </c>
      <c r="I42" s="4">
        <f>H42*$C$2</f>
        <v>1006.8</v>
      </c>
      <c r="J42" s="51">
        <f>(D42+E42+F42+I42)*$C$3</f>
        <v>472.58763799999997</v>
      </c>
      <c r="K42" s="6"/>
      <c r="L42" s="17"/>
    </row>
    <row r="43" spans="1:12" x14ac:dyDescent="0.25">
      <c r="A43" s="17" t="s">
        <v>803</v>
      </c>
      <c r="B43" s="4">
        <v>1</v>
      </c>
      <c r="C43" s="4">
        <v>6000</v>
      </c>
      <c r="D43" s="37">
        <f t="shared" si="37"/>
        <v>6000</v>
      </c>
      <c r="E43" s="39">
        <f>D43*0.1</f>
        <v>600</v>
      </c>
      <c r="F43" s="60">
        <f t="shared" si="40"/>
        <v>625</v>
      </c>
      <c r="G43" s="4">
        <v>0.12</v>
      </c>
      <c r="H43" s="37">
        <f t="shared" si="38"/>
        <v>0.12</v>
      </c>
      <c r="I43" s="4">
        <f>H43*$C$2</f>
        <v>1006.8</v>
      </c>
      <c r="J43" s="51">
        <f>(D43+E43+F43+I43)*$C$3</f>
        <v>472.58763799999997</v>
      </c>
      <c r="K43" s="6"/>
      <c r="L43" s="17"/>
    </row>
    <row r="44" spans="1:12" x14ac:dyDescent="0.25">
      <c r="A44" s="17" t="s">
        <v>804</v>
      </c>
      <c r="B44" s="4">
        <v>1</v>
      </c>
      <c r="C44" s="4">
        <v>9900</v>
      </c>
      <c r="D44" s="37">
        <f t="shared" si="37"/>
        <v>9900</v>
      </c>
      <c r="E44" s="39">
        <f>D44*0.1</f>
        <v>990</v>
      </c>
      <c r="F44" s="60">
        <v>0</v>
      </c>
      <c r="G44" s="4">
        <v>0.39</v>
      </c>
      <c r="H44" s="37">
        <f t="shared" si="38"/>
        <v>0.39</v>
      </c>
      <c r="I44" s="4">
        <f>H44*$C$2</f>
        <v>3272.1</v>
      </c>
      <c r="J44" s="51">
        <f>(D44+E44+F44+I44)*$C$3</f>
        <v>813.0461610000001</v>
      </c>
      <c r="K44" s="6"/>
      <c r="L44" s="17"/>
    </row>
  </sheetData>
  <hyperlinks>
    <hyperlink ref="A8" r:id="rId1" display="http://forum.sibmama.ru/viewtopic.php?t=715424&amp;start=21780"/>
    <hyperlink ref="A16" r:id="rId2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"/>
  <sheetViews>
    <sheetView zoomScale="80" zoomScaleNormal="80" workbookViewId="0">
      <selection activeCell="A5" sqref="A5:XFD5"/>
    </sheetView>
  </sheetViews>
  <sheetFormatPr defaultRowHeight="15" x14ac:dyDescent="0.25"/>
  <cols>
    <col min="1" max="1" width="53.7109375" customWidth="1"/>
    <col min="3" max="3" width="12" customWidth="1"/>
    <col min="11" max="11" width="9.5703125" bestFit="1" customWidth="1"/>
    <col min="12" max="12" width="11.28515625" customWidth="1"/>
  </cols>
  <sheetData>
    <row r="1" spans="1:12" ht="21" x14ac:dyDescent="0.35">
      <c r="A1" s="55" t="s">
        <v>281</v>
      </c>
      <c r="B1" s="4"/>
      <c r="C1" s="189">
        <v>42348</v>
      </c>
      <c r="D1" s="30"/>
    </row>
    <row r="2" spans="1:12" ht="21" x14ac:dyDescent="0.35">
      <c r="A2" s="55" t="s">
        <v>239</v>
      </c>
      <c r="B2" s="4"/>
      <c r="C2" s="16">
        <v>7920</v>
      </c>
      <c r="D2" s="30" t="s">
        <v>724</v>
      </c>
    </row>
    <row r="3" spans="1:12" ht="21" x14ac:dyDescent="0.35">
      <c r="A3" s="55" t="s">
        <v>240</v>
      </c>
      <c r="B3" s="4"/>
      <c r="C3" s="170">
        <v>6.0499999999999998E-2</v>
      </c>
      <c r="D3" s="30" t="s">
        <v>704</v>
      </c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810</v>
      </c>
      <c r="B6" s="151"/>
      <c r="C6" s="151"/>
      <c r="D6" s="32"/>
      <c r="E6" s="92"/>
      <c r="F6" s="177"/>
      <c r="G6" s="124"/>
      <c r="H6" s="32"/>
      <c r="I6" s="2"/>
      <c r="J6" s="52">
        <f>J7</f>
        <v>812.75699999999995</v>
      </c>
      <c r="K6" s="10">
        <f>770+43</f>
        <v>813</v>
      </c>
      <c r="L6" s="10">
        <f t="shared" ref="L6" si="0">K6-J6</f>
        <v>0.24300000000005184</v>
      </c>
    </row>
    <row r="7" spans="1:12" x14ac:dyDescent="0.25">
      <c r="A7" s="5" t="s">
        <v>811</v>
      </c>
      <c r="B7" s="211">
        <v>1</v>
      </c>
      <c r="C7" s="211">
        <v>8500</v>
      </c>
      <c r="D7" s="37">
        <f t="shared" ref="D7" si="1">B7*C7</f>
        <v>8500</v>
      </c>
      <c r="E7" s="39">
        <f>D7*0.1</f>
        <v>850</v>
      </c>
      <c r="F7">
        <v>2500</v>
      </c>
      <c r="G7" s="211">
        <v>0.2</v>
      </c>
      <c r="H7" s="37">
        <f t="shared" ref="H7" si="2">G7*B7</f>
        <v>0.2</v>
      </c>
      <c r="I7" s="4">
        <f>H7*$C$2</f>
        <v>1584</v>
      </c>
      <c r="J7" s="51">
        <f>(D7+E7+F7+I7)*$C$3</f>
        <v>812.75699999999995</v>
      </c>
      <c r="K7" s="6"/>
      <c r="L7" s="17"/>
    </row>
    <row r="8" spans="1:12" ht="31.5" x14ac:dyDescent="0.5">
      <c r="A8" s="152" t="s">
        <v>812</v>
      </c>
      <c r="B8" s="151"/>
      <c r="C8" s="151"/>
      <c r="D8" s="32"/>
      <c r="E8" s="92"/>
      <c r="F8" s="151"/>
      <c r="G8" s="151"/>
      <c r="H8" s="32"/>
      <c r="I8" s="2"/>
      <c r="J8" s="52">
        <f>J9</f>
        <v>2390.5244000000002</v>
      </c>
      <c r="K8" s="10">
        <f>2252+139</f>
        <v>2391</v>
      </c>
      <c r="L8" s="10">
        <f t="shared" ref="L8" si="3">K8-J8</f>
        <v>0.47559999999975844</v>
      </c>
    </row>
    <row r="9" spans="1:12" x14ac:dyDescent="0.25">
      <c r="A9" s="41" t="s">
        <v>813</v>
      </c>
      <c r="B9" s="211">
        <v>4</v>
      </c>
      <c r="C9">
        <v>6900</v>
      </c>
      <c r="D9" s="37">
        <f t="shared" ref="D9" si="4">B9*C9</f>
        <v>27600</v>
      </c>
      <c r="E9" s="39">
        <f>D9*0.1</f>
        <v>2760</v>
      </c>
      <c r="F9">
        <v>2500</v>
      </c>
      <c r="G9" s="211">
        <v>0.21</v>
      </c>
      <c r="H9" s="37">
        <f t="shared" ref="H9" si="5">G9*B9</f>
        <v>0.84</v>
      </c>
      <c r="I9" s="4">
        <f>H9*$C$2</f>
        <v>6652.8</v>
      </c>
      <c r="J9" s="51">
        <f>(D9+E9+F9+I9)*$C$3</f>
        <v>2390.5244000000002</v>
      </c>
      <c r="K9" s="6"/>
      <c r="L9" s="17"/>
    </row>
    <row r="10" spans="1:12" ht="31.5" x14ac:dyDescent="0.5">
      <c r="A10" s="152" t="s">
        <v>23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448.45019999999994</v>
      </c>
      <c r="K10" s="10">
        <f>415+33</f>
        <v>448</v>
      </c>
      <c r="L10" s="10">
        <f t="shared" ref="L10" si="6">K10-J10</f>
        <v>-0.45019999999993843</v>
      </c>
    </row>
    <row r="11" spans="1:12" x14ac:dyDescent="0.25">
      <c r="A11" s="5" t="s">
        <v>814</v>
      </c>
      <c r="B11" s="5">
        <v>1</v>
      </c>
      <c r="C11" s="5">
        <v>5780</v>
      </c>
      <c r="D11" s="37">
        <f t="shared" ref="D11" si="7">B11*C11</f>
        <v>5780</v>
      </c>
      <c r="E11" s="39">
        <f>D11*0.1</f>
        <v>578</v>
      </c>
      <c r="F11">
        <v>500</v>
      </c>
      <c r="G11" s="4">
        <v>7.0000000000000007E-2</v>
      </c>
      <c r="H11" s="37">
        <f t="shared" ref="H11" si="8">G11*B11</f>
        <v>7.0000000000000007E-2</v>
      </c>
      <c r="I11" s="4">
        <f>H11*$C$2</f>
        <v>554.40000000000009</v>
      </c>
      <c r="J11" s="51">
        <f>(D11+E11+F11+I11)*$C$3</f>
        <v>448.45019999999994</v>
      </c>
      <c r="K11" s="6"/>
      <c r="L11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99"/>
  <sheetViews>
    <sheetView topLeftCell="A52" zoomScale="71" zoomScaleNormal="71" workbookViewId="0">
      <selection activeCell="G9" sqref="G9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41387</v>
      </c>
      <c r="D1" s="30"/>
    </row>
    <row r="2" spans="1:12" ht="28.5" x14ac:dyDescent="0.45">
      <c r="A2" s="13" t="s">
        <v>14</v>
      </c>
      <c r="B2" s="4"/>
      <c r="C2" s="16">
        <v>6.58</v>
      </c>
    </row>
    <row r="3" spans="1:12" ht="28.5" x14ac:dyDescent="0.45">
      <c r="A3" s="13" t="s">
        <v>12</v>
      </c>
      <c r="B3" s="4"/>
      <c r="C3" s="16">
        <v>31.6</v>
      </c>
    </row>
    <row r="4" spans="1:12" ht="18.75" x14ac:dyDescent="0.3">
      <c r="A4" s="14" t="s">
        <v>18</v>
      </c>
      <c r="C4" s="19"/>
    </row>
    <row r="5" spans="1:12" x14ac:dyDescent="0.25">
      <c r="C5" s="19"/>
    </row>
    <row r="6" spans="1:12" x14ac:dyDescent="0.25">
      <c r="C6" s="19"/>
    </row>
    <row r="7" spans="1:12" ht="45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8</v>
      </c>
      <c r="J7" s="49" t="s">
        <v>16</v>
      </c>
      <c r="K7" s="8" t="s">
        <v>9</v>
      </c>
      <c r="L7" s="8"/>
    </row>
    <row r="8" spans="1:12" ht="26.25" x14ac:dyDescent="0.4">
      <c r="A8" s="1" t="s">
        <v>28</v>
      </c>
      <c r="B8" s="2"/>
      <c r="C8" s="2"/>
      <c r="D8" s="2"/>
      <c r="E8" s="2"/>
      <c r="F8" s="2"/>
      <c r="G8" s="2"/>
      <c r="H8" s="2"/>
      <c r="I8" s="2"/>
      <c r="J8" s="52">
        <f>J9+J10+J11</f>
        <v>626.39416000000006</v>
      </c>
      <c r="K8" s="10">
        <v>626</v>
      </c>
      <c r="L8" s="10">
        <f t="shared" ref="L8" si="0">K8-J8</f>
        <v>-0.39416000000005624</v>
      </c>
    </row>
    <row r="9" spans="1:12" x14ac:dyDescent="0.25">
      <c r="A9" s="48" t="s">
        <v>102</v>
      </c>
      <c r="B9" s="47">
        <v>2</v>
      </c>
      <c r="C9" s="4">
        <v>4.3099999999999996</v>
      </c>
      <c r="D9" s="4">
        <f>B9*C9</f>
        <v>8.6199999999999992</v>
      </c>
      <c r="E9" s="4">
        <f t="shared" ref="E9:E11" si="1">D9*0.05</f>
        <v>0.43099999999999999</v>
      </c>
      <c r="F9" s="4"/>
      <c r="G9" s="4">
        <v>0.1</v>
      </c>
      <c r="H9" s="4">
        <f>G9*B9</f>
        <v>0.2</v>
      </c>
      <c r="I9" s="4">
        <f t="shared" ref="I9:I11" si="2">H9*$C$2</f>
        <v>1.3160000000000001</v>
      </c>
      <c r="J9" s="51">
        <f t="shared" ref="J9:J11" si="3">(D9+E9+F9+I9)*$C$3</f>
        <v>327.59719999999999</v>
      </c>
      <c r="K9" s="36"/>
    </row>
    <row r="10" spans="1:12" x14ac:dyDescent="0.25">
      <c r="A10" s="48" t="s">
        <v>128</v>
      </c>
      <c r="B10" s="4">
        <v>1</v>
      </c>
      <c r="C10" s="4">
        <v>2.98</v>
      </c>
      <c r="D10" s="4">
        <f t="shared" ref="D10:D11" si="4">B10*C10</f>
        <v>2.98</v>
      </c>
      <c r="E10" s="4">
        <f t="shared" si="1"/>
        <v>0.14899999999999999</v>
      </c>
      <c r="F10" s="4"/>
      <c r="G10" s="4">
        <v>7.0000000000000007E-2</v>
      </c>
      <c r="H10" s="4">
        <f t="shared" ref="H10:H11" si="5">G10</f>
        <v>7.0000000000000007E-2</v>
      </c>
      <c r="I10" s="4">
        <f t="shared" si="2"/>
        <v>0.46060000000000006</v>
      </c>
      <c r="J10" s="51">
        <f t="shared" si="3"/>
        <v>113.43136</v>
      </c>
      <c r="K10" s="36"/>
    </row>
    <row r="11" spans="1:12" x14ac:dyDescent="0.25">
      <c r="A11" s="48" t="s">
        <v>129</v>
      </c>
      <c r="B11" s="4">
        <v>1</v>
      </c>
      <c r="C11" s="4">
        <v>4.96</v>
      </c>
      <c r="D11" s="4">
        <f t="shared" si="4"/>
        <v>4.96</v>
      </c>
      <c r="E11" s="4">
        <f t="shared" si="1"/>
        <v>0.248</v>
      </c>
      <c r="F11" s="4"/>
      <c r="G11" s="4">
        <v>0.1</v>
      </c>
      <c r="H11" s="4">
        <f t="shared" si="5"/>
        <v>0.1</v>
      </c>
      <c r="I11" s="4">
        <f t="shared" si="2"/>
        <v>0.65800000000000003</v>
      </c>
      <c r="J11" s="51">
        <f t="shared" si="3"/>
        <v>185.36560000000003</v>
      </c>
      <c r="K11" s="36"/>
    </row>
    <row r="12" spans="1:12" ht="26.25" x14ac:dyDescent="0.4">
      <c r="A12" s="1" t="s">
        <v>130</v>
      </c>
      <c r="B12" s="2"/>
      <c r="C12" s="2"/>
      <c r="D12" s="2"/>
      <c r="E12" s="2"/>
      <c r="F12" s="2"/>
      <c r="G12" s="2"/>
      <c r="H12" s="2"/>
      <c r="I12" s="2"/>
      <c r="J12" s="52">
        <f>J13+J14</f>
        <v>298.79696000000001</v>
      </c>
      <c r="K12" s="10">
        <v>299</v>
      </c>
      <c r="L12" s="10">
        <f t="shared" ref="L12:L88" si="6">K12-J12</f>
        <v>0.20303999999998723</v>
      </c>
    </row>
    <row r="13" spans="1:12" x14ac:dyDescent="0.25">
      <c r="A13" s="48" t="s">
        <v>128</v>
      </c>
      <c r="B13" s="4">
        <v>1</v>
      </c>
      <c r="C13" s="4">
        <v>2.98</v>
      </c>
      <c r="D13" s="4">
        <f t="shared" ref="D13:D14" si="7">B13*C13</f>
        <v>2.98</v>
      </c>
      <c r="E13" s="4">
        <f>D13*0.05</f>
        <v>0.14899999999999999</v>
      </c>
      <c r="F13" s="4">
        <v>0</v>
      </c>
      <c r="G13" s="4">
        <v>7.0000000000000007E-2</v>
      </c>
      <c r="H13" s="4">
        <f t="shared" ref="H13:H14" si="8">G13</f>
        <v>7.0000000000000007E-2</v>
      </c>
      <c r="I13" s="4">
        <f>H13*$C$2</f>
        <v>0.46060000000000006</v>
      </c>
      <c r="J13" s="51">
        <f>(D13+E13+F13+I13)*$C$3</f>
        <v>113.43136</v>
      </c>
      <c r="K13" s="36"/>
    </row>
    <row r="14" spans="1:12" x14ac:dyDescent="0.25">
      <c r="A14" s="48" t="s">
        <v>129</v>
      </c>
      <c r="B14" s="4">
        <v>1</v>
      </c>
      <c r="C14" s="4">
        <v>4.96</v>
      </c>
      <c r="D14" s="4">
        <f t="shared" si="7"/>
        <v>4.96</v>
      </c>
      <c r="E14" s="4">
        <f t="shared" ref="E14" si="9">D14*0.05</f>
        <v>0.248</v>
      </c>
      <c r="F14" s="4">
        <v>0</v>
      </c>
      <c r="G14" s="4">
        <v>0.1</v>
      </c>
      <c r="H14" s="4">
        <f t="shared" si="8"/>
        <v>0.1</v>
      </c>
      <c r="I14" s="4">
        <f t="shared" ref="I14" si="10">H14*$C$2</f>
        <v>0.65800000000000003</v>
      </c>
      <c r="J14" s="51">
        <f t="shared" ref="J14" si="11">(D14+E14+F14+I14)*$C$3</f>
        <v>185.36560000000003</v>
      </c>
      <c r="K14" s="36"/>
    </row>
    <row r="15" spans="1:12" ht="26.25" x14ac:dyDescent="0.4">
      <c r="A15" s="1" t="s">
        <v>27</v>
      </c>
      <c r="B15" s="2"/>
      <c r="C15" s="2"/>
      <c r="D15" s="2"/>
      <c r="E15" s="2"/>
      <c r="F15" s="2"/>
      <c r="G15" s="2"/>
      <c r="H15" s="2"/>
      <c r="I15" s="2"/>
      <c r="J15" s="52">
        <f>J16+J17</f>
        <v>298.79696000000001</v>
      </c>
      <c r="K15" s="10">
        <v>299</v>
      </c>
      <c r="L15" s="10">
        <f t="shared" si="6"/>
        <v>0.20303999999998723</v>
      </c>
    </row>
    <row r="16" spans="1:12" x14ac:dyDescent="0.25">
      <c r="A16" s="48" t="s">
        <v>128</v>
      </c>
      <c r="B16" s="4">
        <v>1</v>
      </c>
      <c r="C16" s="4">
        <v>2.98</v>
      </c>
      <c r="D16" s="4">
        <f t="shared" ref="D16:D17" si="12">B16*C16</f>
        <v>2.98</v>
      </c>
      <c r="E16" s="4">
        <f>D16*0.05</f>
        <v>0.14899999999999999</v>
      </c>
      <c r="F16" s="4">
        <v>0</v>
      </c>
      <c r="G16" s="4">
        <v>7.0000000000000007E-2</v>
      </c>
      <c r="H16" s="4">
        <f t="shared" ref="H16:H17" si="13">G16</f>
        <v>7.0000000000000007E-2</v>
      </c>
      <c r="I16" s="4">
        <f>H16*$C$2</f>
        <v>0.46060000000000006</v>
      </c>
      <c r="J16" s="51">
        <f>(D16+E16+F16+I16)*$C$3</f>
        <v>113.43136</v>
      </c>
      <c r="K16" s="36"/>
    </row>
    <row r="17" spans="1:34" x14ac:dyDescent="0.25">
      <c r="A17" s="48" t="s">
        <v>129</v>
      </c>
      <c r="B17" s="4">
        <v>1</v>
      </c>
      <c r="C17" s="4">
        <v>4.96</v>
      </c>
      <c r="D17" s="4">
        <f t="shared" si="12"/>
        <v>4.96</v>
      </c>
      <c r="E17" s="4">
        <f t="shared" ref="E17" si="14">D17*0.05</f>
        <v>0.248</v>
      </c>
      <c r="F17" s="4">
        <v>0</v>
      </c>
      <c r="G17" s="4">
        <v>0.1</v>
      </c>
      <c r="H17" s="4">
        <f t="shared" si="13"/>
        <v>0.1</v>
      </c>
      <c r="I17" s="4">
        <f t="shared" ref="I17" si="15">H17*$C$2</f>
        <v>0.65800000000000003</v>
      </c>
      <c r="J17" s="51">
        <f t="shared" ref="J17" si="16">(D17+E17+F17+I17)*$C$3</f>
        <v>185.36560000000003</v>
      </c>
      <c r="K17" s="36"/>
    </row>
    <row r="18" spans="1:34" s="31" customFormat="1" ht="26.25" x14ac:dyDescent="0.4">
      <c r="A18" s="31" t="s">
        <v>27</v>
      </c>
      <c r="J18" s="53">
        <f>J19</f>
        <v>501.26132000000001</v>
      </c>
      <c r="K18" s="31">
        <v>501</v>
      </c>
      <c r="L18" s="10">
        <f>K18-J18</f>
        <v>-0.26132000000001199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x14ac:dyDescent="0.25">
      <c r="A19" s="41" t="s">
        <v>125</v>
      </c>
      <c r="B19">
        <v>1</v>
      </c>
      <c r="C19">
        <f>69.27/5</f>
        <v>13.853999999999999</v>
      </c>
      <c r="D19">
        <f>C19</f>
        <v>13.853999999999999</v>
      </c>
      <c r="E19" s="4">
        <f>D19*0.05</f>
        <v>0.69269999999999998</v>
      </c>
      <c r="F19">
        <v>0</v>
      </c>
      <c r="G19">
        <v>0.2</v>
      </c>
      <c r="H19">
        <f>G19</f>
        <v>0.2</v>
      </c>
      <c r="I19" s="4">
        <f>H19*$C$2</f>
        <v>1.3160000000000001</v>
      </c>
      <c r="J19" s="51">
        <f>(D19+E19+F19+I19)*$C$3</f>
        <v>501.26132000000001</v>
      </c>
      <c r="K19" s="41"/>
      <c r="L19" s="41"/>
    </row>
    <row r="20" spans="1:34" ht="26.25" x14ac:dyDescent="0.4">
      <c r="A20" s="1" t="s">
        <v>39</v>
      </c>
      <c r="B20" s="2"/>
      <c r="C20" s="2"/>
      <c r="D20" s="2"/>
      <c r="E20" s="2"/>
      <c r="F20" s="2"/>
      <c r="G20" s="2"/>
      <c r="H20" s="2"/>
      <c r="I20" s="2"/>
      <c r="J20" s="52">
        <f>J21+J22</f>
        <v>298.79696000000001</v>
      </c>
      <c r="K20" s="10">
        <f>171+128</f>
        <v>299</v>
      </c>
      <c r="L20" s="10">
        <f t="shared" si="6"/>
        <v>0.20303999999998723</v>
      </c>
    </row>
    <row r="21" spans="1:34" x14ac:dyDescent="0.25">
      <c r="A21" s="48" t="s">
        <v>128</v>
      </c>
      <c r="B21" s="4">
        <v>1</v>
      </c>
      <c r="C21" s="4">
        <v>2.98</v>
      </c>
      <c r="D21" s="4">
        <f t="shared" ref="D21:D22" si="17">B21*C21</f>
        <v>2.98</v>
      </c>
      <c r="E21" s="4">
        <f>D21*0.05</f>
        <v>0.14899999999999999</v>
      </c>
      <c r="F21" s="4">
        <v>0</v>
      </c>
      <c r="G21" s="4">
        <v>7.0000000000000007E-2</v>
      </c>
      <c r="H21" s="4">
        <f t="shared" ref="H21:H22" si="18">G21</f>
        <v>7.0000000000000007E-2</v>
      </c>
      <c r="I21" s="4">
        <f>H21*$C$2</f>
        <v>0.46060000000000006</v>
      </c>
      <c r="J21" s="51">
        <f>(D21+E21+F21+I21)*$C$3</f>
        <v>113.43136</v>
      </c>
      <c r="K21" s="36"/>
      <c r="L21" s="41"/>
    </row>
    <row r="22" spans="1:34" x14ac:dyDescent="0.25">
      <c r="A22" s="48" t="s">
        <v>129</v>
      </c>
      <c r="B22" s="4">
        <v>1</v>
      </c>
      <c r="C22" s="4">
        <v>4.96</v>
      </c>
      <c r="D22" s="4">
        <f t="shared" si="17"/>
        <v>4.96</v>
      </c>
      <c r="E22" s="4">
        <f t="shared" ref="E22:E97" si="19">D22*0.05</f>
        <v>0.248</v>
      </c>
      <c r="F22" s="4">
        <v>0</v>
      </c>
      <c r="G22" s="4">
        <v>0.1</v>
      </c>
      <c r="H22" s="4">
        <f t="shared" si="18"/>
        <v>0.1</v>
      </c>
      <c r="I22" s="4">
        <f t="shared" ref="I22:I97" si="20">H22*$C$2</f>
        <v>0.65800000000000003</v>
      </c>
      <c r="J22" s="51">
        <f t="shared" ref="J22:J97" si="21">(D22+E22+F22+I22)*$C$3</f>
        <v>185.36560000000003</v>
      </c>
      <c r="K22" s="36"/>
      <c r="L22" s="41"/>
    </row>
    <row r="23" spans="1:34" ht="26.25" x14ac:dyDescent="0.4">
      <c r="A23" s="31" t="s">
        <v>39</v>
      </c>
      <c r="B23" s="2"/>
      <c r="C23" s="2"/>
      <c r="D23" s="2"/>
      <c r="E23" s="2"/>
      <c r="F23" s="2"/>
      <c r="G23" s="2"/>
      <c r="H23" s="2"/>
      <c r="I23" s="2"/>
      <c r="J23" s="10">
        <f>J24+J25</f>
        <v>721.36480000000006</v>
      </c>
      <c r="K23" s="32">
        <v>721</v>
      </c>
      <c r="L23" s="10">
        <f>K23-J23</f>
        <v>-0.3648000000000593</v>
      </c>
    </row>
    <row r="24" spans="1:34" x14ac:dyDescent="0.25">
      <c r="A24" s="4" t="s">
        <v>1</v>
      </c>
      <c r="B24" s="4">
        <v>1</v>
      </c>
      <c r="C24" s="4">
        <f>44.56/8</f>
        <v>5.57</v>
      </c>
      <c r="D24" s="4">
        <f>B24*C24</f>
        <v>5.57</v>
      </c>
      <c r="E24" s="4">
        <f>D24*0.05</f>
        <v>0.27850000000000003</v>
      </c>
      <c r="F24" s="4">
        <f>2.33/4</f>
        <v>0.58250000000000002</v>
      </c>
      <c r="G24" s="4">
        <v>0.2</v>
      </c>
      <c r="H24" s="38">
        <f>G24*B24</f>
        <v>0.2</v>
      </c>
      <c r="I24" s="4">
        <f>H24*$C$2</f>
        <v>1.3160000000000001</v>
      </c>
      <c r="J24" s="51">
        <f>(D24+E24+F24+I24)*$C$3</f>
        <v>244.80520000000004</v>
      </c>
      <c r="L24" s="41"/>
    </row>
    <row r="25" spans="1:34" x14ac:dyDescent="0.25">
      <c r="A25" s="4" t="s">
        <v>83</v>
      </c>
      <c r="B25" s="4">
        <v>1</v>
      </c>
      <c r="C25" s="4">
        <v>12</v>
      </c>
      <c r="D25" s="4">
        <v>12</v>
      </c>
      <c r="E25" s="4">
        <f>D25*0.05</f>
        <v>0.60000000000000009</v>
      </c>
      <c r="F25" s="4">
        <f>2.33/2</f>
        <v>1.165</v>
      </c>
      <c r="G25" s="4">
        <v>0.2</v>
      </c>
      <c r="H25" s="38">
        <f>G25*B25</f>
        <v>0.2</v>
      </c>
      <c r="I25" s="4">
        <f>H25*$C$2</f>
        <v>1.3160000000000001</v>
      </c>
      <c r="J25" s="51">
        <f>(D25+E25+F25+I25)*$C$3</f>
        <v>476.55960000000005</v>
      </c>
      <c r="L25" s="41"/>
    </row>
    <row r="26" spans="1:34" ht="26.25" x14ac:dyDescent="0.4">
      <c r="A26" s="31" t="s">
        <v>19</v>
      </c>
      <c r="B26" s="2"/>
      <c r="C26" s="2"/>
      <c r="D26" s="2"/>
      <c r="E26" s="2"/>
      <c r="F26" s="2"/>
      <c r="G26" s="2"/>
      <c r="H26" s="2"/>
      <c r="I26" s="2"/>
      <c r="J26" s="52">
        <f>J27+J29+J28</f>
        <v>1440.93788</v>
      </c>
      <c r="K26" s="32">
        <v>1441</v>
      </c>
      <c r="L26" s="10">
        <f t="shared" si="6"/>
        <v>6.2120000000049913E-2</v>
      </c>
      <c r="AA26" t="s">
        <v>90</v>
      </c>
    </row>
    <row r="27" spans="1:34" s="35" customFormat="1" x14ac:dyDescent="0.25">
      <c r="A27" s="33" t="s">
        <v>91</v>
      </c>
      <c r="B27" s="5">
        <v>1</v>
      </c>
      <c r="C27" s="5">
        <v>7.37</v>
      </c>
      <c r="D27" s="5">
        <f>B27*C27</f>
        <v>7.37</v>
      </c>
      <c r="E27" s="4">
        <f t="shared" si="19"/>
        <v>0.36850000000000005</v>
      </c>
      <c r="F27" s="5">
        <v>2.33</v>
      </c>
      <c r="G27" s="5"/>
      <c r="H27" s="5">
        <v>0.4</v>
      </c>
      <c r="I27" s="4">
        <f t="shared" si="20"/>
        <v>2.6320000000000001</v>
      </c>
      <c r="J27" s="51">
        <f t="shared" si="21"/>
        <v>401.33580000000001</v>
      </c>
      <c r="K27" s="34"/>
      <c r="L27" s="41"/>
      <c r="M27"/>
      <c r="N27" s="34"/>
    </row>
    <row r="28" spans="1:34" s="35" customFormat="1" x14ac:dyDescent="0.25">
      <c r="A28" s="33" t="s">
        <v>92</v>
      </c>
      <c r="B28" s="5">
        <v>1</v>
      </c>
      <c r="C28" s="5">
        <v>21.29</v>
      </c>
      <c r="D28" s="5">
        <f>B28*C28</f>
        <v>21.29</v>
      </c>
      <c r="E28" s="4">
        <f t="shared" si="19"/>
        <v>1.0645</v>
      </c>
      <c r="F28" s="5">
        <v>0</v>
      </c>
      <c r="G28" s="5"/>
      <c r="H28" s="5">
        <v>0.2</v>
      </c>
      <c r="I28" s="4">
        <f t="shared" si="20"/>
        <v>1.3160000000000001</v>
      </c>
      <c r="J28" s="51">
        <f t="shared" si="21"/>
        <v>747.98779999999999</v>
      </c>
      <c r="K28" s="34"/>
      <c r="L28" s="41"/>
      <c r="M28"/>
    </row>
    <row r="29" spans="1:34" s="35" customFormat="1" x14ac:dyDescent="0.25">
      <c r="A29" s="33" t="s">
        <v>93</v>
      </c>
      <c r="B29" s="5">
        <v>1</v>
      </c>
      <c r="C29" s="5">
        <f>D29</f>
        <v>6.05</v>
      </c>
      <c r="D29" s="5">
        <v>6.05</v>
      </c>
      <c r="E29" s="4">
        <f t="shared" si="19"/>
        <v>0.30249999999999999</v>
      </c>
      <c r="F29" s="5">
        <f>2.33/2</f>
        <v>1.165</v>
      </c>
      <c r="G29" s="5"/>
      <c r="H29" s="5">
        <v>0.26</v>
      </c>
      <c r="I29" s="4">
        <f t="shared" si="20"/>
        <v>1.7108000000000001</v>
      </c>
      <c r="J29" s="51">
        <f t="shared" si="21"/>
        <v>291.61428000000006</v>
      </c>
      <c r="K29" s="34"/>
      <c r="L29" s="41"/>
    </row>
    <row r="30" spans="1:34" ht="26.25" x14ac:dyDescent="0.4">
      <c r="A30" s="31" t="s">
        <v>2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664.97460000000001</v>
      </c>
      <c r="K30" s="32">
        <v>665</v>
      </c>
      <c r="L30" s="10">
        <f t="shared" si="6"/>
        <v>2.5399999999990541E-2</v>
      </c>
    </row>
    <row r="31" spans="1:34" s="35" customFormat="1" x14ac:dyDescent="0.25">
      <c r="A31" s="33" t="s">
        <v>94</v>
      </c>
      <c r="B31" s="5">
        <v>1</v>
      </c>
      <c r="C31" s="5">
        <f>D31</f>
        <v>9.2100000000000009</v>
      </c>
      <c r="D31" s="5">
        <v>9.2100000000000009</v>
      </c>
      <c r="E31" s="4">
        <f t="shared" si="19"/>
        <v>0.46050000000000008</v>
      </c>
      <c r="F31" s="5">
        <v>2.33</v>
      </c>
      <c r="G31" s="5"/>
      <c r="H31" s="5">
        <v>0.2</v>
      </c>
      <c r="I31" s="4">
        <f t="shared" si="20"/>
        <v>1.3160000000000001</v>
      </c>
      <c r="J31" s="51">
        <f t="shared" si="21"/>
        <v>420.80140000000006</v>
      </c>
      <c r="K31" s="36"/>
      <c r="L31" s="36"/>
    </row>
    <row r="32" spans="1:34" s="35" customFormat="1" x14ac:dyDescent="0.25">
      <c r="A32" s="33" t="s">
        <v>95</v>
      </c>
      <c r="B32" s="5">
        <v>1</v>
      </c>
      <c r="C32" s="5">
        <f>D32</f>
        <v>3.26</v>
      </c>
      <c r="D32" s="5">
        <v>3.26</v>
      </c>
      <c r="E32" s="4">
        <f t="shared" si="19"/>
        <v>0.16300000000000001</v>
      </c>
      <c r="F32" s="5">
        <v>2.33</v>
      </c>
      <c r="G32" s="5"/>
      <c r="H32" s="5">
        <v>0.3</v>
      </c>
      <c r="I32" s="4">
        <f t="shared" si="20"/>
        <v>1.974</v>
      </c>
      <c r="J32" s="51">
        <f t="shared" si="21"/>
        <v>244.17320000000001</v>
      </c>
      <c r="K32" s="36"/>
      <c r="L32" s="36"/>
    </row>
    <row r="33" spans="1:13" ht="26.25" x14ac:dyDescent="0.4">
      <c r="A33" s="31" t="s">
        <v>96</v>
      </c>
      <c r="B33" s="2"/>
      <c r="C33" s="2"/>
      <c r="D33" s="2"/>
      <c r="E33" s="2"/>
      <c r="F33" s="2"/>
      <c r="G33" s="2"/>
      <c r="H33" s="2"/>
      <c r="I33" s="2"/>
      <c r="J33" s="10">
        <f>SUM(J34:J40)</f>
        <v>2533.4194000000002</v>
      </c>
      <c r="K33" s="32">
        <v>2025</v>
      </c>
      <c r="L33" s="10">
        <f t="shared" si="6"/>
        <v>-508.41940000000022</v>
      </c>
      <c r="M33" s="54" t="s">
        <v>138</v>
      </c>
    </row>
    <row r="34" spans="1:13" x14ac:dyDescent="0.25">
      <c r="A34" s="4" t="s">
        <v>97</v>
      </c>
      <c r="B34" s="21">
        <v>1</v>
      </c>
      <c r="C34" s="21">
        <v>3.42</v>
      </c>
      <c r="D34" s="21">
        <f>B34*C34</f>
        <v>3.42</v>
      </c>
      <c r="E34" s="4">
        <f t="shared" si="19"/>
        <v>0.17100000000000001</v>
      </c>
      <c r="F34" s="21">
        <v>2.33</v>
      </c>
      <c r="G34" s="37">
        <v>0.3</v>
      </c>
      <c r="H34" s="38">
        <f>G34*B34</f>
        <v>0.3</v>
      </c>
      <c r="I34" s="4">
        <f t="shared" si="20"/>
        <v>1.974</v>
      </c>
      <c r="J34" s="51">
        <f t="shared" si="21"/>
        <v>249.482</v>
      </c>
      <c r="K34" s="36"/>
      <c r="L34" s="41"/>
    </row>
    <row r="35" spans="1:13" x14ac:dyDescent="0.25">
      <c r="A35" s="4" t="s">
        <v>98</v>
      </c>
      <c r="B35" s="4">
        <v>1</v>
      </c>
      <c r="C35" s="4">
        <f>D35</f>
        <v>10.050000000000001</v>
      </c>
      <c r="D35" s="4">
        <v>10.050000000000001</v>
      </c>
      <c r="E35" s="4">
        <f t="shared" si="19"/>
        <v>0.50250000000000006</v>
      </c>
      <c r="F35" s="4">
        <v>2.33</v>
      </c>
      <c r="G35" s="4">
        <v>0.3</v>
      </c>
      <c r="H35" s="38">
        <f>G35*B35</f>
        <v>0.3</v>
      </c>
      <c r="I35" s="4">
        <f t="shared" si="20"/>
        <v>1.974</v>
      </c>
      <c r="J35" s="51">
        <f t="shared" si="21"/>
        <v>469.46540000000005</v>
      </c>
      <c r="K35" s="36"/>
      <c r="L35" s="41"/>
    </row>
    <row r="36" spans="1:13" x14ac:dyDescent="0.25">
      <c r="A36" s="4" t="s">
        <v>99</v>
      </c>
      <c r="B36" s="4">
        <v>1</v>
      </c>
      <c r="C36" s="4">
        <f t="shared" ref="C36:C38" si="22">D36</f>
        <v>13.95</v>
      </c>
      <c r="D36" s="4">
        <v>13.95</v>
      </c>
      <c r="E36" s="4">
        <f t="shared" si="19"/>
        <v>0.69750000000000001</v>
      </c>
      <c r="F36" s="4">
        <v>0</v>
      </c>
      <c r="G36" s="4">
        <v>0.4</v>
      </c>
      <c r="H36" s="38">
        <f>G36*B36</f>
        <v>0.4</v>
      </c>
      <c r="I36" s="4">
        <f t="shared" si="20"/>
        <v>2.6320000000000001</v>
      </c>
      <c r="J36" s="51">
        <f t="shared" si="21"/>
        <v>546.03219999999999</v>
      </c>
      <c r="K36" s="36"/>
      <c r="L36" s="41"/>
    </row>
    <row r="37" spans="1:13" x14ac:dyDescent="0.25">
      <c r="A37" s="4" t="s">
        <v>100</v>
      </c>
      <c r="B37" s="4">
        <v>1</v>
      </c>
      <c r="C37" s="4">
        <f t="shared" si="22"/>
        <v>12.83</v>
      </c>
      <c r="D37" s="4">
        <v>12.83</v>
      </c>
      <c r="E37" s="4">
        <f t="shared" si="19"/>
        <v>0.64150000000000007</v>
      </c>
      <c r="F37" s="4">
        <v>0</v>
      </c>
      <c r="G37" s="4">
        <v>0.3</v>
      </c>
      <c r="H37" s="38">
        <f>G37*B37</f>
        <v>0.3</v>
      </c>
      <c r="I37" s="4">
        <f t="shared" si="20"/>
        <v>1.974</v>
      </c>
      <c r="J37" s="51">
        <f t="shared" si="21"/>
        <v>488.07780000000002</v>
      </c>
      <c r="K37" s="36"/>
      <c r="L37" s="41"/>
    </row>
    <row r="38" spans="1:13" x14ac:dyDescent="0.25">
      <c r="A38" s="5" t="s">
        <v>101</v>
      </c>
      <c r="B38" s="4">
        <v>1</v>
      </c>
      <c r="C38" s="4">
        <f t="shared" si="22"/>
        <v>9.0299999999999994</v>
      </c>
      <c r="D38" s="4">
        <v>9.0299999999999994</v>
      </c>
      <c r="E38" s="4">
        <f t="shared" si="19"/>
        <v>0.45150000000000001</v>
      </c>
      <c r="F38" s="4">
        <f>2.33/2</f>
        <v>1.165</v>
      </c>
      <c r="G38" s="4">
        <v>0.3</v>
      </c>
      <c r="H38" s="38">
        <f t="shared" ref="H38:H39" si="23">G38*B38</f>
        <v>0.3</v>
      </c>
      <c r="I38" s="4">
        <f t="shared" si="20"/>
        <v>1.974</v>
      </c>
      <c r="J38" s="51">
        <f t="shared" si="21"/>
        <v>398.80779999999999</v>
      </c>
      <c r="K38" s="36"/>
      <c r="L38" s="41"/>
    </row>
    <row r="39" spans="1:13" x14ac:dyDescent="0.25">
      <c r="A39" s="7" t="s">
        <v>103</v>
      </c>
      <c r="B39" s="4">
        <v>1</v>
      </c>
      <c r="C39" s="39">
        <v>4.2</v>
      </c>
      <c r="D39" s="39">
        <v>4.2</v>
      </c>
      <c r="E39" s="4">
        <f t="shared" si="19"/>
        <v>0.21000000000000002</v>
      </c>
      <c r="F39" s="4">
        <f>2.33/2</f>
        <v>1.165</v>
      </c>
      <c r="G39" s="4">
        <v>0.2</v>
      </c>
      <c r="H39" s="40">
        <f t="shared" si="23"/>
        <v>0.2</v>
      </c>
      <c r="I39" s="4">
        <f t="shared" si="20"/>
        <v>1.3160000000000001</v>
      </c>
      <c r="J39" s="51">
        <f t="shared" si="21"/>
        <v>217.75560000000002</v>
      </c>
      <c r="L39" s="41"/>
    </row>
    <row r="40" spans="1:13" x14ac:dyDescent="0.25">
      <c r="A40" s="48" t="s">
        <v>102</v>
      </c>
      <c r="B40" s="47">
        <v>1</v>
      </c>
      <c r="C40" s="4">
        <v>4.3099999999999996</v>
      </c>
      <c r="D40" s="4">
        <f>B40*C40</f>
        <v>4.3099999999999996</v>
      </c>
      <c r="E40" s="4">
        <f t="shared" si="19"/>
        <v>0.2155</v>
      </c>
      <c r="F40" s="4"/>
      <c r="G40" s="4">
        <v>0.1</v>
      </c>
      <c r="H40" s="4">
        <f>G40*B40</f>
        <v>0.1</v>
      </c>
      <c r="I40" s="4">
        <f t="shared" si="20"/>
        <v>0.65800000000000003</v>
      </c>
      <c r="J40" s="51">
        <f t="shared" si="21"/>
        <v>163.79859999999999</v>
      </c>
      <c r="K40" s="36"/>
      <c r="L40" s="41"/>
    </row>
    <row r="41" spans="1:13" ht="26.25" x14ac:dyDescent="0.4">
      <c r="A41" s="31" t="s">
        <v>104</v>
      </c>
      <c r="B41" s="2"/>
      <c r="C41" s="2"/>
      <c r="D41" s="2"/>
      <c r="E41" s="2"/>
      <c r="F41" s="2"/>
      <c r="G41" s="2"/>
      <c r="H41" s="2"/>
      <c r="I41" s="2"/>
      <c r="J41" s="10">
        <f>SUM(J42:J46)</f>
        <v>910.46235999999999</v>
      </c>
      <c r="K41" s="32">
        <f>1074</f>
        <v>1074</v>
      </c>
      <c r="L41" s="10">
        <f>K41-J41-164</f>
        <v>-0.46235999999998967</v>
      </c>
      <c r="M41" t="s">
        <v>137</v>
      </c>
    </row>
    <row r="42" spans="1:13" x14ac:dyDescent="0.25">
      <c r="A42" s="4" t="s">
        <v>94</v>
      </c>
      <c r="B42" s="4">
        <v>1</v>
      </c>
      <c r="C42" s="4">
        <f>D42</f>
        <v>4.05</v>
      </c>
      <c r="D42" s="4">
        <v>4.05</v>
      </c>
      <c r="E42" s="4">
        <f t="shared" si="19"/>
        <v>0.20250000000000001</v>
      </c>
      <c r="F42" s="4">
        <v>0</v>
      </c>
      <c r="G42" s="4">
        <v>0.2</v>
      </c>
      <c r="H42" s="38">
        <f>G42*B42</f>
        <v>0.2</v>
      </c>
      <c r="I42" s="4">
        <f t="shared" si="20"/>
        <v>1.3160000000000001</v>
      </c>
      <c r="J42" s="51">
        <f t="shared" si="21"/>
        <v>175.96459999999999</v>
      </c>
      <c r="K42" s="36"/>
      <c r="L42" s="41"/>
    </row>
    <row r="43" spans="1:13" x14ac:dyDescent="0.25">
      <c r="A43" s="37" t="s">
        <v>62</v>
      </c>
      <c r="B43" s="4">
        <v>1</v>
      </c>
      <c r="C43" s="5">
        <v>2.79</v>
      </c>
      <c r="D43" s="4">
        <f>B43*C43</f>
        <v>2.79</v>
      </c>
      <c r="E43" s="4">
        <f t="shared" si="19"/>
        <v>0.13950000000000001</v>
      </c>
      <c r="F43" s="4">
        <v>2.33</v>
      </c>
      <c r="G43" s="4">
        <v>0.2</v>
      </c>
      <c r="H43" s="38">
        <f>G43*B43</f>
        <v>0.2</v>
      </c>
      <c r="I43" s="4">
        <f t="shared" si="20"/>
        <v>1.3160000000000001</v>
      </c>
      <c r="J43" s="51">
        <f t="shared" si="21"/>
        <v>207.78579999999999</v>
      </c>
      <c r="K43" s="36"/>
      <c r="L43" s="41"/>
    </row>
    <row r="44" spans="1:13" x14ac:dyDescent="0.25">
      <c r="A44" s="37" t="s">
        <v>97</v>
      </c>
      <c r="B44" s="21">
        <v>1</v>
      </c>
      <c r="C44" s="21">
        <v>3.42</v>
      </c>
      <c r="D44" s="21">
        <f>B44*C44</f>
        <v>3.42</v>
      </c>
      <c r="E44" s="4">
        <f t="shared" si="19"/>
        <v>0.17100000000000001</v>
      </c>
      <c r="F44" s="21">
        <v>2.33</v>
      </c>
      <c r="G44" s="37">
        <v>0.3</v>
      </c>
      <c r="H44" s="38">
        <f>G44*B44</f>
        <v>0.3</v>
      </c>
      <c r="I44" s="4">
        <f t="shared" si="20"/>
        <v>1.974</v>
      </c>
      <c r="J44" s="51">
        <f t="shared" si="21"/>
        <v>249.482</v>
      </c>
      <c r="K44" s="36"/>
      <c r="L44" s="41"/>
    </row>
    <row r="45" spans="1:13" x14ac:dyDescent="0.25">
      <c r="A45" s="48" t="s">
        <v>102</v>
      </c>
      <c r="B45" s="47">
        <v>1</v>
      </c>
      <c r="C45" s="4">
        <v>4.3099999999999996</v>
      </c>
      <c r="D45" s="4">
        <f>B45*C45</f>
        <v>4.3099999999999996</v>
      </c>
      <c r="E45" s="4">
        <f t="shared" si="19"/>
        <v>0.2155</v>
      </c>
      <c r="F45" s="4"/>
      <c r="G45" s="4">
        <v>0.1</v>
      </c>
      <c r="H45" s="4">
        <f>G45*B45</f>
        <v>0.1</v>
      </c>
      <c r="I45" s="4">
        <f t="shared" si="20"/>
        <v>0.65800000000000003</v>
      </c>
      <c r="J45" s="51">
        <f t="shared" ref="J45:J46" si="24">(D45+E45+F45+I45)*$C$3</f>
        <v>163.79859999999999</v>
      </c>
      <c r="K45" s="36"/>
      <c r="L45" s="41"/>
    </row>
    <row r="46" spans="1:13" x14ac:dyDescent="0.25">
      <c r="A46" s="48" t="s">
        <v>128</v>
      </c>
      <c r="B46" s="4">
        <v>1</v>
      </c>
      <c r="C46" s="4">
        <v>2.98</v>
      </c>
      <c r="D46" s="4">
        <f t="shared" ref="D46" si="25">B46*C46</f>
        <v>2.98</v>
      </c>
      <c r="E46" s="4">
        <f t="shared" si="19"/>
        <v>0.14899999999999999</v>
      </c>
      <c r="F46" s="4"/>
      <c r="G46" s="4">
        <v>7.0000000000000007E-2</v>
      </c>
      <c r="H46" s="4">
        <f t="shared" ref="H46" si="26">G46</f>
        <v>7.0000000000000007E-2</v>
      </c>
      <c r="I46" s="4">
        <f t="shared" si="20"/>
        <v>0.46060000000000006</v>
      </c>
      <c r="J46" s="51">
        <f t="shared" si="24"/>
        <v>113.43136</v>
      </c>
      <c r="K46" s="36"/>
      <c r="L46" s="41"/>
    </row>
    <row r="47" spans="1:13" ht="26.25" x14ac:dyDescent="0.4">
      <c r="A47" s="31" t="s">
        <v>29</v>
      </c>
      <c r="B47" s="2"/>
      <c r="C47" s="2"/>
      <c r="D47" s="2"/>
      <c r="E47" s="2"/>
      <c r="F47" s="2"/>
      <c r="G47" s="2"/>
      <c r="H47" s="2"/>
      <c r="I47" s="2"/>
      <c r="J47" s="10">
        <f>SUM(J48:J56)</f>
        <v>2747.1365200000005</v>
      </c>
      <c r="K47" s="32">
        <v>2747</v>
      </c>
      <c r="L47" s="10">
        <f t="shared" si="6"/>
        <v>-0.13652000000047337</v>
      </c>
    </row>
    <row r="48" spans="1:13" x14ac:dyDescent="0.25">
      <c r="A48" s="4" t="s">
        <v>105</v>
      </c>
      <c r="B48" s="4">
        <v>1</v>
      </c>
      <c r="C48" s="4">
        <f>D48</f>
        <v>13.49</v>
      </c>
      <c r="D48" s="4">
        <v>13.49</v>
      </c>
      <c r="E48" s="4">
        <f t="shared" si="19"/>
        <v>0.6745000000000001</v>
      </c>
      <c r="F48" s="4">
        <v>2.33</v>
      </c>
      <c r="G48" s="4">
        <v>0.3</v>
      </c>
      <c r="H48" s="38">
        <f t="shared" ref="H48:H51" si="27">G48*B48</f>
        <v>0.3</v>
      </c>
      <c r="I48" s="4">
        <f t="shared" si="20"/>
        <v>1.974</v>
      </c>
      <c r="J48" s="51">
        <f t="shared" si="21"/>
        <v>583.60460000000012</v>
      </c>
      <c r="K48" s="36"/>
      <c r="L48" s="41"/>
    </row>
    <row r="49" spans="1:12" x14ac:dyDescent="0.25">
      <c r="A49" s="4" t="s">
        <v>97</v>
      </c>
      <c r="B49" s="21">
        <v>1</v>
      </c>
      <c r="C49" s="21">
        <v>4.5599999999999996</v>
      </c>
      <c r="D49" s="21">
        <f>B49*C49</f>
        <v>4.5599999999999996</v>
      </c>
      <c r="E49" s="4">
        <f t="shared" si="19"/>
        <v>0.22799999999999998</v>
      </c>
      <c r="F49" s="21">
        <f>2.33/2</f>
        <v>1.165</v>
      </c>
      <c r="G49" s="37">
        <v>0.3</v>
      </c>
      <c r="H49" s="38">
        <f t="shared" si="27"/>
        <v>0.3</v>
      </c>
      <c r="I49" s="4">
        <f t="shared" si="20"/>
        <v>1.974</v>
      </c>
      <c r="J49" s="51">
        <f t="shared" si="21"/>
        <v>250.4932</v>
      </c>
      <c r="K49" s="36"/>
      <c r="L49" s="41"/>
    </row>
    <row r="50" spans="1:12" x14ac:dyDescent="0.25">
      <c r="A50" s="4" t="s">
        <v>106</v>
      </c>
      <c r="B50" s="4">
        <v>1</v>
      </c>
      <c r="C50" s="5">
        <v>2.79</v>
      </c>
      <c r="D50" s="5">
        <f>B50*C50</f>
        <v>2.79</v>
      </c>
      <c r="E50" s="4">
        <f t="shared" si="19"/>
        <v>0.13950000000000001</v>
      </c>
      <c r="F50" s="4">
        <v>2.38</v>
      </c>
      <c r="G50" s="4">
        <v>0.3</v>
      </c>
      <c r="H50" s="38">
        <f t="shared" si="27"/>
        <v>0.3</v>
      </c>
      <c r="I50" s="4">
        <f t="shared" si="20"/>
        <v>1.974</v>
      </c>
      <c r="J50" s="51">
        <f t="shared" si="21"/>
        <v>230.15860000000001</v>
      </c>
      <c r="K50" s="36"/>
      <c r="L50" s="41"/>
    </row>
    <row r="51" spans="1:12" x14ac:dyDescent="0.25">
      <c r="A51" s="4" t="s">
        <v>97</v>
      </c>
      <c r="B51" s="4">
        <v>1</v>
      </c>
      <c r="C51" s="4">
        <v>4.5599999999999996</v>
      </c>
      <c r="D51" s="4">
        <f>C51</f>
        <v>4.5599999999999996</v>
      </c>
      <c r="E51" s="4">
        <f t="shared" si="19"/>
        <v>0.22799999999999998</v>
      </c>
      <c r="F51" s="4">
        <v>2.33</v>
      </c>
      <c r="G51" s="4">
        <v>0.2</v>
      </c>
      <c r="H51" s="38">
        <f t="shared" si="27"/>
        <v>0.2</v>
      </c>
      <c r="I51" s="4">
        <f t="shared" si="20"/>
        <v>1.3160000000000001</v>
      </c>
      <c r="J51" s="51">
        <f t="shared" si="21"/>
        <v>266.51439999999997</v>
      </c>
      <c r="K51" s="36"/>
      <c r="L51" s="41"/>
    </row>
    <row r="52" spans="1:12" x14ac:dyDescent="0.25">
      <c r="A52" s="4" t="s">
        <v>107</v>
      </c>
      <c r="B52" s="4">
        <v>1</v>
      </c>
      <c r="C52" s="4">
        <f>44.56/8</f>
        <v>5.57</v>
      </c>
      <c r="D52" s="4">
        <f>B52*C52</f>
        <v>5.57</v>
      </c>
      <c r="E52" s="4">
        <f t="shared" si="19"/>
        <v>0.27850000000000003</v>
      </c>
      <c r="F52" s="4">
        <f>2.33/4</f>
        <v>0.58250000000000002</v>
      </c>
      <c r="G52" s="4">
        <v>0.2</v>
      </c>
      <c r="H52" s="38">
        <f>G52*B52</f>
        <v>0.2</v>
      </c>
      <c r="I52" s="4">
        <f t="shared" si="20"/>
        <v>1.3160000000000001</v>
      </c>
      <c r="J52" s="51">
        <f t="shared" si="21"/>
        <v>244.80520000000004</v>
      </c>
      <c r="K52" s="36"/>
      <c r="L52" s="41"/>
    </row>
    <row r="53" spans="1:12" x14ac:dyDescent="0.25">
      <c r="A53" s="41" t="s">
        <v>108</v>
      </c>
      <c r="B53" s="4">
        <v>1</v>
      </c>
      <c r="C53" s="4">
        <f>D53</f>
        <v>9.1199999999999992</v>
      </c>
      <c r="D53" s="4">
        <v>9.1199999999999992</v>
      </c>
      <c r="E53" s="4">
        <f t="shared" si="19"/>
        <v>0.45599999999999996</v>
      </c>
      <c r="F53" s="4">
        <v>2.33</v>
      </c>
      <c r="G53" s="4">
        <v>0.47</v>
      </c>
      <c r="H53" s="38">
        <f t="shared" ref="H53:H54" si="28">G53*B53</f>
        <v>0.47</v>
      </c>
      <c r="I53" s="4">
        <f t="shared" si="20"/>
        <v>3.0926</v>
      </c>
      <c r="J53" s="51">
        <f t="shared" si="21"/>
        <v>473.95576</v>
      </c>
      <c r="K53" s="36"/>
      <c r="L53" s="41"/>
    </row>
    <row r="54" spans="1:12" x14ac:dyDescent="0.25">
      <c r="A54" s="21" t="s">
        <v>109</v>
      </c>
      <c r="B54" s="4">
        <v>1</v>
      </c>
      <c r="C54" s="4">
        <f>D54</f>
        <v>9.0299999999999994</v>
      </c>
      <c r="D54" s="4">
        <v>9.0299999999999994</v>
      </c>
      <c r="E54" s="4">
        <f t="shared" si="19"/>
        <v>0.45150000000000001</v>
      </c>
      <c r="F54" s="4">
        <f>2.33/2</f>
        <v>1.165</v>
      </c>
      <c r="G54" s="4">
        <v>0.3</v>
      </c>
      <c r="H54" s="38">
        <f t="shared" si="28"/>
        <v>0.3</v>
      </c>
      <c r="I54" s="4">
        <f t="shared" si="20"/>
        <v>1.974</v>
      </c>
      <c r="J54" s="51">
        <f t="shared" si="21"/>
        <v>398.80779999999999</v>
      </c>
      <c r="K54" s="36"/>
      <c r="L54" s="41"/>
    </row>
    <row r="55" spans="1:12" x14ac:dyDescent="0.25">
      <c r="A55" s="48" t="s">
        <v>128</v>
      </c>
      <c r="B55" s="4">
        <v>1</v>
      </c>
      <c r="C55" s="4">
        <v>2.98</v>
      </c>
      <c r="D55" s="4">
        <f t="shared" ref="D55:D56" si="29">B55*C55</f>
        <v>2.98</v>
      </c>
      <c r="E55" s="4">
        <f>D55*0.05</f>
        <v>0.14899999999999999</v>
      </c>
      <c r="F55" s="4">
        <v>0</v>
      </c>
      <c r="G55" s="4">
        <v>7.0000000000000007E-2</v>
      </c>
      <c r="H55" s="4">
        <f t="shared" ref="H55:H56" si="30">G55</f>
        <v>7.0000000000000007E-2</v>
      </c>
      <c r="I55" s="4">
        <f>H55*$C$2</f>
        <v>0.46060000000000006</v>
      </c>
      <c r="J55" s="51">
        <f>(D55+E55+F55+I55)*$C$3</f>
        <v>113.43136</v>
      </c>
      <c r="K55" s="36"/>
      <c r="L55" s="41"/>
    </row>
    <row r="56" spans="1:12" x14ac:dyDescent="0.25">
      <c r="A56" s="48" t="s">
        <v>129</v>
      </c>
      <c r="B56" s="4">
        <v>1</v>
      </c>
      <c r="C56" s="4">
        <v>4.96</v>
      </c>
      <c r="D56" s="4">
        <f t="shared" si="29"/>
        <v>4.96</v>
      </c>
      <c r="E56" s="4">
        <f t="shared" si="19"/>
        <v>0.248</v>
      </c>
      <c r="F56" s="4">
        <v>0</v>
      </c>
      <c r="G56" s="4">
        <v>0.1</v>
      </c>
      <c r="H56" s="4">
        <f t="shared" si="30"/>
        <v>0.1</v>
      </c>
      <c r="I56" s="4">
        <f t="shared" si="20"/>
        <v>0.65800000000000003</v>
      </c>
      <c r="J56" s="51">
        <f t="shared" ref="J56" si="31">(D56+E56+F56+I56)*$C$3</f>
        <v>185.36560000000003</v>
      </c>
      <c r="K56" s="36"/>
      <c r="L56" s="41"/>
    </row>
    <row r="57" spans="1:12" ht="26.25" x14ac:dyDescent="0.4">
      <c r="A57" s="31" t="s">
        <v>32</v>
      </c>
      <c r="B57" s="2"/>
      <c r="C57" s="2"/>
      <c r="D57" s="2"/>
      <c r="E57" s="2"/>
      <c r="F57" s="2"/>
      <c r="G57" s="2"/>
      <c r="H57" s="2"/>
      <c r="I57" s="2"/>
      <c r="J57" s="10">
        <f>SUM(J58:J66)</f>
        <v>2310.6910133333331</v>
      </c>
      <c r="K57" s="32">
        <v>2311</v>
      </c>
      <c r="L57" s="10">
        <f t="shared" si="6"/>
        <v>0.30898666666689678</v>
      </c>
    </row>
    <row r="58" spans="1:12" x14ac:dyDescent="0.25">
      <c r="A58" s="4" t="s">
        <v>110</v>
      </c>
      <c r="B58" s="4">
        <v>1</v>
      </c>
      <c r="C58" s="4">
        <v>12</v>
      </c>
      <c r="D58" s="4">
        <v>12</v>
      </c>
      <c r="E58" s="4">
        <f t="shared" si="19"/>
        <v>0.60000000000000009</v>
      </c>
      <c r="F58" s="4">
        <f>2.33/2</f>
        <v>1.165</v>
      </c>
      <c r="G58" s="4">
        <v>0.2</v>
      </c>
      <c r="H58" s="4">
        <f>G58</f>
        <v>0.2</v>
      </c>
      <c r="I58" s="4">
        <f t="shared" si="20"/>
        <v>1.3160000000000001</v>
      </c>
      <c r="J58" s="51">
        <f t="shared" si="21"/>
        <v>476.55960000000005</v>
      </c>
      <c r="K58" s="36"/>
      <c r="L58" s="41"/>
    </row>
    <row r="59" spans="1:12" x14ac:dyDescent="0.25">
      <c r="A59" s="4" t="s">
        <v>111</v>
      </c>
      <c r="B59" s="4">
        <v>1</v>
      </c>
      <c r="C59" s="4">
        <f>D59</f>
        <v>3.91</v>
      </c>
      <c r="D59" s="42">
        <v>3.91</v>
      </c>
      <c r="E59" s="4">
        <f t="shared" si="19"/>
        <v>0.19550000000000001</v>
      </c>
      <c r="F59" s="42">
        <v>0</v>
      </c>
      <c r="G59" s="4">
        <v>0.2</v>
      </c>
      <c r="H59" s="4">
        <f>G59</f>
        <v>0.2</v>
      </c>
      <c r="I59" s="4">
        <f t="shared" si="20"/>
        <v>1.3160000000000001</v>
      </c>
      <c r="J59" s="51">
        <f t="shared" si="21"/>
        <v>171.3194</v>
      </c>
      <c r="K59" s="36"/>
      <c r="L59" s="41"/>
    </row>
    <row r="60" spans="1:12" x14ac:dyDescent="0.25">
      <c r="A60" s="4" t="s">
        <v>112</v>
      </c>
      <c r="B60" s="4">
        <v>1</v>
      </c>
      <c r="C60" s="4">
        <v>0.66</v>
      </c>
      <c r="D60" s="4">
        <f>C60</f>
        <v>0.66</v>
      </c>
      <c r="E60" s="4">
        <f t="shared" si="19"/>
        <v>3.3000000000000002E-2</v>
      </c>
      <c r="F60" s="37">
        <f>2.33/6</f>
        <v>0.38833333333333336</v>
      </c>
      <c r="G60" s="38">
        <v>0.2</v>
      </c>
      <c r="H60" s="38">
        <f>G60*B60</f>
        <v>0.2</v>
      </c>
      <c r="I60" s="4">
        <f t="shared" si="20"/>
        <v>1.3160000000000001</v>
      </c>
      <c r="J60" s="51">
        <f t="shared" si="21"/>
        <v>75.755733333333339</v>
      </c>
      <c r="K60" s="36"/>
      <c r="L60" s="41"/>
    </row>
    <row r="61" spans="1:12" x14ac:dyDescent="0.25">
      <c r="A61" s="4" t="s">
        <v>113</v>
      </c>
      <c r="B61" s="4">
        <v>1</v>
      </c>
      <c r="C61" s="4">
        <f>D61</f>
        <v>7.81</v>
      </c>
      <c r="D61" s="4">
        <v>7.81</v>
      </c>
      <c r="E61" s="4">
        <f t="shared" si="19"/>
        <v>0.39050000000000001</v>
      </c>
      <c r="F61" s="4">
        <v>0</v>
      </c>
      <c r="G61" s="4">
        <v>0.2</v>
      </c>
      <c r="H61" s="38">
        <f t="shared" ref="H61:H62" si="32">G61*B61</f>
        <v>0.2</v>
      </c>
      <c r="I61" s="4">
        <f t="shared" si="20"/>
        <v>1.3160000000000001</v>
      </c>
      <c r="J61" s="51">
        <f t="shared" si="21"/>
        <v>300.72140000000002</v>
      </c>
      <c r="K61" s="36"/>
      <c r="L61" s="41"/>
    </row>
    <row r="62" spans="1:12" x14ac:dyDescent="0.25">
      <c r="A62" s="4" t="s">
        <v>114</v>
      </c>
      <c r="B62" s="4">
        <v>1</v>
      </c>
      <c r="C62" s="4">
        <f>D62</f>
        <v>1.31</v>
      </c>
      <c r="D62" s="4">
        <v>1.31</v>
      </c>
      <c r="E62" s="4">
        <f t="shared" si="19"/>
        <v>6.5500000000000003E-2</v>
      </c>
      <c r="F62" s="4">
        <v>2.33</v>
      </c>
      <c r="G62" s="4">
        <v>0.2</v>
      </c>
      <c r="H62" s="38">
        <f t="shared" si="32"/>
        <v>0.2</v>
      </c>
      <c r="I62" s="4">
        <f t="shared" si="20"/>
        <v>1.3160000000000001</v>
      </c>
      <c r="J62" s="51">
        <f t="shared" si="21"/>
        <v>158.67940000000002</v>
      </c>
      <c r="K62" s="36"/>
      <c r="L62" s="41"/>
    </row>
    <row r="63" spans="1:12" x14ac:dyDescent="0.25">
      <c r="A63" s="43" t="s">
        <v>134</v>
      </c>
      <c r="B63" s="4">
        <v>1</v>
      </c>
      <c r="C63" s="4">
        <f>69.27/5</f>
        <v>13.853999999999999</v>
      </c>
      <c r="D63" s="4">
        <f>C63</f>
        <v>13.853999999999999</v>
      </c>
      <c r="E63" s="4">
        <f t="shared" si="19"/>
        <v>0.69269999999999998</v>
      </c>
      <c r="F63" s="4"/>
      <c r="G63" s="4">
        <v>0.2</v>
      </c>
      <c r="H63" s="4">
        <f>G63</f>
        <v>0.2</v>
      </c>
      <c r="I63" s="4">
        <f t="shared" si="20"/>
        <v>1.3160000000000001</v>
      </c>
      <c r="J63" s="51">
        <f t="shared" si="21"/>
        <v>501.26132000000001</v>
      </c>
      <c r="K63" s="36"/>
      <c r="L63" s="41"/>
    </row>
    <row r="64" spans="1:12" x14ac:dyDescent="0.25">
      <c r="A64" s="48" t="s">
        <v>102</v>
      </c>
      <c r="B64" s="47">
        <v>2</v>
      </c>
      <c r="C64" s="4">
        <v>4.3099999999999996</v>
      </c>
      <c r="D64" s="4">
        <f>B64*C64</f>
        <v>8.6199999999999992</v>
      </c>
      <c r="E64" s="4">
        <f t="shared" si="19"/>
        <v>0.43099999999999999</v>
      </c>
      <c r="F64" s="4"/>
      <c r="G64" s="4">
        <v>0.1</v>
      </c>
      <c r="H64" s="4">
        <f>G64*B64</f>
        <v>0.2</v>
      </c>
      <c r="I64" s="4">
        <f t="shared" si="20"/>
        <v>1.3160000000000001</v>
      </c>
      <c r="J64" s="51">
        <f t="shared" si="21"/>
        <v>327.59719999999999</v>
      </c>
      <c r="K64" s="36"/>
      <c r="L64" s="41"/>
    </row>
    <row r="65" spans="1:34" x14ac:dyDescent="0.25">
      <c r="A65" s="48" t="s">
        <v>128</v>
      </c>
      <c r="B65" s="4">
        <v>1</v>
      </c>
      <c r="C65" s="4">
        <v>2.98</v>
      </c>
      <c r="D65" s="4">
        <f t="shared" ref="D65:D66" si="33">B65*C65</f>
        <v>2.98</v>
      </c>
      <c r="E65" s="4">
        <f t="shared" si="19"/>
        <v>0.14899999999999999</v>
      </c>
      <c r="F65" s="4"/>
      <c r="G65" s="4">
        <v>7.0000000000000007E-2</v>
      </c>
      <c r="H65" s="4">
        <f t="shared" ref="H65:H66" si="34">G65</f>
        <v>7.0000000000000007E-2</v>
      </c>
      <c r="I65" s="4">
        <f t="shared" si="20"/>
        <v>0.46060000000000006</v>
      </c>
      <c r="J65" s="51">
        <f t="shared" si="21"/>
        <v>113.43136</v>
      </c>
      <c r="K65" s="36"/>
      <c r="L65" s="41"/>
    </row>
    <row r="66" spans="1:34" x14ac:dyDescent="0.25">
      <c r="A66" s="48" t="s">
        <v>129</v>
      </c>
      <c r="B66" s="4">
        <v>1</v>
      </c>
      <c r="C66" s="4">
        <v>4.96</v>
      </c>
      <c r="D66" s="4">
        <f t="shared" si="33"/>
        <v>4.96</v>
      </c>
      <c r="E66" s="4">
        <f t="shared" si="19"/>
        <v>0.248</v>
      </c>
      <c r="F66" s="4"/>
      <c r="G66" s="4">
        <v>0.1</v>
      </c>
      <c r="H66" s="4">
        <f t="shared" si="34"/>
        <v>0.1</v>
      </c>
      <c r="I66" s="4">
        <f t="shared" si="20"/>
        <v>0.65800000000000003</v>
      </c>
      <c r="J66" s="51">
        <f t="shared" si="21"/>
        <v>185.36560000000003</v>
      </c>
      <c r="K66" s="36"/>
      <c r="L66" s="41"/>
    </row>
    <row r="67" spans="1:34" ht="26.25" x14ac:dyDescent="0.4">
      <c r="A67" s="31" t="s">
        <v>115</v>
      </c>
      <c r="B67" s="2"/>
      <c r="C67" s="2"/>
      <c r="D67" s="2"/>
      <c r="E67" s="2"/>
      <c r="F67" s="2"/>
      <c r="G67" s="2"/>
      <c r="H67" s="2"/>
      <c r="I67" s="2"/>
      <c r="J67" s="10">
        <f>SUM(J68:J70)</f>
        <v>504.28122666666667</v>
      </c>
      <c r="K67" s="32">
        <v>504</v>
      </c>
      <c r="L67" s="10">
        <f t="shared" si="6"/>
        <v>-0.28122666666666873</v>
      </c>
    </row>
    <row r="68" spans="1:34" x14ac:dyDescent="0.25">
      <c r="A68" s="44" t="s">
        <v>116</v>
      </c>
      <c r="B68" s="4">
        <v>1</v>
      </c>
      <c r="C68" s="39">
        <v>4.2</v>
      </c>
      <c r="D68" s="39">
        <v>4.2</v>
      </c>
      <c r="E68" s="4">
        <f t="shared" si="19"/>
        <v>0.21000000000000002</v>
      </c>
      <c r="F68" s="4">
        <f>2.33/3</f>
        <v>0.77666666666666673</v>
      </c>
      <c r="G68" s="4">
        <v>0.2</v>
      </c>
      <c r="H68" s="40">
        <f t="shared" ref="H68" si="35">G68*B68</f>
        <v>0.2</v>
      </c>
      <c r="I68" s="4">
        <f t="shared" si="20"/>
        <v>1.3160000000000001</v>
      </c>
      <c r="J68" s="51">
        <f t="shared" si="21"/>
        <v>205.48426666666666</v>
      </c>
      <c r="K68" s="45"/>
      <c r="L68" s="41"/>
    </row>
    <row r="69" spans="1:34" x14ac:dyDescent="0.25">
      <c r="A69" s="48" t="s">
        <v>128</v>
      </c>
      <c r="B69" s="4">
        <v>1</v>
      </c>
      <c r="C69" s="4">
        <v>2.98</v>
      </c>
      <c r="D69" s="4">
        <f t="shared" ref="D69:D70" si="36">B69*C69</f>
        <v>2.98</v>
      </c>
      <c r="E69" s="4">
        <f t="shared" si="19"/>
        <v>0.14899999999999999</v>
      </c>
      <c r="F69" s="4"/>
      <c r="G69" s="4">
        <v>7.0000000000000007E-2</v>
      </c>
      <c r="H69" s="4">
        <f t="shared" ref="H69:H70" si="37">G69</f>
        <v>7.0000000000000007E-2</v>
      </c>
      <c r="I69" s="4">
        <f t="shared" si="20"/>
        <v>0.46060000000000006</v>
      </c>
      <c r="J69" s="51">
        <f t="shared" si="21"/>
        <v>113.43136</v>
      </c>
      <c r="K69" s="36"/>
      <c r="L69" s="41"/>
    </row>
    <row r="70" spans="1:34" x14ac:dyDescent="0.25">
      <c r="A70" s="48" t="s">
        <v>129</v>
      </c>
      <c r="B70" s="4">
        <v>1</v>
      </c>
      <c r="C70" s="4">
        <v>4.96</v>
      </c>
      <c r="D70" s="4">
        <f t="shared" si="36"/>
        <v>4.96</v>
      </c>
      <c r="E70" s="4">
        <f t="shared" si="19"/>
        <v>0.248</v>
      </c>
      <c r="F70" s="4"/>
      <c r="G70" s="4">
        <v>0.1</v>
      </c>
      <c r="H70" s="4">
        <f t="shared" si="37"/>
        <v>0.1</v>
      </c>
      <c r="I70" s="4">
        <f t="shared" si="20"/>
        <v>0.65800000000000003</v>
      </c>
      <c r="J70" s="51">
        <f t="shared" si="21"/>
        <v>185.36560000000003</v>
      </c>
      <c r="K70" s="36"/>
      <c r="L70" s="41"/>
    </row>
    <row r="71" spans="1:34" s="31" customFormat="1" ht="26.25" x14ac:dyDescent="0.4">
      <c r="A71" s="31" t="s">
        <v>124</v>
      </c>
      <c r="J71" s="53">
        <f>J72+J73</f>
        <v>665.05992000000003</v>
      </c>
      <c r="K71" s="31">
        <v>665</v>
      </c>
      <c r="L71" s="10">
        <f>K71-J71</f>
        <v>-5.9920000000033724E-2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x14ac:dyDescent="0.25">
      <c r="A72" s="41" t="s">
        <v>125</v>
      </c>
      <c r="B72">
        <v>1</v>
      </c>
      <c r="C72">
        <f>69.27/5</f>
        <v>13.853999999999999</v>
      </c>
      <c r="D72">
        <f>C72</f>
        <v>13.853999999999999</v>
      </c>
      <c r="E72" s="4">
        <f>D72*0.05</f>
        <v>0.69269999999999998</v>
      </c>
      <c r="F72">
        <v>0</v>
      </c>
      <c r="G72">
        <v>0.2</v>
      </c>
      <c r="H72">
        <f>G72</f>
        <v>0.2</v>
      </c>
      <c r="I72" s="4">
        <f>H72*$C$2</f>
        <v>1.3160000000000001</v>
      </c>
      <c r="J72" s="51">
        <f>(D72+E72+F72+I72)*$C$3</f>
        <v>501.26132000000001</v>
      </c>
      <c r="K72" s="36"/>
      <c r="L72" s="41"/>
    </row>
    <row r="73" spans="1:34" x14ac:dyDescent="0.25">
      <c r="A73" s="48" t="s">
        <v>102</v>
      </c>
      <c r="B73" s="47">
        <v>1</v>
      </c>
      <c r="C73" s="4">
        <v>4.3099999999999996</v>
      </c>
      <c r="D73" s="4">
        <f>B73*C73</f>
        <v>4.3099999999999996</v>
      </c>
      <c r="E73" s="4">
        <f>D73*0.05</f>
        <v>0.2155</v>
      </c>
      <c r="F73" s="4"/>
      <c r="G73" s="4">
        <v>0.1</v>
      </c>
      <c r="H73" s="4">
        <f>G73*B73</f>
        <v>0.1</v>
      </c>
      <c r="I73" s="4">
        <f>H73*$C$2</f>
        <v>0.65800000000000003</v>
      </c>
      <c r="J73" s="51">
        <f t="shared" ref="J73" si="38">(D73+E73+F73+I73)*$C$3</f>
        <v>163.79859999999999</v>
      </c>
      <c r="K73" s="36"/>
      <c r="L73" s="41"/>
    </row>
    <row r="74" spans="1:34" ht="26.25" x14ac:dyDescent="0.4">
      <c r="A74" s="1" t="s">
        <v>132</v>
      </c>
      <c r="B74" s="2"/>
      <c r="C74" s="2"/>
      <c r="D74" s="2"/>
      <c r="E74" s="2"/>
      <c r="F74" s="2"/>
      <c r="G74" s="2"/>
      <c r="H74" s="2"/>
      <c r="I74" s="2"/>
      <c r="J74" s="52">
        <f>J75</f>
        <v>163.79859999999999</v>
      </c>
      <c r="K74" s="10">
        <v>164</v>
      </c>
      <c r="L74" s="10">
        <f>K74-J74</f>
        <v>0.20140000000000668</v>
      </c>
    </row>
    <row r="75" spans="1:34" x14ac:dyDescent="0.25">
      <c r="A75" s="48" t="s">
        <v>102</v>
      </c>
      <c r="B75" s="47">
        <v>1</v>
      </c>
      <c r="C75" s="4">
        <v>4.3099999999999996</v>
      </c>
      <c r="D75" s="4">
        <f>B75*C75</f>
        <v>4.3099999999999996</v>
      </c>
      <c r="E75" s="4">
        <f t="shared" ref="E75" si="39">D75*0.05</f>
        <v>0.2155</v>
      </c>
      <c r="F75" s="4"/>
      <c r="G75" s="4">
        <v>0.1</v>
      </c>
      <c r="H75" s="4">
        <f>G75*B75</f>
        <v>0.1</v>
      </c>
      <c r="I75" s="4">
        <f t="shared" ref="I75" si="40">H75*$C$2</f>
        <v>0.65800000000000003</v>
      </c>
      <c r="J75" s="51">
        <f t="shared" ref="J75" si="41">(D75+E75+F75+I75)*$C$3</f>
        <v>163.79859999999999</v>
      </c>
      <c r="K75" s="36"/>
    </row>
    <row r="76" spans="1:34" ht="26.25" x14ac:dyDescent="0.4">
      <c r="A76" s="1" t="s">
        <v>133</v>
      </c>
      <c r="B76" s="2"/>
      <c r="C76" s="2"/>
      <c r="D76" s="2"/>
      <c r="E76" s="2"/>
      <c r="F76" s="2"/>
      <c r="G76" s="2"/>
      <c r="H76" s="2"/>
      <c r="I76" s="2"/>
      <c r="J76" s="52">
        <f>J77</f>
        <v>163.79859999999999</v>
      </c>
      <c r="K76" s="10">
        <v>164</v>
      </c>
      <c r="L76" s="10">
        <f>K76-J76</f>
        <v>0.20140000000000668</v>
      </c>
    </row>
    <row r="77" spans="1:34" x14ac:dyDescent="0.25">
      <c r="A77" s="48" t="s">
        <v>102</v>
      </c>
      <c r="B77" s="47">
        <v>1</v>
      </c>
      <c r="C77" s="4">
        <v>4.3099999999999996</v>
      </c>
      <c r="D77" s="4">
        <f>B77*C77</f>
        <v>4.3099999999999996</v>
      </c>
      <c r="E77" s="4">
        <f>D77*0.05</f>
        <v>0.2155</v>
      </c>
      <c r="F77" s="4"/>
      <c r="G77" s="4">
        <v>0.1</v>
      </c>
      <c r="H77" s="4">
        <f>G77*B77</f>
        <v>0.1</v>
      </c>
      <c r="I77" s="4">
        <f>H77*$C$2</f>
        <v>0.65800000000000003</v>
      </c>
      <c r="J77" s="51">
        <f t="shared" ref="J77" si="42">(D77+E77+F77+I77)*$C$3</f>
        <v>163.79859999999999</v>
      </c>
      <c r="K77" s="36"/>
    </row>
    <row r="78" spans="1:34" ht="26.25" x14ac:dyDescent="0.4">
      <c r="A78" s="1" t="s">
        <v>36</v>
      </c>
      <c r="B78" s="2"/>
      <c r="C78" s="2"/>
      <c r="D78" s="2"/>
      <c r="E78" s="2"/>
      <c r="F78" s="2"/>
      <c r="G78" s="2"/>
      <c r="H78" s="2"/>
      <c r="I78" s="2"/>
      <c r="J78" s="52">
        <f>J79</f>
        <v>327.59719999999999</v>
      </c>
      <c r="K78" s="10">
        <v>328</v>
      </c>
      <c r="L78" s="10">
        <f>K78-J78</f>
        <v>0.40280000000001337</v>
      </c>
    </row>
    <row r="79" spans="1:34" x14ac:dyDescent="0.25">
      <c r="A79" s="48" t="s">
        <v>102</v>
      </c>
      <c r="B79" s="47">
        <v>2</v>
      </c>
      <c r="C79" s="4">
        <v>4.3099999999999996</v>
      </c>
      <c r="D79" s="4">
        <f>B79*C79</f>
        <v>8.6199999999999992</v>
      </c>
      <c r="E79" s="4">
        <f>D79*0.05</f>
        <v>0.43099999999999999</v>
      </c>
      <c r="F79" s="4"/>
      <c r="G79" s="4">
        <v>0.1</v>
      </c>
      <c r="H79" s="4">
        <f>G79*B79</f>
        <v>0.2</v>
      </c>
      <c r="I79" s="4">
        <f>H79*$C$2</f>
        <v>1.3160000000000001</v>
      </c>
      <c r="J79" s="51">
        <f t="shared" ref="J79" si="43">(D79+E79+F79+I79)*$C$3</f>
        <v>327.59719999999999</v>
      </c>
      <c r="K79" s="36"/>
    </row>
    <row r="80" spans="1:34" ht="26.25" x14ac:dyDescent="0.4">
      <c r="A80" s="1" t="s">
        <v>131</v>
      </c>
      <c r="B80" s="2"/>
      <c r="C80" s="2"/>
      <c r="D80" s="2"/>
      <c r="E80" s="2"/>
      <c r="F80" s="2"/>
      <c r="G80" s="2"/>
      <c r="H80" s="2"/>
      <c r="I80" s="2"/>
      <c r="J80" s="52">
        <f>J81</f>
        <v>113.43136</v>
      </c>
      <c r="K80" s="10">
        <v>113</v>
      </c>
      <c r="L80" s="10">
        <f>K80-J80</f>
        <v>-0.43135999999999797</v>
      </c>
    </row>
    <row r="81" spans="1:34" x14ac:dyDescent="0.25">
      <c r="A81" s="48" t="s">
        <v>128</v>
      </c>
      <c r="B81" s="4">
        <v>1</v>
      </c>
      <c r="C81" s="4">
        <v>2.98</v>
      </c>
      <c r="D81" s="4">
        <f t="shared" ref="D81" si="44">B81*C81</f>
        <v>2.98</v>
      </c>
      <c r="E81" s="4">
        <f>D81*0.05</f>
        <v>0.14899999999999999</v>
      </c>
      <c r="F81" s="4">
        <v>0</v>
      </c>
      <c r="G81" s="4">
        <v>7.0000000000000007E-2</v>
      </c>
      <c r="H81" s="4">
        <f t="shared" ref="H81" si="45">G81</f>
        <v>7.0000000000000007E-2</v>
      </c>
      <c r="I81" s="4">
        <f>H81*$C$2</f>
        <v>0.46060000000000006</v>
      </c>
      <c r="J81" s="51">
        <f>(D81+E81+F81+I81)*$C$3</f>
        <v>113.43136</v>
      </c>
      <c r="K81" s="36"/>
    </row>
    <row r="82" spans="1:34" ht="26.25" x14ac:dyDescent="0.4">
      <c r="A82" s="1" t="s">
        <v>123</v>
      </c>
      <c r="B82" s="2"/>
      <c r="C82" s="2"/>
      <c r="D82" s="2"/>
      <c r="E82" s="2"/>
      <c r="F82" s="2"/>
      <c r="G82" s="2"/>
      <c r="H82" s="2"/>
      <c r="I82" s="2"/>
      <c r="J82" s="52">
        <f>J83</f>
        <v>113.43136</v>
      </c>
      <c r="K82" s="10">
        <v>113</v>
      </c>
      <c r="L82" s="10">
        <f>K82-J82</f>
        <v>-0.43135999999999797</v>
      </c>
    </row>
    <row r="83" spans="1:34" x14ac:dyDescent="0.25">
      <c r="A83" s="48" t="s">
        <v>128</v>
      </c>
      <c r="B83" s="4">
        <v>1</v>
      </c>
      <c r="C83" s="4">
        <v>2.98</v>
      </c>
      <c r="D83" s="4">
        <f t="shared" ref="D83" si="46">B83*C83</f>
        <v>2.98</v>
      </c>
      <c r="E83" s="4">
        <f>D83*0.05</f>
        <v>0.14899999999999999</v>
      </c>
      <c r="F83" s="4">
        <v>0</v>
      </c>
      <c r="G83" s="4">
        <v>7.0000000000000007E-2</v>
      </c>
      <c r="H83" s="4">
        <f t="shared" ref="H83" si="47">G83</f>
        <v>7.0000000000000007E-2</v>
      </c>
      <c r="I83" s="4">
        <f>H83*$C$2</f>
        <v>0.46060000000000006</v>
      </c>
      <c r="J83" s="51">
        <f>(D83+E83+F83+I83)*$C$3</f>
        <v>113.43136</v>
      </c>
      <c r="K83" s="36"/>
    </row>
    <row r="84" spans="1:34" ht="26.25" x14ac:dyDescent="0.4">
      <c r="A84" s="31" t="s">
        <v>117</v>
      </c>
      <c r="B84" s="2"/>
      <c r="C84" s="2"/>
      <c r="D84" s="2"/>
      <c r="E84" s="2"/>
      <c r="F84" s="2"/>
      <c r="G84" s="2"/>
      <c r="H84" s="2"/>
      <c r="I84" s="2"/>
      <c r="J84" s="10">
        <f>J85</f>
        <v>291.61428000000006</v>
      </c>
      <c r="K84" s="32">
        <v>300</v>
      </c>
      <c r="L84" s="10">
        <f>K84-J84-8</f>
        <v>0.38571999999993523</v>
      </c>
      <c r="M84" t="s">
        <v>139</v>
      </c>
    </row>
    <row r="85" spans="1:34" s="35" customFormat="1" x14ac:dyDescent="0.25">
      <c r="A85" s="46" t="s">
        <v>118</v>
      </c>
      <c r="B85" s="5">
        <v>1</v>
      </c>
      <c r="C85" s="5">
        <f>D85</f>
        <v>6.05</v>
      </c>
      <c r="D85" s="5">
        <v>6.05</v>
      </c>
      <c r="E85" s="4">
        <f t="shared" si="19"/>
        <v>0.30249999999999999</v>
      </c>
      <c r="F85" s="5">
        <f>2.33/2</f>
        <v>1.165</v>
      </c>
      <c r="G85" s="5">
        <f>H85</f>
        <v>0.26</v>
      </c>
      <c r="H85" s="5">
        <v>0.26</v>
      </c>
      <c r="I85" s="4">
        <f t="shared" si="20"/>
        <v>1.7108000000000001</v>
      </c>
      <c r="J85" s="51">
        <f t="shared" si="21"/>
        <v>291.61428000000006</v>
      </c>
      <c r="K85" s="34"/>
      <c r="L85" s="41"/>
    </row>
    <row r="86" spans="1:34" ht="26.25" x14ac:dyDescent="0.4">
      <c r="A86" s="31" t="s">
        <v>119</v>
      </c>
      <c r="B86" s="2"/>
      <c r="C86" s="2"/>
      <c r="D86" s="2"/>
      <c r="E86" s="2"/>
      <c r="F86" s="2"/>
      <c r="G86" s="2"/>
      <c r="H86" s="2"/>
      <c r="I86" s="2"/>
      <c r="J86" s="10">
        <f>J87</f>
        <v>244.80520000000004</v>
      </c>
      <c r="K86" s="32">
        <v>245</v>
      </c>
      <c r="L86" s="10">
        <f t="shared" si="6"/>
        <v>0.19479999999995812</v>
      </c>
    </row>
    <row r="87" spans="1:34" x14ac:dyDescent="0.25">
      <c r="A87" s="4" t="s">
        <v>120</v>
      </c>
      <c r="B87" s="4">
        <v>1</v>
      </c>
      <c r="C87" s="4">
        <f>44.56/8</f>
        <v>5.57</v>
      </c>
      <c r="D87" s="4">
        <f>B87*C87</f>
        <v>5.57</v>
      </c>
      <c r="E87" s="4">
        <f t="shared" si="19"/>
        <v>0.27850000000000003</v>
      </c>
      <c r="F87" s="4">
        <f>2.33/4</f>
        <v>0.58250000000000002</v>
      </c>
      <c r="G87" s="4">
        <v>0.2</v>
      </c>
      <c r="H87" s="38">
        <f>G87*B87</f>
        <v>0.2</v>
      </c>
      <c r="I87" s="4">
        <f t="shared" si="20"/>
        <v>1.3160000000000001</v>
      </c>
      <c r="J87" s="51">
        <f t="shared" si="21"/>
        <v>244.80520000000004</v>
      </c>
      <c r="K87" s="36"/>
      <c r="L87" s="41"/>
    </row>
    <row r="88" spans="1:34" ht="26.25" x14ac:dyDescent="0.4">
      <c r="A88" s="31" t="s">
        <v>40</v>
      </c>
      <c r="B88" s="2"/>
      <c r="C88" s="2"/>
      <c r="D88" s="2"/>
      <c r="E88" s="2"/>
      <c r="F88" s="2"/>
      <c r="G88" s="2"/>
      <c r="H88" s="2"/>
      <c r="I88" s="2"/>
      <c r="J88" s="10">
        <f>J89</f>
        <v>242.09813333333335</v>
      </c>
      <c r="K88" s="32">
        <v>242</v>
      </c>
      <c r="L88" s="10">
        <f t="shared" si="6"/>
        <v>-9.8133333333350947E-2</v>
      </c>
    </row>
    <row r="89" spans="1:34" x14ac:dyDescent="0.25">
      <c r="A89" s="4" t="s">
        <v>112</v>
      </c>
      <c r="B89" s="47">
        <v>5</v>
      </c>
      <c r="C89" s="4">
        <v>0.66</v>
      </c>
      <c r="D89" s="4">
        <f>C89</f>
        <v>0.66</v>
      </c>
      <c r="E89" s="4">
        <f t="shared" si="19"/>
        <v>3.3000000000000002E-2</v>
      </c>
      <c r="F89" s="37">
        <f>2.33/6</f>
        <v>0.38833333333333336</v>
      </c>
      <c r="G89" s="38">
        <v>0.2</v>
      </c>
      <c r="H89" s="38">
        <f>G89*B89</f>
        <v>1</v>
      </c>
      <c r="I89" s="4">
        <f t="shared" si="20"/>
        <v>6.58</v>
      </c>
      <c r="J89" s="51">
        <f t="shared" si="21"/>
        <v>242.09813333333335</v>
      </c>
      <c r="K89" s="36"/>
      <c r="L89" s="41"/>
    </row>
    <row r="90" spans="1:34" ht="26.25" x14ac:dyDescent="0.4">
      <c r="A90" s="31" t="s">
        <v>121</v>
      </c>
      <c r="B90" s="2"/>
      <c r="C90" s="2"/>
      <c r="D90" s="2"/>
      <c r="E90" s="2"/>
      <c r="F90" s="2"/>
      <c r="G90" s="2"/>
      <c r="H90" s="2"/>
      <c r="I90" s="2"/>
      <c r="J90" s="10">
        <f>J91</f>
        <v>254.56960000000004</v>
      </c>
      <c r="K90" s="32">
        <v>255</v>
      </c>
      <c r="L90" s="10">
        <f t="shared" ref="L90:L98" si="48">K90-J90</f>
        <v>0.43039999999996326</v>
      </c>
    </row>
    <row r="91" spans="1:34" x14ac:dyDescent="0.25">
      <c r="A91" s="44" t="s">
        <v>116</v>
      </c>
      <c r="B91" s="4">
        <v>1</v>
      </c>
      <c r="C91" s="39">
        <v>4.2</v>
      </c>
      <c r="D91" s="39">
        <v>4.2</v>
      </c>
      <c r="E91" s="4">
        <f t="shared" si="19"/>
        <v>0.21000000000000002</v>
      </c>
      <c r="F91" s="4">
        <v>2.33</v>
      </c>
      <c r="G91" s="4">
        <v>0.2</v>
      </c>
      <c r="H91" s="40">
        <f t="shared" ref="H91" si="49">G91*B91</f>
        <v>0.2</v>
      </c>
      <c r="I91" s="4">
        <f t="shared" si="20"/>
        <v>1.3160000000000001</v>
      </c>
      <c r="J91" s="51">
        <f t="shared" si="21"/>
        <v>254.56960000000004</v>
      </c>
      <c r="K91" s="45"/>
      <c r="L91" s="41"/>
    </row>
    <row r="92" spans="1:34" s="31" customFormat="1" ht="26.25" x14ac:dyDescent="0.4">
      <c r="A92" s="31" t="s">
        <v>160</v>
      </c>
      <c r="J92" s="53">
        <f>J93</f>
        <v>814.70330000000001</v>
      </c>
      <c r="K92" s="31">
        <v>815</v>
      </c>
      <c r="L92" s="10">
        <f t="shared" si="48"/>
        <v>0.29669999999998709</v>
      </c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x14ac:dyDescent="0.25">
      <c r="A93" s="43" t="s">
        <v>122</v>
      </c>
      <c r="B93" s="4">
        <v>1</v>
      </c>
      <c r="C93" s="5">
        <f>40.91/2</f>
        <v>20.454999999999998</v>
      </c>
      <c r="D93" s="4">
        <f>B93*C93</f>
        <v>20.454999999999998</v>
      </c>
      <c r="E93" s="4">
        <f t="shared" si="19"/>
        <v>1.02275</v>
      </c>
      <c r="F93" s="4">
        <v>2.33</v>
      </c>
      <c r="G93" s="4">
        <v>0.3</v>
      </c>
      <c r="H93" s="4">
        <f>0.3*B93</f>
        <v>0.3</v>
      </c>
      <c r="I93" s="4">
        <f t="shared" si="20"/>
        <v>1.974</v>
      </c>
      <c r="J93" s="51">
        <f t="shared" si="21"/>
        <v>814.70330000000001</v>
      </c>
      <c r="L93" s="41"/>
    </row>
    <row r="94" spans="1:34" s="31" customFormat="1" ht="26.25" x14ac:dyDescent="0.4">
      <c r="A94" s="31" t="s">
        <v>23</v>
      </c>
      <c r="J94" s="53">
        <f>J95</f>
        <v>501.26132000000001</v>
      </c>
      <c r="K94" s="31">
        <v>501</v>
      </c>
      <c r="L94" s="10">
        <f t="shared" si="48"/>
        <v>-0.26132000000001199</v>
      </c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x14ac:dyDescent="0.25">
      <c r="A95" s="41" t="s">
        <v>125</v>
      </c>
      <c r="B95">
        <v>1</v>
      </c>
      <c r="C95">
        <f>69.27/5</f>
        <v>13.853999999999999</v>
      </c>
      <c r="D95">
        <f>C95</f>
        <v>13.853999999999999</v>
      </c>
      <c r="E95" s="4">
        <f t="shared" si="19"/>
        <v>0.69269999999999998</v>
      </c>
      <c r="F95">
        <v>0</v>
      </c>
      <c r="G95">
        <v>0.2</v>
      </c>
      <c r="H95">
        <f>G95</f>
        <v>0.2</v>
      </c>
      <c r="I95" s="4">
        <f t="shared" si="20"/>
        <v>1.3160000000000001</v>
      </c>
      <c r="J95" s="51">
        <f t="shared" si="21"/>
        <v>501.26132000000001</v>
      </c>
      <c r="K95" s="41"/>
      <c r="L95" s="41"/>
    </row>
    <row r="96" spans="1:34" s="31" customFormat="1" ht="26.25" x14ac:dyDescent="0.4">
      <c r="A96" s="31" t="s">
        <v>126</v>
      </c>
      <c r="J96" s="53">
        <f>J97</f>
        <v>613.40340000000003</v>
      </c>
      <c r="K96" s="31">
        <f>442+171</f>
        <v>613</v>
      </c>
      <c r="L96" s="10">
        <f t="shared" si="48"/>
        <v>-0.40340000000003329</v>
      </c>
      <c r="M96" t="s">
        <v>135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x14ac:dyDescent="0.25">
      <c r="A97" s="4" t="s">
        <v>127</v>
      </c>
      <c r="B97" s="4">
        <v>1</v>
      </c>
      <c r="C97" s="4">
        <v>13.95</v>
      </c>
      <c r="D97" s="4">
        <f>B97*C97</f>
        <v>13.95</v>
      </c>
      <c r="E97" s="4">
        <f t="shared" si="19"/>
        <v>0.69750000000000001</v>
      </c>
      <c r="F97" s="4">
        <f>2.79</f>
        <v>2.79</v>
      </c>
      <c r="G97" s="4">
        <f>H97</f>
        <v>0.3</v>
      </c>
      <c r="H97" s="4">
        <f>0.3*B97</f>
        <v>0.3</v>
      </c>
      <c r="I97" s="4">
        <f t="shared" si="20"/>
        <v>1.974</v>
      </c>
      <c r="J97" s="51">
        <f t="shared" si="21"/>
        <v>613.40340000000003</v>
      </c>
      <c r="K97" s="36"/>
      <c r="L97" s="36"/>
    </row>
    <row r="98" spans="1:34" s="31" customFormat="1" ht="26.25" x14ac:dyDescent="0.4">
      <c r="A98" s="31" t="s">
        <v>136</v>
      </c>
      <c r="J98" s="53">
        <f>J99</f>
        <v>250.4932</v>
      </c>
      <c r="K98" s="31">
        <v>250</v>
      </c>
      <c r="L98" s="10">
        <f t="shared" si="48"/>
        <v>-0.49320000000000164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x14ac:dyDescent="0.25">
      <c r="A99" s="4" t="s">
        <v>97</v>
      </c>
      <c r="B99" s="21">
        <v>1</v>
      </c>
      <c r="C99" s="21">
        <v>4.5599999999999996</v>
      </c>
      <c r="D99" s="21">
        <f>B99*C99</f>
        <v>4.5599999999999996</v>
      </c>
      <c r="E99" s="4">
        <f t="shared" ref="E99" si="50">D99*0.05</f>
        <v>0.22799999999999998</v>
      </c>
      <c r="F99" s="21">
        <f>2.33/2</f>
        <v>1.165</v>
      </c>
      <c r="G99" s="37">
        <v>0.3</v>
      </c>
      <c r="H99" s="38">
        <f t="shared" ref="H99" si="51">G99*B99</f>
        <v>0.3</v>
      </c>
      <c r="I99" s="4">
        <f t="shared" ref="I99" si="52">H99*$C$2</f>
        <v>1.974</v>
      </c>
      <c r="J99" s="51">
        <f t="shared" ref="J99" si="53">(D99+E99+F99+I99)*$C$3</f>
        <v>250.4932</v>
      </c>
      <c r="K99" s="36"/>
      <c r="L99" s="41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topLeftCell="A19" zoomScale="80" zoomScaleNormal="80" workbookViewId="0">
      <selection activeCell="A6" sqref="A6:XFD9"/>
    </sheetView>
  </sheetViews>
  <sheetFormatPr defaultRowHeight="15" x14ac:dyDescent="0.25"/>
  <cols>
    <col min="1" max="1" width="25" customWidth="1"/>
    <col min="3" max="3" width="16.7109375" customWidth="1"/>
    <col min="6" max="6" width="11.42578125" customWidth="1"/>
    <col min="8" max="8" width="10.7109375" customWidth="1"/>
    <col min="11" max="11" width="9.5703125" bestFit="1" customWidth="1"/>
    <col min="12" max="12" width="11.140625" customWidth="1"/>
  </cols>
  <sheetData>
    <row r="1" spans="1:12" ht="21" x14ac:dyDescent="0.35">
      <c r="A1" s="55" t="s">
        <v>281</v>
      </c>
      <c r="B1" s="4"/>
      <c r="C1" s="189">
        <v>42403</v>
      </c>
      <c r="D1" s="30"/>
    </row>
    <row r="2" spans="1:12" ht="38.25" x14ac:dyDescent="0.35">
      <c r="A2" s="55" t="s">
        <v>239</v>
      </c>
      <c r="B2" s="4"/>
      <c r="C2" s="16">
        <v>8090</v>
      </c>
      <c r="D2" s="30"/>
    </row>
    <row r="3" spans="1:12" ht="21" x14ac:dyDescent="0.35">
      <c r="A3" s="55" t="s">
        <v>240</v>
      </c>
      <c r="B3" s="4"/>
      <c r="C3" s="170">
        <v>6.7000000000000004E-2</v>
      </c>
      <c r="D3" s="30"/>
    </row>
    <row r="4" spans="1:12" ht="15.75" thickBot="1" x14ac:dyDescent="0.3"/>
    <row r="5" spans="1:12" ht="45" x14ac:dyDescent="0.25">
      <c r="A5" s="8"/>
      <c r="B5" s="8" t="s">
        <v>3</v>
      </c>
      <c r="C5" s="8" t="s">
        <v>348</v>
      </c>
      <c r="D5" s="8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331</v>
      </c>
      <c r="B6" s="151"/>
      <c r="C6" s="151"/>
      <c r="D6" s="2"/>
      <c r="E6" s="92"/>
      <c r="F6" s="207"/>
      <c r="G6" s="124"/>
      <c r="H6" s="32"/>
      <c r="I6" s="2"/>
      <c r="J6" s="52">
        <f>SUM(J7:J9)</f>
        <v>1656.7090000000001</v>
      </c>
      <c r="K6" s="10">
        <v>783</v>
      </c>
      <c r="L6" s="10">
        <f t="shared" ref="L6" si="0">K6-J6</f>
        <v>-873.70900000000006</v>
      </c>
    </row>
    <row r="7" spans="1:12" x14ac:dyDescent="0.25">
      <c r="A7" s="214" t="s">
        <v>818</v>
      </c>
      <c r="B7" s="4">
        <v>1</v>
      </c>
      <c r="C7" s="4">
        <v>6000</v>
      </c>
      <c r="D7" s="4">
        <f t="shared" ref="D7:D9" si="1">B7*C7</f>
        <v>6000</v>
      </c>
      <c r="E7" s="39">
        <f>D7*0.1</f>
        <v>600</v>
      </c>
      <c r="F7" s="98">
        <v>2500</v>
      </c>
      <c r="G7" s="99">
        <v>0.1</v>
      </c>
      <c r="H7" s="37">
        <f t="shared" ref="H7:H9" si="2">G7*B7</f>
        <v>0.1</v>
      </c>
      <c r="I7" s="4">
        <f>H7*$C$2</f>
        <v>809</v>
      </c>
      <c r="J7" s="51">
        <f>(D7+E7+F7+I7)*$C$3</f>
        <v>663.90300000000002</v>
      </c>
      <c r="K7" s="6"/>
      <c r="L7" s="17"/>
    </row>
    <row r="8" spans="1:12" x14ac:dyDescent="0.25">
      <c r="A8" s="214" t="s">
        <v>819</v>
      </c>
      <c r="B8" s="4">
        <v>1</v>
      </c>
      <c r="C8" s="4">
        <v>6000</v>
      </c>
      <c r="D8" s="4">
        <f t="shared" si="1"/>
        <v>6000</v>
      </c>
      <c r="E8" s="39">
        <f>D8*0.1</f>
        <v>600</v>
      </c>
      <c r="F8" s="98"/>
      <c r="G8" s="99">
        <v>0.1</v>
      </c>
      <c r="H8" s="37">
        <f t="shared" si="2"/>
        <v>0.1</v>
      </c>
      <c r="I8" s="4">
        <f>H8*$C$2</f>
        <v>809</v>
      </c>
      <c r="J8" s="51">
        <f>(D8+E8+F8+I8)*$C$3</f>
        <v>496.40300000000002</v>
      </c>
      <c r="K8" s="6"/>
      <c r="L8" s="17"/>
    </row>
    <row r="9" spans="1:12" x14ac:dyDescent="0.25">
      <c r="A9" s="214" t="s">
        <v>820</v>
      </c>
      <c r="B9" s="4">
        <v>1</v>
      </c>
      <c r="C9" s="4">
        <v>6000</v>
      </c>
      <c r="D9" s="4">
        <f t="shared" si="1"/>
        <v>6000</v>
      </c>
      <c r="E9" s="39">
        <f>D9*0.1</f>
        <v>600</v>
      </c>
      <c r="F9" s="98"/>
      <c r="G9" s="99">
        <v>0.1</v>
      </c>
      <c r="H9" s="37">
        <f t="shared" si="2"/>
        <v>0.1</v>
      </c>
      <c r="I9" s="4">
        <f>H9*$C$2</f>
        <v>809</v>
      </c>
      <c r="J9" s="51">
        <f>(D9+E9+F9+I9)*$C$3</f>
        <v>496.40300000000002</v>
      </c>
      <c r="K9" s="6"/>
      <c r="L9" s="17"/>
    </row>
    <row r="10" spans="1:12" ht="31.5" x14ac:dyDescent="0.5">
      <c r="A10" s="152" t="s">
        <v>195</v>
      </c>
      <c r="B10" s="151"/>
      <c r="C10" s="151"/>
      <c r="D10" s="2"/>
      <c r="E10" s="92"/>
      <c r="F10" s="207"/>
      <c r="G10" s="124"/>
      <c r="H10" s="32"/>
      <c r="I10" s="2"/>
      <c r="J10" s="52">
        <f>SUM(J11:J12)</f>
        <v>833.09140000000014</v>
      </c>
      <c r="K10" s="10">
        <v>911</v>
      </c>
      <c r="L10" s="10">
        <f t="shared" ref="L10" si="3">K10-J10</f>
        <v>77.908599999999865</v>
      </c>
    </row>
    <row r="11" spans="1:12" x14ac:dyDescent="0.25">
      <c r="A11" s="4" t="s">
        <v>821</v>
      </c>
      <c r="B11" s="4">
        <v>1</v>
      </c>
      <c r="C11" s="4">
        <v>3800</v>
      </c>
      <c r="D11" s="4">
        <f t="shared" ref="D11:D12" si="4">B11*C11</f>
        <v>3800</v>
      </c>
      <c r="E11" s="39">
        <f>D11*0.1</f>
        <v>380</v>
      </c>
      <c r="F11" s="98">
        <f>2500/5</f>
        <v>500</v>
      </c>
      <c r="G11" s="99">
        <v>0.19</v>
      </c>
      <c r="H11" s="37">
        <f t="shared" ref="H11:H12" si="5">G11*B11</f>
        <v>0.19</v>
      </c>
      <c r="I11" s="4">
        <f>H11*$C$2</f>
        <v>1537.1</v>
      </c>
      <c r="J11" s="51">
        <f>(D11+E11+F11+I11)*$C$3</f>
        <v>416.54570000000007</v>
      </c>
      <c r="K11" s="6"/>
      <c r="L11" s="17"/>
    </row>
    <row r="12" spans="1:12" x14ac:dyDescent="0.25">
      <c r="A12" s="4" t="s">
        <v>822</v>
      </c>
      <c r="B12" s="4">
        <v>1</v>
      </c>
      <c r="C12" s="4">
        <v>3800</v>
      </c>
      <c r="D12" s="4">
        <f t="shared" si="4"/>
        <v>3800</v>
      </c>
      <c r="E12" s="39">
        <f>D12*0.1</f>
        <v>380</v>
      </c>
      <c r="F12" s="98">
        <f>2500/5</f>
        <v>500</v>
      </c>
      <c r="G12" s="99">
        <v>0.19</v>
      </c>
      <c r="H12" s="37">
        <f t="shared" si="5"/>
        <v>0.19</v>
      </c>
      <c r="I12" s="4">
        <f>H12*$C$2</f>
        <v>1537.1</v>
      </c>
      <c r="J12" s="51">
        <f>(D12+E12+F12+I12)*$C$3</f>
        <v>416.54570000000007</v>
      </c>
      <c r="K12" s="6"/>
      <c r="L12" s="17"/>
    </row>
    <row r="13" spans="1:12" ht="31.5" x14ac:dyDescent="0.5">
      <c r="A13" s="152" t="s">
        <v>680</v>
      </c>
      <c r="B13" s="151"/>
      <c r="C13" s="151"/>
      <c r="D13" s="2"/>
      <c r="E13" s="92"/>
      <c r="F13" s="123"/>
      <c r="G13" s="124"/>
      <c r="H13" s="32"/>
      <c r="I13" s="2"/>
      <c r="J13" s="52">
        <f>SUM(J14:J15)</f>
        <v>2629.75</v>
      </c>
      <c r="K13" s="10">
        <f>2541+39</f>
        <v>2580</v>
      </c>
      <c r="L13" s="10">
        <f t="shared" ref="L13" si="6">K13-J13</f>
        <v>-49.75</v>
      </c>
    </row>
    <row r="14" spans="1:12" x14ac:dyDescent="0.25">
      <c r="A14" s="17" t="s">
        <v>823</v>
      </c>
      <c r="B14" s="4">
        <v>1</v>
      </c>
      <c r="C14" s="4">
        <v>15390</v>
      </c>
      <c r="D14" s="4">
        <f t="shared" ref="D14:D15" si="7">B14*C14</f>
        <v>15390</v>
      </c>
      <c r="E14" s="39">
        <f>D14*0.1</f>
        <v>1539</v>
      </c>
      <c r="F14" s="98">
        <v>2500</v>
      </c>
      <c r="G14" s="99">
        <v>0.3</v>
      </c>
      <c r="H14" s="37">
        <f t="shared" ref="H14:H15" si="8">G14*B14</f>
        <v>0.3</v>
      </c>
      <c r="I14" s="4">
        <f>H14*$C$2</f>
        <v>2427</v>
      </c>
      <c r="J14" s="51">
        <f>(D14+E14+F14+I14)*$C$3</f>
        <v>1464.3520000000001</v>
      </c>
      <c r="K14" s="6"/>
      <c r="L14" s="17"/>
    </row>
    <row r="15" spans="1:12" x14ac:dyDescent="0.25">
      <c r="A15" s="4" t="s">
        <v>824</v>
      </c>
      <c r="B15" s="4">
        <v>1</v>
      </c>
      <c r="C15" s="4">
        <v>11400</v>
      </c>
      <c r="D15" s="4">
        <f t="shared" si="7"/>
        <v>11400</v>
      </c>
      <c r="E15" s="39">
        <f>D15*0.1</f>
        <v>1140</v>
      </c>
      <c r="F15" s="98">
        <v>0</v>
      </c>
      <c r="G15" s="99">
        <v>0.6</v>
      </c>
      <c r="H15" s="37">
        <f t="shared" si="8"/>
        <v>0.6</v>
      </c>
      <c r="I15" s="4">
        <f>H15*$C$2</f>
        <v>4854</v>
      </c>
      <c r="J15" s="51">
        <f>(D15+E15+F15+I15)*$C$3</f>
        <v>1165.3980000000001</v>
      </c>
      <c r="K15" s="6"/>
      <c r="L15" s="17"/>
    </row>
    <row r="16" spans="1:12" ht="31.5" x14ac:dyDescent="0.5">
      <c r="A16" s="152" t="s">
        <v>778</v>
      </c>
      <c r="B16" s="151"/>
      <c r="C16" s="151"/>
      <c r="D16" s="2"/>
      <c r="E16" s="92"/>
      <c r="F16" s="177"/>
      <c r="G16" s="124"/>
      <c r="H16" s="32"/>
      <c r="I16" s="2"/>
      <c r="J16" s="52">
        <f>J17</f>
        <v>752.36533333333341</v>
      </c>
      <c r="K16" s="10">
        <f>728+33</f>
        <v>761</v>
      </c>
      <c r="L16" s="10">
        <f t="shared" ref="L16" si="9">K16-J16</f>
        <v>8.6346666666665897</v>
      </c>
    </row>
    <row r="17" spans="1:13" x14ac:dyDescent="0.25">
      <c r="A17" s="4" t="s">
        <v>779</v>
      </c>
      <c r="B17" s="213">
        <v>2</v>
      </c>
      <c r="C17" s="4">
        <v>3990</v>
      </c>
      <c r="D17" s="4">
        <f t="shared" ref="D17" si="10">B17*C17</f>
        <v>7980</v>
      </c>
      <c r="E17" s="39">
        <f>D17*0.1</f>
        <v>798</v>
      </c>
      <c r="F17" s="215">
        <f>2500/6*B17</f>
        <v>833.33333333333337</v>
      </c>
      <c r="G17" s="99">
        <v>0.1</v>
      </c>
      <c r="H17" s="37">
        <f>G17*B17</f>
        <v>0.2</v>
      </c>
      <c r="I17" s="4">
        <f>H17*$C$2</f>
        <v>1618</v>
      </c>
      <c r="J17" s="51">
        <f>(D17+E17+F17+I17)*$C$3</f>
        <v>752.36533333333341</v>
      </c>
      <c r="K17" s="6"/>
      <c r="L17" s="17"/>
    </row>
    <row r="18" spans="1:13" ht="31.5" x14ac:dyDescent="0.5">
      <c r="A18" s="152" t="s">
        <v>825</v>
      </c>
      <c r="B18" s="151"/>
      <c r="C18" s="151"/>
      <c r="D18" s="2"/>
      <c r="E18" s="92"/>
      <c r="F18" s="123"/>
      <c r="G18" s="124"/>
      <c r="H18" s="32"/>
      <c r="I18" s="2"/>
      <c r="J18" s="52">
        <f>J19</f>
        <v>737.46900000000005</v>
      </c>
      <c r="K18" s="10">
        <v>661</v>
      </c>
      <c r="L18" s="10">
        <f t="shared" ref="L18" si="11">K18-J18</f>
        <v>-76.469000000000051</v>
      </c>
    </row>
    <row r="19" spans="1:13" x14ac:dyDescent="0.25">
      <c r="A19" s="4" t="s">
        <v>826</v>
      </c>
      <c r="B19" s="4">
        <v>1</v>
      </c>
      <c r="C19" s="4">
        <v>7800</v>
      </c>
      <c r="D19" s="4">
        <f t="shared" ref="D19" si="12">B19*C19</f>
        <v>7800</v>
      </c>
      <c r="E19" s="39">
        <f>D19*0.1</f>
        <v>780</v>
      </c>
      <c r="F19" s="98">
        <v>0</v>
      </c>
      <c r="G19" s="99">
        <v>0.3</v>
      </c>
      <c r="H19" s="37">
        <f t="shared" ref="H19" si="13">G19*B19</f>
        <v>0.3</v>
      </c>
      <c r="I19" s="4">
        <f>H19*$C$2</f>
        <v>2427</v>
      </c>
      <c r="J19" s="51">
        <f>(D19+E19+F19+I19)*$C$3</f>
        <v>737.46900000000005</v>
      </c>
      <c r="K19" s="6"/>
      <c r="L19" s="17"/>
    </row>
    <row r="20" spans="1:13" ht="31.5" x14ac:dyDescent="0.5">
      <c r="A20" s="152" t="s">
        <v>827</v>
      </c>
      <c r="B20" s="151"/>
      <c r="C20" s="151"/>
      <c r="D20" s="2"/>
      <c r="E20" s="92"/>
      <c r="F20" s="123"/>
      <c r="G20" s="124"/>
      <c r="H20" s="32"/>
      <c r="I20" s="2"/>
      <c r="J20" s="52">
        <f>J21</f>
        <v>696.48509999999999</v>
      </c>
      <c r="K20" s="10">
        <f>664+32</f>
        <v>696</v>
      </c>
      <c r="L20" s="10">
        <f t="shared" ref="L20" si="14">K20-J20</f>
        <v>-0.48509999999998854</v>
      </c>
    </row>
    <row r="21" spans="1:13" x14ac:dyDescent="0.25">
      <c r="A21" s="4" t="s">
        <v>828</v>
      </c>
      <c r="B21" s="4">
        <v>1</v>
      </c>
      <c r="C21" s="4">
        <v>8200</v>
      </c>
      <c r="D21" s="4">
        <f t="shared" ref="D21" si="15">B21*C21</f>
        <v>8200</v>
      </c>
      <c r="E21" s="39">
        <f>D21*0.1</f>
        <v>820</v>
      </c>
      <c r="F21" s="98">
        <v>0</v>
      </c>
      <c r="G21" s="99">
        <v>0.17</v>
      </c>
      <c r="H21" s="37">
        <f t="shared" ref="H21" si="16">G21*B21</f>
        <v>0.17</v>
      </c>
      <c r="I21" s="4">
        <f>H21*$C$2</f>
        <v>1375.3000000000002</v>
      </c>
      <c r="J21" s="51">
        <f>(D21+E21+F21+I21)*$C$3</f>
        <v>696.48509999999999</v>
      </c>
      <c r="K21" s="6"/>
      <c r="L21" s="17"/>
    </row>
    <row r="22" spans="1:13" ht="31.5" x14ac:dyDescent="0.5">
      <c r="A22" s="152" t="s">
        <v>829</v>
      </c>
      <c r="B22" s="151"/>
      <c r="C22" s="151"/>
      <c r="D22" s="2"/>
      <c r="E22" s="92"/>
      <c r="F22" s="123"/>
      <c r="G22" s="124"/>
      <c r="H22" s="32"/>
      <c r="I22" s="2"/>
      <c r="J22" s="52">
        <f>J23</f>
        <v>416.54570000000007</v>
      </c>
      <c r="K22" s="10">
        <f>459-42</f>
        <v>417</v>
      </c>
      <c r="L22" s="10">
        <f t="shared" ref="L22" si="17">K22-J22</f>
        <v>0.45429999999993242</v>
      </c>
      <c r="M22" t="s">
        <v>836</v>
      </c>
    </row>
    <row r="23" spans="1:13" x14ac:dyDescent="0.25">
      <c r="A23" s="4" t="s">
        <v>821</v>
      </c>
      <c r="B23" s="4">
        <v>1</v>
      </c>
      <c r="C23" s="4">
        <v>3800</v>
      </c>
      <c r="D23" s="4">
        <f t="shared" ref="D23" si="18">B23*C23</f>
        <v>3800</v>
      </c>
      <c r="E23" s="39">
        <f>D23*0.1</f>
        <v>380</v>
      </c>
      <c r="F23" s="98">
        <f>2500/5</f>
        <v>500</v>
      </c>
      <c r="G23" s="99">
        <v>0.19</v>
      </c>
      <c r="H23" s="37">
        <f t="shared" ref="H23" si="19">G23*B23</f>
        <v>0.19</v>
      </c>
      <c r="I23" s="4">
        <f>H23*$C$2</f>
        <v>1537.1</v>
      </c>
      <c r="J23" s="51">
        <f>(D23+E23+F23+I23)*$C$3</f>
        <v>416.54570000000007</v>
      </c>
      <c r="K23" s="6"/>
      <c r="L23" s="17"/>
    </row>
    <row r="24" spans="1:13" ht="31.5" x14ac:dyDescent="0.5">
      <c r="A24" s="152" t="s">
        <v>830</v>
      </c>
      <c r="B24" s="151"/>
      <c r="C24" s="151"/>
      <c r="D24" s="2"/>
      <c r="E24" s="92"/>
      <c r="F24" s="123"/>
      <c r="G24" s="124"/>
      <c r="H24" s="32"/>
      <c r="I24" s="2"/>
      <c r="J24" s="52">
        <f>J25</f>
        <v>1128.548</v>
      </c>
      <c r="K24" s="10">
        <v>1088</v>
      </c>
      <c r="L24" s="10">
        <f t="shared" ref="L24" si="20">K24-J24</f>
        <v>-40.548000000000002</v>
      </c>
    </row>
    <row r="25" spans="1:13" x14ac:dyDescent="0.25">
      <c r="A25" s="6" t="s">
        <v>831</v>
      </c>
      <c r="B25" s="4">
        <v>1</v>
      </c>
      <c r="C25" s="4">
        <v>10900</v>
      </c>
      <c r="D25" s="4">
        <f t="shared" ref="D25" si="21">B25*C25</f>
        <v>10900</v>
      </c>
      <c r="E25" s="39">
        <f>D25*0.1</f>
        <v>1090</v>
      </c>
      <c r="F25" s="98">
        <v>0</v>
      </c>
      <c r="G25" s="99">
        <v>0.6</v>
      </c>
      <c r="H25" s="37">
        <f t="shared" ref="H25" si="22">G25*B25</f>
        <v>0.6</v>
      </c>
      <c r="I25" s="4">
        <f>H25*$C$2</f>
        <v>4854</v>
      </c>
      <c r="J25" s="51">
        <f>(D25+E25+F25+I25)*$C$3</f>
        <v>1128.548</v>
      </c>
      <c r="K25" s="6"/>
      <c r="L25" s="17"/>
    </row>
    <row r="26" spans="1:13" ht="31.5" x14ac:dyDescent="0.5">
      <c r="A26" s="152" t="s">
        <v>391</v>
      </c>
      <c r="B26" s="151"/>
      <c r="C26" s="151"/>
      <c r="D26" s="2"/>
      <c r="E26" s="92"/>
      <c r="F26" s="123"/>
      <c r="G26" s="124"/>
      <c r="H26" s="32"/>
      <c r="I26" s="2"/>
      <c r="J26" s="52">
        <f>J27</f>
        <v>1085.1856</v>
      </c>
      <c r="K26" s="10">
        <f>1088-3</f>
        <v>1085</v>
      </c>
      <c r="L26" s="10">
        <f t="shared" ref="L26" si="23">K26-J26</f>
        <v>-0.18560000000002219</v>
      </c>
      <c r="M26" t="s">
        <v>837</v>
      </c>
    </row>
    <row r="27" spans="1:13" ht="15.75" thickBot="1" x14ac:dyDescent="0.3">
      <c r="A27" s="17" t="s">
        <v>832</v>
      </c>
      <c r="B27" s="4">
        <v>1</v>
      </c>
      <c r="C27" s="4">
        <v>10900</v>
      </c>
      <c r="D27" s="4">
        <f t="shared" ref="D27" si="24">B27*C27</f>
        <v>10900</v>
      </c>
      <c r="E27" s="39">
        <f>D27*0.1</f>
        <v>1090</v>
      </c>
      <c r="F27" s="102">
        <v>0</v>
      </c>
      <c r="G27" s="103">
        <v>0.52</v>
      </c>
      <c r="H27" s="37">
        <f t="shared" ref="H27" si="25">G27*B27</f>
        <v>0.52</v>
      </c>
      <c r="I27" s="4">
        <f>H27*$C$2</f>
        <v>4206.8</v>
      </c>
      <c r="J27" s="51">
        <f>(D27+E27+F27+I27)*$C$3</f>
        <v>1085.1856</v>
      </c>
      <c r="K27" s="6"/>
      <c r="L27" s="17"/>
    </row>
  </sheetData>
  <hyperlinks>
    <hyperlink ref="A18" r:id="rId1" display="http://forum.sibmama.ru/viewtopic.php?t=715424&amp;start=22980"/>
    <hyperlink ref="A25" r:id="rId2" display="http://mg.gmarket.co.kr/Item?goodscode=412197761"/>
    <hyperlink ref="A24" r:id="rId3" display="http://forum.sibmama.ru/viewtopic.php?t=715424&amp;start=23565&amp;sid=370e2006eb6399aebce92f4dbdde2f06"/>
    <hyperlink ref="A22" r:id="rId4" display="http://forum.sibmama.ru/viewtopic.php?t=715424&amp;start=23265"/>
  </hyperlinks>
  <pageMargins left="0.7" right="0.7" top="0.75" bottom="0.75" header="0.3" footer="0.3"/>
  <pageSetup paperSize="9" orientation="portrait" horizontalDpi="0" verticalDpi="0" r:id="rId5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zoomScale="70" zoomScaleNormal="70" workbookViewId="0">
      <selection activeCell="K17" sqref="K17"/>
    </sheetView>
  </sheetViews>
  <sheetFormatPr defaultRowHeight="15" x14ac:dyDescent="0.25"/>
  <cols>
    <col min="1" max="1" width="62.5703125" customWidth="1"/>
    <col min="3" max="3" width="21.42578125" customWidth="1"/>
    <col min="6" max="6" width="12.140625" customWidth="1"/>
    <col min="10" max="10" width="9.5703125" bestFit="1" customWidth="1"/>
    <col min="11" max="11" width="11.42578125" customWidth="1"/>
    <col min="12" max="12" width="11.28515625" customWidth="1"/>
  </cols>
  <sheetData>
    <row r="1" spans="1:12" ht="21" x14ac:dyDescent="0.35">
      <c r="A1" s="55" t="s">
        <v>281</v>
      </c>
      <c r="B1" s="4"/>
      <c r="C1" s="189">
        <v>42432</v>
      </c>
      <c r="D1" s="30"/>
    </row>
    <row r="2" spans="1:12" ht="21" x14ac:dyDescent="0.35">
      <c r="A2" s="55" t="s">
        <v>239</v>
      </c>
      <c r="B2" s="4"/>
      <c r="C2" s="16">
        <v>7980</v>
      </c>
      <c r="D2" s="30"/>
    </row>
    <row r="3" spans="1:12" ht="21" x14ac:dyDescent="0.35">
      <c r="A3" s="55" t="s">
        <v>240</v>
      </c>
      <c r="B3" s="4"/>
      <c r="C3" s="170">
        <v>6.0999999999999999E-2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217" t="s">
        <v>401</v>
      </c>
      <c r="F5" s="94" t="s">
        <v>350</v>
      </c>
      <c r="G5" s="95" t="s">
        <v>7</v>
      </c>
      <c r="H5" s="218" t="s">
        <v>10</v>
      </c>
      <c r="I5" s="216" t="s">
        <v>351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220" t="s">
        <v>391</v>
      </c>
      <c r="B6" s="151"/>
      <c r="C6" s="151"/>
      <c r="D6" s="2"/>
      <c r="E6" s="92"/>
      <c r="F6" s="177"/>
      <c r="G6" s="124"/>
      <c r="H6" s="32"/>
      <c r="I6" s="2"/>
      <c r="J6" s="52">
        <f>J7</f>
        <v>320.33133333333336</v>
      </c>
      <c r="K6" s="10">
        <v>322</v>
      </c>
      <c r="L6" s="221">
        <f t="shared" ref="L6" si="0">K6-J6</f>
        <v>1.6686666666666383</v>
      </c>
    </row>
    <row r="7" spans="1:12" x14ac:dyDescent="0.25">
      <c r="A7" s="136" t="s">
        <v>838</v>
      </c>
      <c r="B7" s="4">
        <v>1</v>
      </c>
      <c r="C7" s="4">
        <v>1840</v>
      </c>
      <c r="D7" s="4">
        <f t="shared" ref="D7" si="1">B7*C7</f>
        <v>1840</v>
      </c>
      <c r="E7" s="39">
        <f>D7*0.1</f>
        <v>184</v>
      </c>
      <c r="F7" s="215">
        <f>2500/3</f>
        <v>833.33333333333337</v>
      </c>
      <c r="G7" s="99">
        <v>0.3</v>
      </c>
      <c r="H7" s="37">
        <f>G7*B7</f>
        <v>0.3</v>
      </c>
      <c r="I7" s="4">
        <f>H7*$C$2</f>
        <v>2394</v>
      </c>
      <c r="J7" s="51">
        <f>(D7+E7+F7+I7)*$C$3</f>
        <v>320.33133333333336</v>
      </c>
      <c r="K7" s="6"/>
      <c r="L7" s="137"/>
    </row>
    <row r="8" spans="1:12" ht="31.5" x14ac:dyDescent="0.5">
      <c r="A8" s="220" t="s">
        <v>830</v>
      </c>
      <c r="B8" s="151"/>
      <c r="C8" s="151"/>
      <c r="D8" s="2"/>
      <c r="E8" s="92"/>
      <c r="F8" s="177"/>
      <c r="G8" s="124"/>
      <c r="H8" s="32"/>
      <c r="I8" s="2"/>
      <c r="J8" s="52">
        <f>J9</f>
        <v>320.33133333333336</v>
      </c>
      <c r="K8" s="10">
        <v>363</v>
      </c>
      <c r="L8" s="221">
        <f t="shared" ref="L8" si="2">K8-J8</f>
        <v>42.668666666666638</v>
      </c>
    </row>
    <row r="9" spans="1:12" x14ac:dyDescent="0.25">
      <c r="A9" s="136" t="s">
        <v>838</v>
      </c>
      <c r="B9" s="4">
        <v>1</v>
      </c>
      <c r="C9" s="4">
        <v>1840</v>
      </c>
      <c r="D9" s="4">
        <f t="shared" ref="D9" si="3">B9*C9</f>
        <v>1840</v>
      </c>
      <c r="E9" s="39">
        <f>D9*0.1</f>
        <v>184</v>
      </c>
      <c r="F9" s="215">
        <f>2500/3</f>
        <v>833.33333333333337</v>
      </c>
      <c r="G9" s="99">
        <v>0.3</v>
      </c>
      <c r="H9" s="37">
        <f t="shared" ref="H9" si="4">G9*B9</f>
        <v>0.3</v>
      </c>
      <c r="I9" s="4">
        <f>H9*$C$2</f>
        <v>2394</v>
      </c>
      <c r="J9" s="51">
        <f>(D9+E9+F9+I9)*$C$3</f>
        <v>320.33133333333336</v>
      </c>
      <c r="K9" s="6"/>
      <c r="L9" s="137"/>
    </row>
    <row r="10" spans="1:12" ht="31.5" x14ac:dyDescent="0.5">
      <c r="A10" s="220" t="s">
        <v>825</v>
      </c>
      <c r="B10" s="151"/>
      <c r="C10" s="151"/>
      <c r="D10" s="2"/>
      <c r="E10" s="92"/>
      <c r="F10" s="177"/>
      <c r="G10" s="124"/>
      <c r="H10" s="32"/>
      <c r="I10" s="2"/>
      <c r="J10" s="52">
        <f>J11</f>
        <v>442.738</v>
      </c>
      <c r="K10" s="10">
        <v>520</v>
      </c>
      <c r="L10" s="221">
        <f t="shared" ref="L10" si="5">K10-J10</f>
        <v>77.262</v>
      </c>
    </row>
    <row r="11" spans="1:12" x14ac:dyDescent="0.25">
      <c r="A11" s="98" t="s">
        <v>839</v>
      </c>
      <c r="B11" s="4">
        <v>1</v>
      </c>
      <c r="C11" s="4">
        <v>3600</v>
      </c>
      <c r="D11" s="4">
        <f t="shared" ref="D11" si="6">B11*C11</f>
        <v>3600</v>
      </c>
      <c r="E11" s="39">
        <f>D11*0.1</f>
        <v>360</v>
      </c>
      <c r="F11" s="215">
        <v>2500</v>
      </c>
      <c r="G11" s="99">
        <v>0.1</v>
      </c>
      <c r="H11" s="37">
        <f t="shared" ref="H11" si="7">G11*B11</f>
        <v>0.1</v>
      </c>
      <c r="I11" s="4">
        <f>H11*$C$2</f>
        <v>798</v>
      </c>
      <c r="J11" s="51">
        <f>(D11+E11+F11+I11)*$C$3</f>
        <v>442.738</v>
      </c>
      <c r="K11" s="6"/>
      <c r="L11" s="137"/>
    </row>
    <row r="12" spans="1:12" ht="31.5" x14ac:dyDescent="0.5">
      <c r="A12" s="220" t="s">
        <v>31</v>
      </c>
      <c r="B12" s="151"/>
      <c r="C12" s="151"/>
      <c r="D12" s="2"/>
      <c r="E12" s="92"/>
      <c r="F12" s="177"/>
      <c r="G12" s="124"/>
      <c r="H12" s="32"/>
      <c r="I12" s="2"/>
      <c r="J12" s="52">
        <f>J13</f>
        <v>806.77379999999994</v>
      </c>
      <c r="K12" s="10">
        <f>791+13</f>
        <v>804</v>
      </c>
      <c r="L12" s="221">
        <f t="shared" ref="L12" si="8">K12-J12</f>
        <v>-2.7737999999999374</v>
      </c>
    </row>
    <row r="13" spans="1:12" x14ac:dyDescent="0.25">
      <c r="A13" s="136" t="s">
        <v>840</v>
      </c>
      <c r="B13" s="4">
        <v>1</v>
      </c>
      <c r="C13" s="4">
        <v>10500</v>
      </c>
      <c r="D13" s="4">
        <f t="shared" ref="D13" si="9">B13*C13</f>
        <v>10500</v>
      </c>
      <c r="E13" s="39">
        <f>D13*0.1</f>
        <v>1050</v>
      </c>
      <c r="F13" s="215">
        <v>0</v>
      </c>
      <c r="G13" s="99">
        <v>0.21</v>
      </c>
      <c r="H13" s="37">
        <f t="shared" ref="H13" si="10">G13*B13</f>
        <v>0.21</v>
      </c>
      <c r="I13" s="4">
        <f>H13*$C$2</f>
        <v>1675.8</v>
      </c>
      <c r="J13" s="51">
        <f>(D13+E13+F13+I13)*$C$3</f>
        <v>806.77379999999994</v>
      </c>
      <c r="K13" s="6"/>
      <c r="L13" s="137"/>
    </row>
    <row r="14" spans="1:12" ht="31.5" x14ac:dyDescent="0.5">
      <c r="A14" s="220" t="s">
        <v>841</v>
      </c>
      <c r="B14" s="151"/>
      <c r="C14" s="151"/>
      <c r="D14" s="2"/>
      <c r="E14" s="92"/>
      <c r="F14" s="177"/>
      <c r="G14" s="124"/>
      <c r="H14" s="32"/>
      <c r="I14" s="2"/>
      <c r="J14" s="52">
        <f>J15</f>
        <v>1097.146</v>
      </c>
      <c r="K14" s="10">
        <v>1097</v>
      </c>
      <c r="L14" s="221">
        <f t="shared" ref="L14" si="11">K14-J14</f>
        <v>-0.14599999999995816</v>
      </c>
    </row>
    <row r="15" spans="1:12" x14ac:dyDescent="0.25">
      <c r="A15" s="98" t="s">
        <v>842</v>
      </c>
      <c r="B15" s="4">
        <v>1</v>
      </c>
      <c r="C15" s="4">
        <v>14900</v>
      </c>
      <c r="D15" s="4">
        <f t="shared" ref="D15" si="12">B15*C15</f>
        <v>14900</v>
      </c>
      <c r="E15" s="39">
        <f>D15*0.1</f>
        <v>1490</v>
      </c>
      <c r="F15" s="215">
        <v>0</v>
      </c>
      <c r="G15" s="99">
        <v>0.2</v>
      </c>
      <c r="H15" s="37">
        <f t="shared" ref="H15" si="13">G15*B15</f>
        <v>0.2</v>
      </c>
      <c r="I15" s="4">
        <f>H15*$C$2</f>
        <v>1596</v>
      </c>
      <c r="J15" s="51">
        <f>(D15+E15+F15+I15)*$C$3</f>
        <v>1097.146</v>
      </c>
      <c r="K15" s="6"/>
      <c r="L15" s="137"/>
    </row>
    <row r="16" spans="1:12" ht="31.5" x14ac:dyDescent="0.5">
      <c r="A16" s="220" t="s">
        <v>230</v>
      </c>
      <c r="B16" s="151"/>
      <c r="C16" s="151"/>
      <c r="D16" s="2"/>
      <c r="E16" s="92"/>
      <c r="F16" s="177"/>
      <c r="G16" s="124"/>
      <c r="H16" s="32"/>
      <c r="I16" s="2"/>
      <c r="J16" s="52">
        <f>J17</f>
        <v>511.52566666666672</v>
      </c>
      <c r="K16" s="10">
        <v>511</v>
      </c>
      <c r="L16" s="221">
        <f t="shared" ref="L16" si="14">K16-J16</f>
        <v>-0.5256666666667229</v>
      </c>
    </row>
    <row r="17" spans="1:12" x14ac:dyDescent="0.25">
      <c r="A17" s="98" t="s">
        <v>851</v>
      </c>
      <c r="B17" s="4">
        <v>1</v>
      </c>
      <c r="C17" s="168">
        <f>10900/3</f>
        <v>3633.3333333333335</v>
      </c>
      <c r="D17" s="168">
        <f t="shared" ref="D17" si="15">B17*C17</f>
        <v>3633.3333333333335</v>
      </c>
      <c r="E17" s="227">
        <f>D17*0.1</f>
        <v>363.33333333333337</v>
      </c>
      <c r="F17" s="215">
        <v>0</v>
      </c>
      <c r="G17" s="99">
        <v>0.55000000000000004</v>
      </c>
      <c r="H17" s="37">
        <f t="shared" ref="H17" si="16">G17*B17</f>
        <v>0.55000000000000004</v>
      </c>
      <c r="I17" s="4">
        <f>H17*$C$2</f>
        <v>4389</v>
      </c>
      <c r="J17" s="51">
        <f>(D17+E17+F17+I17)*$C$3</f>
        <v>511.52566666666672</v>
      </c>
      <c r="K17" s="6"/>
      <c r="L17" s="137"/>
    </row>
    <row r="18" spans="1:12" ht="31.5" x14ac:dyDescent="0.5">
      <c r="A18" s="220" t="s">
        <v>382</v>
      </c>
      <c r="B18" s="151"/>
      <c r="C18" s="151"/>
      <c r="D18" s="2"/>
      <c r="E18" s="92"/>
      <c r="F18" s="177"/>
      <c r="G18" s="124"/>
      <c r="H18" s="32"/>
      <c r="I18" s="2"/>
      <c r="J18" s="52">
        <f>SUM(J19:J20)</f>
        <v>1915.4854</v>
      </c>
      <c r="K18" s="10">
        <f>1798+157</f>
        <v>1955</v>
      </c>
      <c r="L18" s="221">
        <f t="shared" ref="L18" si="17">K18-J18</f>
        <v>39.514599999999973</v>
      </c>
    </row>
    <row r="19" spans="1:12" x14ac:dyDescent="0.25">
      <c r="A19" s="136" t="s">
        <v>843</v>
      </c>
      <c r="B19" s="4">
        <v>1</v>
      </c>
      <c r="C19" s="4">
        <v>10900</v>
      </c>
      <c r="D19" s="4">
        <f t="shared" ref="D19:D20" si="18">B19*C19</f>
        <v>10900</v>
      </c>
      <c r="E19" s="39">
        <f>D19*0.1</f>
        <v>1090</v>
      </c>
      <c r="F19" s="215">
        <v>0</v>
      </c>
      <c r="G19" s="99">
        <v>0.6</v>
      </c>
      <c r="H19" s="37">
        <f t="shared" ref="H19:H20" si="19">G19*B19</f>
        <v>0.6</v>
      </c>
      <c r="I19" s="4">
        <f>H19*$C$2</f>
        <v>4788</v>
      </c>
      <c r="J19" s="51">
        <f>(D19+E19+F19+I19)*$C$3</f>
        <v>1023.458</v>
      </c>
      <c r="K19" s="6"/>
      <c r="L19" s="137"/>
    </row>
    <row r="20" spans="1:12" x14ac:dyDescent="0.25">
      <c r="A20" s="136" t="s">
        <v>844</v>
      </c>
      <c r="B20" s="4">
        <v>1</v>
      </c>
      <c r="C20" s="4">
        <v>10900</v>
      </c>
      <c r="D20" s="4">
        <f t="shared" si="18"/>
        <v>10900</v>
      </c>
      <c r="E20" s="39">
        <f>D20*0.1</f>
        <v>1090</v>
      </c>
      <c r="F20" s="215">
        <v>0</v>
      </c>
      <c r="G20" s="99">
        <v>0.33</v>
      </c>
      <c r="H20" s="37">
        <f t="shared" si="19"/>
        <v>0.33</v>
      </c>
      <c r="I20" s="4">
        <f>H20*$C$2</f>
        <v>2633.4</v>
      </c>
      <c r="J20" s="51">
        <f>(D20+E20+F20+I20)*$C$3</f>
        <v>892.02739999999994</v>
      </c>
      <c r="K20" s="6"/>
      <c r="L20" s="137"/>
    </row>
    <row r="21" spans="1:12" ht="31.5" x14ac:dyDescent="0.5">
      <c r="A21" s="220" t="s">
        <v>707</v>
      </c>
      <c r="B21" s="151"/>
      <c r="C21" s="151"/>
      <c r="D21" s="2"/>
      <c r="E21" s="92"/>
      <c r="F21" s="177"/>
      <c r="G21" s="124"/>
      <c r="H21" s="32"/>
      <c r="I21" s="2"/>
      <c r="J21" s="52">
        <f>SUM(J22:J23)</f>
        <v>1368.1283333333333</v>
      </c>
      <c r="K21" s="10">
        <v>983</v>
      </c>
      <c r="L21" s="221">
        <f t="shared" ref="L21" si="20">K21-J21</f>
        <v>-385.12833333333333</v>
      </c>
    </row>
    <row r="22" spans="1:12" x14ac:dyDescent="0.25">
      <c r="A22" s="136" t="s">
        <v>838</v>
      </c>
      <c r="B22" s="4">
        <v>1</v>
      </c>
      <c r="C22" s="4">
        <v>1840</v>
      </c>
      <c r="D22" s="4">
        <f t="shared" ref="D22:D23" si="21">B22*C22</f>
        <v>1840</v>
      </c>
      <c r="E22" s="39">
        <f>D22*0.1</f>
        <v>184</v>
      </c>
      <c r="F22" s="215">
        <f>2500/3</f>
        <v>833.33333333333337</v>
      </c>
      <c r="G22" s="99">
        <v>0.3</v>
      </c>
      <c r="H22" s="37">
        <f t="shared" ref="H22:H23" si="22">G22*B22</f>
        <v>0.3</v>
      </c>
      <c r="I22" s="4">
        <f>H22*$C$2</f>
        <v>2394</v>
      </c>
      <c r="J22" s="51">
        <f>(D22+E22+F22+I22)*$C$3</f>
        <v>320.33133333333336</v>
      </c>
      <c r="K22" s="6"/>
      <c r="L22" s="137"/>
    </row>
    <row r="23" spans="1:12" x14ac:dyDescent="0.25">
      <c r="A23" s="136" t="s">
        <v>845</v>
      </c>
      <c r="B23" s="4">
        <v>1</v>
      </c>
      <c r="C23" s="4">
        <v>10900</v>
      </c>
      <c r="D23" s="4">
        <f t="shared" si="21"/>
        <v>10900</v>
      </c>
      <c r="E23" s="39">
        <f>D23*0.1</f>
        <v>1090</v>
      </c>
      <c r="F23" s="98">
        <v>0</v>
      </c>
      <c r="G23" s="99">
        <v>0.65</v>
      </c>
      <c r="H23" s="37">
        <f t="shared" si="22"/>
        <v>0.65</v>
      </c>
      <c r="I23" s="4">
        <f>H23*$C$2</f>
        <v>5187</v>
      </c>
      <c r="J23" s="51">
        <f>(D23+E23+F23+I23)*$C$3</f>
        <v>1047.797</v>
      </c>
      <c r="K23" s="6"/>
      <c r="L23" s="137"/>
    </row>
    <row r="24" spans="1:12" ht="31.5" x14ac:dyDescent="0.5">
      <c r="A24" s="220" t="s">
        <v>846</v>
      </c>
      <c r="B24" s="151"/>
      <c r="C24" s="151"/>
      <c r="D24" s="2"/>
      <c r="E24" s="92"/>
      <c r="F24" s="207"/>
      <c r="G24" s="124"/>
      <c r="H24" s="32"/>
      <c r="I24" s="2"/>
      <c r="J24" s="52">
        <f>SUM(J25:J26)</f>
        <v>1453.0444</v>
      </c>
      <c r="K24" s="10">
        <f>1451+2</f>
        <v>1453</v>
      </c>
      <c r="L24" s="221">
        <f t="shared" ref="L24" si="23">K24-J24</f>
        <v>-4.4399999999995998E-2</v>
      </c>
    </row>
    <row r="25" spans="1:12" x14ac:dyDescent="0.25">
      <c r="A25" s="134" t="s">
        <v>539</v>
      </c>
      <c r="B25" s="4">
        <v>1</v>
      </c>
      <c r="C25" s="4">
        <v>9900</v>
      </c>
      <c r="D25" s="4">
        <f t="shared" ref="D25:D26" si="24">B25*C25</f>
        <v>9900</v>
      </c>
      <c r="E25" s="39">
        <f>D25*0.1</f>
        <v>990</v>
      </c>
      <c r="F25" s="98">
        <v>0</v>
      </c>
      <c r="G25" s="99">
        <v>0.28000000000000003</v>
      </c>
      <c r="H25" s="37">
        <f t="shared" ref="H25:H26" si="25">G25*B25</f>
        <v>0.28000000000000003</v>
      </c>
      <c r="I25" s="4">
        <f>H25*$C$2</f>
        <v>2234.4</v>
      </c>
      <c r="J25" s="51">
        <f>(D25+E25+F25+I25)*$C$3</f>
        <v>800.58839999999998</v>
      </c>
      <c r="K25" s="6"/>
      <c r="L25" s="137"/>
    </row>
    <row r="26" spans="1:12" x14ac:dyDescent="0.25">
      <c r="A26" s="134" t="s">
        <v>847</v>
      </c>
      <c r="B26" s="4">
        <v>1</v>
      </c>
      <c r="C26" s="4">
        <v>6000</v>
      </c>
      <c r="D26" s="4">
        <f t="shared" si="24"/>
        <v>6000</v>
      </c>
      <c r="E26" s="39">
        <f>D26*0.1</f>
        <v>600</v>
      </c>
      <c r="F26" s="98">
        <v>2500</v>
      </c>
      <c r="G26" s="99">
        <v>0.2</v>
      </c>
      <c r="H26" s="37">
        <f t="shared" si="25"/>
        <v>0.2</v>
      </c>
      <c r="I26" s="4">
        <f>H26*$C$2</f>
        <v>1596</v>
      </c>
      <c r="J26" s="51">
        <f>(D26+E26+F26+I26)*$C$3</f>
        <v>652.45600000000002</v>
      </c>
      <c r="K26" s="6"/>
      <c r="L26" s="137"/>
    </row>
    <row r="27" spans="1:12" ht="33.6" customHeight="1" x14ac:dyDescent="0.5">
      <c r="A27" s="220" t="s">
        <v>331</v>
      </c>
      <c r="B27" s="151"/>
      <c r="C27" s="151"/>
      <c r="D27" s="2"/>
      <c r="E27" s="92"/>
      <c r="F27" s="207"/>
      <c r="G27" s="124"/>
      <c r="H27" s="32"/>
      <c r="I27" s="2"/>
      <c r="J27" s="52">
        <f>SUM(J28:J30)</f>
        <v>1601.9942000000001</v>
      </c>
      <c r="K27" s="10">
        <v>1658</v>
      </c>
      <c r="L27" s="221">
        <f t="shared" ref="L27" si="26">K27-J27</f>
        <v>56.005799999999908</v>
      </c>
    </row>
    <row r="28" spans="1:12" x14ac:dyDescent="0.25">
      <c r="A28" s="136" t="s">
        <v>848</v>
      </c>
      <c r="B28" s="4">
        <v>1</v>
      </c>
      <c r="C28" s="4">
        <v>4900</v>
      </c>
      <c r="D28" s="4">
        <f t="shared" ref="D28:D30" si="27">B28*C28</f>
        <v>4900</v>
      </c>
      <c r="E28" s="39">
        <f>D28*0.1</f>
        <v>490</v>
      </c>
      <c r="F28" s="98">
        <v>2500</v>
      </c>
      <c r="G28" s="99">
        <v>0.1</v>
      </c>
      <c r="H28" s="37">
        <f t="shared" ref="H28:H30" si="28">G28*B28</f>
        <v>0.1</v>
      </c>
      <c r="I28" s="4">
        <f>H28*$C$2</f>
        <v>798</v>
      </c>
      <c r="J28" s="51">
        <f>(D28+E28+F28+I28)*$C$3</f>
        <v>529.96799999999996</v>
      </c>
      <c r="K28" s="6"/>
      <c r="L28" s="137"/>
    </row>
    <row r="29" spans="1:12" x14ac:dyDescent="0.25">
      <c r="A29" s="136" t="s">
        <v>849</v>
      </c>
      <c r="B29" s="4">
        <v>1</v>
      </c>
      <c r="C29" s="4">
        <v>4900</v>
      </c>
      <c r="D29" s="4">
        <f t="shared" si="27"/>
        <v>4900</v>
      </c>
      <c r="E29" s="39">
        <f>D29*0.1</f>
        <v>490</v>
      </c>
      <c r="F29" s="98"/>
      <c r="G29" s="99">
        <v>0.1</v>
      </c>
      <c r="H29" s="37">
        <f t="shared" si="28"/>
        <v>0.1</v>
      </c>
      <c r="I29" s="4">
        <f>H29*$C$2</f>
        <v>798</v>
      </c>
      <c r="J29" s="51">
        <f>(D29+E29+F29+I29)*$C$3</f>
        <v>377.46800000000002</v>
      </c>
      <c r="K29" s="6"/>
      <c r="L29" s="137"/>
    </row>
    <row r="30" spans="1:12" x14ac:dyDescent="0.25">
      <c r="A30" s="136" t="s">
        <v>791</v>
      </c>
      <c r="B30" s="4">
        <v>1</v>
      </c>
      <c r="C30" s="4">
        <v>6700</v>
      </c>
      <c r="D30" s="4">
        <f t="shared" si="27"/>
        <v>6700</v>
      </c>
      <c r="E30" s="39">
        <f>D30*0.1</f>
        <v>670</v>
      </c>
      <c r="F30" s="98">
        <v>2500</v>
      </c>
      <c r="G30" s="99">
        <v>0.19</v>
      </c>
      <c r="H30" s="37">
        <f t="shared" si="28"/>
        <v>0.19</v>
      </c>
      <c r="I30" s="4">
        <f>H30*$C$2</f>
        <v>1516.2</v>
      </c>
      <c r="J30" s="51">
        <f>(D30+E30+F30+I30)*$C$3</f>
        <v>694.55820000000006</v>
      </c>
      <c r="K30" s="6"/>
      <c r="L30" s="137"/>
    </row>
    <row r="31" spans="1:12" ht="31.5" x14ac:dyDescent="0.5">
      <c r="A31" s="220" t="s">
        <v>616</v>
      </c>
      <c r="B31" s="151"/>
      <c r="C31" s="151"/>
      <c r="D31" s="2"/>
      <c r="E31" s="92"/>
      <c r="F31" s="207"/>
      <c r="G31" s="124"/>
      <c r="H31" s="32"/>
      <c r="I31" s="2"/>
      <c r="J31" s="52">
        <f>SUM(J32:J35)</f>
        <v>8451.2937999999995</v>
      </c>
      <c r="K31" s="10">
        <v>8490</v>
      </c>
      <c r="L31" s="221">
        <f t="shared" ref="L31" si="29">K31-J31</f>
        <v>38.706200000000536</v>
      </c>
    </row>
    <row r="32" spans="1:12" x14ac:dyDescent="0.25">
      <c r="A32" s="98" t="s">
        <v>850</v>
      </c>
      <c r="B32" s="4">
        <v>1</v>
      </c>
      <c r="C32" s="4">
        <v>78000</v>
      </c>
      <c r="D32" s="4">
        <f t="shared" ref="D32:D35" si="30">B32*C32</f>
        <v>78000</v>
      </c>
      <c r="E32" s="39">
        <f>D32*0.1</f>
        <v>7800</v>
      </c>
      <c r="F32" s="98">
        <v>0</v>
      </c>
      <c r="G32" s="99">
        <v>1.42</v>
      </c>
      <c r="H32" s="37">
        <f t="shared" ref="H32:H35" si="31">G32*B32</f>
        <v>1.42</v>
      </c>
      <c r="I32" s="4">
        <f>H32*$C$2</f>
        <v>11331.599999999999</v>
      </c>
      <c r="J32" s="51">
        <f>(D32+E32+F32+I32)*$C$3</f>
        <v>5925.0276000000003</v>
      </c>
      <c r="K32" s="6"/>
      <c r="L32" s="137"/>
    </row>
    <row r="33" spans="1:12" x14ac:dyDescent="0.25">
      <c r="A33" s="98" t="s">
        <v>172</v>
      </c>
      <c r="B33" s="4">
        <v>1</v>
      </c>
      <c r="C33" s="4">
        <v>2000</v>
      </c>
      <c r="D33" s="4">
        <f t="shared" ref="D33" si="32">B33*C33</f>
        <v>2000</v>
      </c>
      <c r="E33" s="39">
        <f>D33*0.1</f>
        <v>200</v>
      </c>
      <c r="F33" s="98">
        <f>2500/4</f>
        <v>625</v>
      </c>
      <c r="G33" s="99">
        <v>0.1</v>
      </c>
      <c r="H33" s="37">
        <f t="shared" ref="H33" si="33">G33*B33</f>
        <v>0.1</v>
      </c>
      <c r="I33" s="4">
        <f>H33*$C$2</f>
        <v>798</v>
      </c>
      <c r="J33" s="51">
        <f>(D33+E33+F33+I33)*$C$3</f>
        <v>221.00299999999999</v>
      </c>
      <c r="K33" s="6"/>
      <c r="L33" s="137"/>
    </row>
    <row r="34" spans="1:12" x14ac:dyDescent="0.25">
      <c r="A34" s="98" t="s">
        <v>437</v>
      </c>
      <c r="B34" s="4">
        <v>1</v>
      </c>
      <c r="C34" s="4">
        <v>5930</v>
      </c>
      <c r="D34" s="4">
        <f t="shared" si="30"/>
        <v>5930</v>
      </c>
      <c r="E34" s="39">
        <f>D34*0.1</f>
        <v>593</v>
      </c>
      <c r="F34" s="98">
        <v>2500</v>
      </c>
      <c r="G34" s="99">
        <v>0.25</v>
      </c>
      <c r="H34" s="37">
        <f t="shared" si="31"/>
        <v>0.25</v>
      </c>
      <c r="I34" s="4">
        <f>H34*$C$2</f>
        <v>1995</v>
      </c>
      <c r="J34" s="51">
        <f>(D34+E34+F34+I34)*$C$3</f>
        <v>672.09799999999996</v>
      </c>
      <c r="K34" s="6"/>
      <c r="L34" s="137"/>
    </row>
    <row r="35" spans="1:12" ht="15.75" thickBot="1" x14ac:dyDescent="0.3">
      <c r="A35" s="102" t="s">
        <v>57</v>
      </c>
      <c r="B35" s="222">
        <v>1</v>
      </c>
      <c r="C35" s="222">
        <v>19600</v>
      </c>
      <c r="D35" s="222">
        <f t="shared" si="30"/>
        <v>19600</v>
      </c>
      <c r="E35" s="223">
        <f>D35*0.1</f>
        <v>1960</v>
      </c>
      <c r="F35" s="102">
        <v>2500</v>
      </c>
      <c r="G35" s="103">
        <v>0.34</v>
      </c>
      <c r="H35" s="224">
        <f t="shared" si="31"/>
        <v>0.34</v>
      </c>
      <c r="I35" s="222">
        <f>H35*$C$2</f>
        <v>2713.2000000000003</v>
      </c>
      <c r="J35" s="225">
        <f>(D35+E35+F35+I35)*$C$3</f>
        <v>1633.1651999999999</v>
      </c>
      <c r="K35" s="226"/>
      <c r="L35" s="139"/>
    </row>
  </sheetData>
  <hyperlinks>
    <hyperlink ref="A8" r:id="rId1" display="http://forum.sibmama.ru/viewtopic.php?t=715424&amp;start=23565&amp;sid=370e2006eb6399aebce92f4dbdde2f06"/>
    <hyperlink ref="A21" r:id="rId2" display="http://forum.sibmama.ru/viewtopic.php?t=715424&amp;start=23715"/>
    <hyperlink ref="A20" r:id="rId3" display="http://item2.gmarket.co.kr/English/detailview/item.aspx?goodscode=210477678"/>
  </hyperlinks>
  <pageMargins left="0.7" right="0.7" top="0.75" bottom="0.75" header="0.3" footer="0.3"/>
  <pageSetup paperSize="9" orientation="portrait" horizontalDpi="0" verticalDpi="0" r:id="rId4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0"/>
  <sheetViews>
    <sheetView topLeftCell="A4" zoomScale="60" zoomScaleNormal="60" workbookViewId="0">
      <selection activeCell="A5" sqref="A5:L40"/>
    </sheetView>
  </sheetViews>
  <sheetFormatPr defaultRowHeight="15" x14ac:dyDescent="0.25"/>
  <cols>
    <col min="1" max="1" width="48.5703125" customWidth="1"/>
    <col min="3" max="3" width="15.5703125" customWidth="1"/>
    <col min="6" max="6" width="10.5703125" customWidth="1"/>
    <col min="9" max="9" width="11.7109375" customWidth="1"/>
    <col min="10" max="10" width="10.7109375" customWidth="1"/>
    <col min="11" max="11" width="12.42578125" customWidth="1"/>
    <col min="12" max="12" width="11.85546875" customWidth="1"/>
    <col min="13" max="13" width="28.85546875" customWidth="1"/>
  </cols>
  <sheetData>
    <row r="1" spans="1:12" ht="21" x14ac:dyDescent="0.35">
      <c r="A1" s="55" t="s">
        <v>281</v>
      </c>
      <c r="B1" s="4"/>
      <c r="C1" s="189">
        <v>42470</v>
      </c>
      <c r="D1" s="30"/>
    </row>
    <row r="2" spans="1:12" ht="21" x14ac:dyDescent="0.35">
      <c r="A2" s="55" t="s">
        <v>239</v>
      </c>
      <c r="B2" s="4"/>
      <c r="C2" s="16">
        <v>8430</v>
      </c>
      <c r="D2" s="30" t="s">
        <v>724</v>
      </c>
    </row>
    <row r="3" spans="1:12" ht="21" x14ac:dyDescent="0.35">
      <c r="A3" s="55" t="s">
        <v>240</v>
      </c>
      <c r="B3" s="4"/>
      <c r="C3" s="170">
        <v>6.0100000000000001E-2</v>
      </c>
      <c r="D3" s="30" t="s">
        <v>704</v>
      </c>
    </row>
    <row r="4" spans="1:12" ht="15.75" thickBot="1" x14ac:dyDescent="0.3"/>
    <row r="5" spans="1:12" ht="45" x14ac:dyDescent="0.25">
      <c r="A5" s="94">
        <v>30</v>
      </c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3.6" customHeight="1" x14ac:dyDescent="0.5">
      <c r="A6" s="220" t="s">
        <v>856</v>
      </c>
      <c r="B6" s="151"/>
      <c r="C6" s="151"/>
      <c r="D6" s="2"/>
      <c r="E6" s="97"/>
      <c r="F6" s="228"/>
      <c r="G6" s="231"/>
      <c r="H6" s="96"/>
      <c r="I6" s="2"/>
      <c r="J6" s="52">
        <f>SUM(J7:J11)</f>
        <v>4737.5027</v>
      </c>
      <c r="K6" s="10">
        <f>4276+64+386+12</f>
        <v>4738</v>
      </c>
      <c r="L6" s="221">
        <f t="shared" ref="L6" si="0">K6-J6</f>
        <v>0.49729999999999563</v>
      </c>
    </row>
    <row r="7" spans="1:12" x14ac:dyDescent="0.25">
      <c r="A7" s="230" t="s">
        <v>857</v>
      </c>
      <c r="B7" s="4">
        <v>1</v>
      </c>
      <c r="C7" s="4">
        <v>8000</v>
      </c>
      <c r="D7" s="4">
        <f t="shared" ref="D7:D11" si="1">B7*C7</f>
        <v>8000</v>
      </c>
      <c r="E7" s="99">
        <f>D7*0.1</f>
        <v>800</v>
      </c>
      <c r="F7" s="37">
        <v>2500</v>
      </c>
      <c r="G7" s="39">
        <v>0.4</v>
      </c>
      <c r="H7" s="98">
        <f t="shared" ref="H7:H11" si="2">G7*B7</f>
        <v>0.4</v>
      </c>
      <c r="I7" s="4">
        <f>H7*$C$2</f>
        <v>3372</v>
      </c>
      <c r="J7" s="51">
        <f>(D7+E7+F7+I7)*$C$3</f>
        <v>881.78719999999998</v>
      </c>
      <c r="K7" s="6"/>
      <c r="L7" s="137"/>
    </row>
    <row r="8" spans="1:12" x14ac:dyDescent="0.25">
      <c r="A8" s="230" t="s">
        <v>858</v>
      </c>
      <c r="B8" s="4">
        <v>2</v>
      </c>
      <c r="C8" s="4">
        <v>6000</v>
      </c>
      <c r="D8" s="4">
        <f t="shared" ref="D8:D9" si="3">B8*C8</f>
        <v>12000</v>
      </c>
      <c r="E8" s="99">
        <f t="shared" ref="E8:E9" si="4">D8*0.1</f>
        <v>1200</v>
      </c>
      <c r="F8" s="37">
        <v>0</v>
      </c>
      <c r="G8" s="39">
        <v>0.4</v>
      </c>
      <c r="H8" s="98">
        <f t="shared" ref="H8:H9" si="5">G8*B8</f>
        <v>0.8</v>
      </c>
      <c r="I8" s="4">
        <f t="shared" ref="I8:I9" si="6">H8*$C$2</f>
        <v>6744</v>
      </c>
      <c r="J8" s="51">
        <f t="shared" ref="J8:J9" si="7">(D8+E8+F8+I8)*$C$3</f>
        <v>1198.6343999999999</v>
      </c>
      <c r="K8" s="6"/>
      <c r="L8" s="137"/>
    </row>
    <row r="9" spans="1:12" x14ac:dyDescent="0.25">
      <c r="A9" s="98" t="s">
        <v>859</v>
      </c>
      <c r="B9" s="4">
        <v>1</v>
      </c>
      <c r="C9" s="4">
        <v>2520</v>
      </c>
      <c r="D9" s="4">
        <f t="shared" si="3"/>
        <v>2520</v>
      </c>
      <c r="E9" s="99">
        <f t="shared" si="4"/>
        <v>252</v>
      </c>
      <c r="F9" s="37">
        <f>2500/4</f>
        <v>625</v>
      </c>
      <c r="G9" s="39">
        <v>0.1</v>
      </c>
      <c r="H9" s="98">
        <f t="shared" si="5"/>
        <v>0.1</v>
      </c>
      <c r="I9" s="4">
        <f t="shared" si="6"/>
        <v>843</v>
      </c>
      <c r="J9" s="51">
        <f t="shared" si="7"/>
        <v>254.82400000000001</v>
      </c>
      <c r="K9" s="6"/>
      <c r="L9" s="137"/>
    </row>
    <row r="10" spans="1:12" x14ac:dyDescent="0.25">
      <c r="A10" s="98" t="s">
        <v>860</v>
      </c>
      <c r="B10" s="4">
        <v>1</v>
      </c>
      <c r="C10" s="4">
        <v>17800</v>
      </c>
      <c r="D10" s="4">
        <f t="shared" si="1"/>
        <v>17800</v>
      </c>
      <c r="E10" s="99">
        <f>D10*0.1</f>
        <v>1780</v>
      </c>
      <c r="F10" s="37">
        <v>0</v>
      </c>
      <c r="G10" s="39">
        <v>0.5</v>
      </c>
      <c r="H10" s="98">
        <f t="shared" si="2"/>
        <v>0.5</v>
      </c>
      <c r="I10" s="4">
        <f>H10*$C$2</f>
        <v>4215</v>
      </c>
      <c r="J10" s="51">
        <f>(D10+E10+F10+I10)*$C$3</f>
        <v>1430.0795000000001</v>
      </c>
      <c r="K10" s="6"/>
      <c r="L10" s="137"/>
    </row>
    <row r="11" spans="1:12" x14ac:dyDescent="0.25">
      <c r="A11" s="230" t="s">
        <v>576</v>
      </c>
      <c r="B11" s="4">
        <v>1</v>
      </c>
      <c r="C11" s="4">
        <v>11640</v>
      </c>
      <c r="D11" s="4">
        <f t="shared" si="1"/>
        <v>11640</v>
      </c>
      <c r="E11" s="99">
        <f>D11*0.1</f>
        <v>1164</v>
      </c>
      <c r="F11" s="37">
        <v>0</v>
      </c>
      <c r="G11" s="39">
        <v>0.4</v>
      </c>
      <c r="H11" s="98">
        <f t="shared" si="2"/>
        <v>0.4</v>
      </c>
      <c r="I11" s="4">
        <f>H11*$C$2</f>
        <v>3372</v>
      </c>
      <c r="J11" s="51">
        <f>(D11+E11+F11+I11)*$C$3</f>
        <v>972.17759999999998</v>
      </c>
      <c r="K11" s="6"/>
      <c r="L11" s="137"/>
    </row>
    <row r="12" spans="1:12" ht="33.6" customHeight="1" x14ac:dyDescent="0.5">
      <c r="A12" s="220" t="s">
        <v>861</v>
      </c>
      <c r="B12" s="151"/>
      <c r="C12" s="151"/>
      <c r="D12" s="2"/>
      <c r="E12" s="97"/>
      <c r="F12" s="228"/>
      <c r="G12" s="231"/>
      <c r="H12" s="96"/>
      <c r="I12" s="2"/>
      <c r="J12" s="52">
        <f>SUM(J13:J14)</f>
        <v>1519.7306699999999</v>
      </c>
      <c r="K12" s="10">
        <f>1501+19</f>
        <v>1520</v>
      </c>
      <c r="L12" s="221">
        <f t="shared" ref="L12" si="8">K12-J12</f>
        <v>0.26933000000008178</v>
      </c>
    </row>
    <row r="13" spans="1:12" x14ac:dyDescent="0.25">
      <c r="A13" s="98" t="s">
        <v>862</v>
      </c>
      <c r="B13" s="4">
        <v>1</v>
      </c>
      <c r="C13" s="4">
        <v>7800</v>
      </c>
      <c r="D13" s="4">
        <f t="shared" ref="D13" si="9">B13*C13</f>
        <v>7800</v>
      </c>
      <c r="E13" s="99">
        <f>D13*0.1</f>
        <v>780</v>
      </c>
      <c r="F13" s="37">
        <v>0</v>
      </c>
      <c r="G13" s="39">
        <v>0.15</v>
      </c>
      <c r="H13" s="98">
        <f t="shared" ref="H13" si="10">G13*B13</f>
        <v>0.15</v>
      </c>
      <c r="I13" s="4">
        <f>H13*$C$2</f>
        <v>1264.5</v>
      </c>
      <c r="J13" s="51">
        <f>(D13+E13+F13+I13)*$C$3</f>
        <v>591.65445</v>
      </c>
      <c r="K13" s="6"/>
      <c r="L13" s="137"/>
    </row>
    <row r="14" spans="1:12" x14ac:dyDescent="0.25">
      <c r="A14" s="98" t="s">
        <v>67</v>
      </c>
      <c r="B14" s="4">
        <v>1</v>
      </c>
      <c r="C14" s="4">
        <v>9900</v>
      </c>
      <c r="D14" s="4">
        <f t="shared" ref="D14" si="11">B14*C14</f>
        <v>9900</v>
      </c>
      <c r="E14" s="99">
        <f>D14*0.1</f>
        <v>990</v>
      </c>
      <c r="F14" s="37">
        <v>0</v>
      </c>
      <c r="G14" s="39">
        <v>0.54</v>
      </c>
      <c r="H14" s="98">
        <f t="shared" ref="H14" si="12">G14*B14</f>
        <v>0.54</v>
      </c>
      <c r="I14" s="4">
        <f>H14*$C$2</f>
        <v>4552.2000000000007</v>
      </c>
      <c r="J14" s="51">
        <f>(D14+E14+F14+I14)*$C$3</f>
        <v>928.07622000000003</v>
      </c>
      <c r="K14" s="6"/>
      <c r="L14" s="137"/>
    </row>
    <row r="15" spans="1:12" ht="33.6" customHeight="1" x14ac:dyDescent="0.5">
      <c r="A15" s="220" t="s">
        <v>482</v>
      </c>
      <c r="B15" s="151"/>
      <c r="C15" s="151"/>
      <c r="D15" s="2"/>
      <c r="E15" s="97"/>
      <c r="F15" s="156"/>
      <c r="G15" s="231"/>
      <c r="H15" s="96"/>
      <c r="I15" s="2"/>
      <c r="J15" s="52">
        <f>SUM(J16:J17)</f>
        <v>3032.7301400000001</v>
      </c>
      <c r="K15" s="10">
        <f>2499+534</f>
        <v>3033</v>
      </c>
      <c r="L15" s="221">
        <f t="shared" ref="L15" si="13">K15-J15</f>
        <v>0.26985999999988053</v>
      </c>
    </row>
    <row r="16" spans="1:12" x14ac:dyDescent="0.25">
      <c r="A16" s="98" t="s">
        <v>67</v>
      </c>
      <c r="B16" s="4">
        <v>2</v>
      </c>
      <c r="C16" s="4">
        <v>9900</v>
      </c>
      <c r="D16" s="4">
        <f t="shared" ref="D16" si="14">B16*C16</f>
        <v>19800</v>
      </c>
      <c r="E16" s="99">
        <f>D16*0.1</f>
        <v>1980</v>
      </c>
      <c r="F16" s="37">
        <v>0</v>
      </c>
      <c r="G16" s="39">
        <v>0.54</v>
      </c>
      <c r="H16" s="98">
        <f t="shared" ref="H16" si="15">G16*B16</f>
        <v>1.08</v>
      </c>
      <c r="I16" s="4">
        <f>H16*$C$2</f>
        <v>9104.4000000000015</v>
      </c>
      <c r="J16" s="51">
        <f>(D16+E16+F16+I16)*$C$3</f>
        <v>1856.1524400000001</v>
      </c>
      <c r="K16" s="6"/>
      <c r="L16" s="137"/>
    </row>
    <row r="17" spans="1:13" x14ac:dyDescent="0.25">
      <c r="A17" s="98" t="s">
        <v>882</v>
      </c>
      <c r="B17" s="4">
        <v>1</v>
      </c>
      <c r="C17" s="4">
        <f>10900</f>
        <v>10900</v>
      </c>
      <c r="D17" s="4">
        <f t="shared" ref="D17" si="16">B17*C17</f>
        <v>10900</v>
      </c>
      <c r="E17" s="99">
        <f>D17*0.1</f>
        <v>1090</v>
      </c>
      <c r="F17" s="37">
        <v>0</v>
      </c>
      <c r="G17" s="39">
        <v>0.9</v>
      </c>
      <c r="H17" s="98">
        <f>G17*B17</f>
        <v>0.9</v>
      </c>
      <c r="I17" s="4">
        <f>H17*$C$2</f>
        <v>7587</v>
      </c>
      <c r="J17" s="51">
        <f>(D17+E17+F17+I17)*$C$3</f>
        <v>1176.5777</v>
      </c>
      <c r="K17" s="6"/>
      <c r="L17" s="137"/>
    </row>
    <row r="18" spans="1:13" ht="33.6" customHeight="1" x14ac:dyDescent="0.5">
      <c r="A18" s="220" t="s">
        <v>868</v>
      </c>
      <c r="B18" s="151"/>
      <c r="C18" s="151"/>
      <c r="D18" s="2"/>
      <c r="E18" s="97"/>
      <c r="F18" s="156"/>
      <c r="G18" s="231"/>
      <c r="H18" s="96"/>
      <c r="I18" s="2"/>
      <c r="J18" s="52">
        <f>SUM(J19:J20)</f>
        <v>2492.6595200000002</v>
      </c>
      <c r="K18" s="10">
        <f>2475+18</f>
        <v>2493</v>
      </c>
      <c r="L18" s="221">
        <f t="shared" ref="L18" si="17">K18-J18</f>
        <v>0.34047999999984313</v>
      </c>
    </row>
    <row r="19" spans="1:13" x14ac:dyDescent="0.25">
      <c r="A19" s="98" t="s">
        <v>869</v>
      </c>
      <c r="B19" s="4">
        <v>1</v>
      </c>
      <c r="C19" s="4">
        <v>12800</v>
      </c>
      <c r="D19" s="4">
        <f t="shared" ref="D19" si="18">B19*C19</f>
        <v>12800</v>
      </c>
      <c r="E19" s="99">
        <f>D19*0.1</f>
        <v>1280</v>
      </c>
      <c r="F19" s="37">
        <v>0</v>
      </c>
      <c r="G19" s="39">
        <v>0.4</v>
      </c>
      <c r="H19" s="98">
        <f t="shared" ref="H19" si="19">G19*B19</f>
        <v>0.4</v>
      </c>
      <c r="I19" s="4">
        <f>H19*$C$2</f>
        <v>3372</v>
      </c>
      <c r="J19" s="51">
        <f>(D19+E19+F19+I19)*$C$3</f>
        <v>1048.8652</v>
      </c>
      <c r="K19" s="6"/>
      <c r="L19" s="137"/>
    </row>
    <row r="20" spans="1:13" x14ac:dyDescent="0.25">
      <c r="A20" s="98" t="s">
        <v>199</v>
      </c>
      <c r="B20" s="4">
        <v>1</v>
      </c>
      <c r="C20" s="4">
        <v>20000</v>
      </c>
      <c r="D20" s="4">
        <f t="shared" ref="D20" si="20">B20*C20</f>
        <v>20000</v>
      </c>
      <c r="E20" s="99">
        <f>D20*0.1</f>
        <v>2000</v>
      </c>
      <c r="F20" s="37">
        <v>0</v>
      </c>
      <c r="G20" s="39">
        <v>0.24</v>
      </c>
      <c r="H20" s="98">
        <f t="shared" ref="H20" si="21">G20*B20</f>
        <v>0.24</v>
      </c>
      <c r="I20" s="4">
        <f>H20*$C$2</f>
        <v>2023.1999999999998</v>
      </c>
      <c r="J20" s="51">
        <f>(D20+E20+F20+I20)*$C$3</f>
        <v>1443.79432</v>
      </c>
      <c r="K20" s="6"/>
      <c r="L20" s="137"/>
    </row>
    <row r="21" spans="1:13" ht="31.5" x14ac:dyDescent="0.5">
      <c r="A21" s="220" t="s">
        <v>786</v>
      </c>
      <c r="B21" s="151"/>
      <c r="C21" s="151"/>
      <c r="D21" s="2"/>
      <c r="E21" s="97"/>
      <c r="F21" s="229"/>
      <c r="G21" s="231"/>
      <c r="H21" s="96"/>
      <c r="I21" s="2"/>
      <c r="J21" s="52">
        <f>J22</f>
        <v>1173.53664</v>
      </c>
      <c r="K21" s="10">
        <v>1300</v>
      </c>
      <c r="L21" s="221">
        <f t="shared" ref="L21" si="22">K21-J21</f>
        <v>126.46335999999997</v>
      </c>
    </row>
    <row r="22" spans="1:13" x14ac:dyDescent="0.25">
      <c r="A22" s="98" t="s">
        <v>864</v>
      </c>
      <c r="B22" s="4">
        <v>2</v>
      </c>
      <c r="C22" s="4">
        <v>5900</v>
      </c>
      <c r="D22" s="4">
        <f t="shared" ref="D22" si="23">B22*C22</f>
        <v>11800</v>
      </c>
      <c r="E22" s="99">
        <f>D22*0.1</f>
        <v>1180</v>
      </c>
      <c r="F22" s="37">
        <v>2500</v>
      </c>
      <c r="G22" s="39">
        <v>0.24</v>
      </c>
      <c r="H22" s="98">
        <f>G22*B22</f>
        <v>0.48</v>
      </c>
      <c r="I22" s="4">
        <f>H22*$C$2</f>
        <v>4046.3999999999996</v>
      </c>
      <c r="J22" s="51">
        <f>(D22+E22+F22+I22)*$C$3</f>
        <v>1173.53664</v>
      </c>
      <c r="K22" s="6"/>
      <c r="L22" s="137"/>
    </row>
    <row r="23" spans="1:13" ht="31.5" x14ac:dyDescent="0.5">
      <c r="A23" s="220" t="s">
        <v>863</v>
      </c>
      <c r="B23" s="151"/>
      <c r="C23" s="151"/>
      <c r="D23" s="2"/>
      <c r="E23" s="97"/>
      <c r="F23" s="229"/>
      <c r="G23" s="231"/>
      <c r="H23" s="96"/>
      <c r="I23" s="2"/>
      <c r="J23" s="52">
        <f>J24</f>
        <v>1377.1914999999999</v>
      </c>
      <c r="K23" s="10">
        <f>1364+13</f>
        <v>1377</v>
      </c>
      <c r="L23" s="221">
        <f t="shared" ref="L23" si="24">K23-J23</f>
        <v>-0.19149999999990541</v>
      </c>
    </row>
    <row r="24" spans="1:13" x14ac:dyDescent="0.25">
      <c r="A24" s="98" t="s">
        <v>261</v>
      </c>
      <c r="B24" s="4">
        <v>1</v>
      </c>
      <c r="C24" s="4">
        <v>17000</v>
      </c>
      <c r="D24" s="4">
        <f t="shared" ref="D24" si="25">B24*C24</f>
        <v>17000</v>
      </c>
      <c r="E24" s="99">
        <f>D24*0.1</f>
        <v>1700</v>
      </c>
      <c r="F24" s="37">
        <v>0</v>
      </c>
      <c r="G24" s="39">
        <v>0.5</v>
      </c>
      <c r="H24" s="98">
        <f t="shared" ref="H24" si="26">G24*B24</f>
        <v>0.5</v>
      </c>
      <c r="I24" s="4">
        <f>H24*$C$2</f>
        <v>4215</v>
      </c>
      <c r="J24" s="51">
        <f>(D24+E24+F24+I24)*$C$3</f>
        <v>1377.1914999999999</v>
      </c>
      <c r="K24" s="6"/>
      <c r="L24" s="137"/>
    </row>
    <row r="25" spans="1:13" ht="31.5" x14ac:dyDescent="0.5">
      <c r="A25" s="220" t="s">
        <v>865</v>
      </c>
      <c r="B25" s="151"/>
      <c r="C25" s="151"/>
      <c r="D25" s="2"/>
      <c r="E25" s="97"/>
      <c r="F25" s="156"/>
      <c r="G25" s="231"/>
      <c r="H25" s="96"/>
      <c r="I25" s="2"/>
      <c r="J25" s="52">
        <f>J26</f>
        <v>1055.4762000000001</v>
      </c>
      <c r="K25" s="10">
        <v>1045</v>
      </c>
      <c r="L25" s="221">
        <f t="shared" ref="L25" si="27">K25-J25</f>
        <v>-10.476200000000063</v>
      </c>
    </row>
    <row r="26" spans="1:13" x14ac:dyDescent="0.25">
      <c r="A26" s="98" t="s">
        <v>866</v>
      </c>
      <c r="B26" s="4">
        <v>1</v>
      </c>
      <c r="C26" s="4">
        <v>12900</v>
      </c>
      <c r="D26" s="4">
        <f t="shared" ref="D26" si="28">B26*C26</f>
        <v>12900</v>
      </c>
      <c r="E26" s="99">
        <f>D26*0.1</f>
        <v>1290</v>
      </c>
      <c r="F26" s="37">
        <v>0</v>
      </c>
      <c r="G26" s="39">
        <v>0.4</v>
      </c>
      <c r="H26" s="98">
        <f t="shared" ref="H26" si="29">G26*B26</f>
        <v>0.4</v>
      </c>
      <c r="I26" s="4">
        <f>H26*$C$2</f>
        <v>3372</v>
      </c>
      <c r="J26" s="51">
        <f>(D26+E26+F26+I26)*$C$3</f>
        <v>1055.4762000000001</v>
      </c>
      <c r="K26" s="6"/>
      <c r="L26" s="137"/>
    </row>
    <row r="27" spans="1:13" ht="31.5" x14ac:dyDescent="0.5">
      <c r="A27" s="220" t="s">
        <v>619</v>
      </c>
      <c r="B27" s="151"/>
      <c r="C27" s="151"/>
      <c r="D27" s="2"/>
      <c r="E27" s="97"/>
      <c r="F27" s="156"/>
      <c r="G27" s="231"/>
      <c r="H27" s="96"/>
      <c r="I27" s="2"/>
      <c r="J27" s="52">
        <f>J28</f>
        <v>509.64800000000002</v>
      </c>
      <c r="K27" s="10">
        <f>600-90</f>
        <v>510</v>
      </c>
      <c r="L27" s="221">
        <f t="shared" ref="L27" si="30">K27-J27</f>
        <v>0.35199999999997544</v>
      </c>
      <c r="M27" t="s">
        <v>883</v>
      </c>
    </row>
    <row r="28" spans="1:13" x14ac:dyDescent="0.25">
      <c r="A28" s="98" t="s">
        <v>867</v>
      </c>
      <c r="B28" s="4">
        <v>2</v>
      </c>
      <c r="C28" s="4">
        <v>2520</v>
      </c>
      <c r="D28" s="4">
        <f t="shared" ref="D28" si="31">B28*C28</f>
        <v>5040</v>
      </c>
      <c r="E28" s="99">
        <f>D28*0.1</f>
        <v>504</v>
      </c>
      <c r="F28" s="37">
        <f>2500/4*2</f>
        <v>1250</v>
      </c>
      <c r="G28" s="39">
        <v>0.1</v>
      </c>
      <c r="H28" s="98">
        <f t="shared" ref="H28" si="32">G28*B28</f>
        <v>0.2</v>
      </c>
      <c r="I28" s="4">
        <f>H28*$C$2</f>
        <v>1686</v>
      </c>
      <c r="J28" s="51">
        <f>(D28+E28+F28+I28)*$C$3</f>
        <v>509.64800000000002</v>
      </c>
      <c r="K28" s="6"/>
      <c r="L28" s="137"/>
    </row>
    <row r="29" spans="1:13" ht="31.5" x14ac:dyDescent="0.5">
      <c r="A29" s="220" t="s">
        <v>870</v>
      </c>
      <c r="B29" s="151"/>
      <c r="C29" s="151"/>
      <c r="D29" s="2"/>
      <c r="E29" s="97"/>
      <c r="F29" s="229"/>
      <c r="G29" s="231"/>
      <c r="H29" s="96"/>
      <c r="I29" s="2"/>
      <c r="J29" s="52">
        <f>J30</f>
        <v>2115.8806</v>
      </c>
      <c r="K29" s="10">
        <f>2110+6</f>
        <v>2116</v>
      </c>
      <c r="L29" s="221">
        <f t="shared" ref="L29" si="33">K29-J29</f>
        <v>0.11940000000004147</v>
      </c>
    </row>
    <row r="30" spans="1:13" x14ac:dyDescent="0.25">
      <c r="A30" s="98" t="s">
        <v>871</v>
      </c>
      <c r="B30" s="4">
        <v>1</v>
      </c>
      <c r="C30" s="4">
        <v>28200</v>
      </c>
      <c r="D30" s="4">
        <f t="shared" ref="D30" si="34">B30*C30</f>
        <v>28200</v>
      </c>
      <c r="E30" s="99">
        <f>D30*0.1</f>
        <v>2820</v>
      </c>
      <c r="F30" s="37">
        <v>2500</v>
      </c>
      <c r="G30" s="39">
        <v>0.2</v>
      </c>
      <c r="H30" s="98">
        <f t="shared" ref="H30" si="35">G30*B30</f>
        <v>0.2</v>
      </c>
      <c r="I30" s="4">
        <f>H30*$C$2</f>
        <v>1686</v>
      </c>
      <c r="J30" s="51">
        <f>(D30+E30+F30+I30)*$C$3</f>
        <v>2115.8806</v>
      </c>
      <c r="K30" s="6"/>
      <c r="L30" s="137"/>
    </row>
    <row r="31" spans="1:13" ht="31.5" x14ac:dyDescent="0.5">
      <c r="A31" s="220" t="s">
        <v>872</v>
      </c>
      <c r="B31" s="151"/>
      <c r="C31" s="151"/>
      <c r="D31" s="2"/>
      <c r="E31" s="97"/>
      <c r="F31" s="156"/>
      <c r="G31" s="231"/>
      <c r="H31" s="96"/>
      <c r="I31" s="2"/>
      <c r="J31" s="52">
        <f>J32</f>
        <v>1523.8054500000001</v>
      </c>
      <c r="K31" s="10">
        <v>1515</v>
      </c>
      <c r="L31" s="221">
        <f t="shared" ref="L31" si="36">K31-J31</f>
        <v>-8.8054500000000644</v>
      </c>
    </row>
    <row r="32" spans="1:13" ht="15.75" thickBot="1" x14ac:dyDescent="0.3">
      <c r="A32" s="138" t="s">
        <v>873</v>
      </c>
      <c r="B32" s="222">
        <v>1</v>
      </c>
      <c r="C32" s="222">
        <v>21900</v>
      </c>
      <c r="D32" s="222">
        <f t="shared" ref="D32" si="37">B32*C32</f>
        <v>21900</v>
      </c>
      <c r="E32" s="103">
        <f>D32*0.1</f>
        <v>2190</v>
      </c>
      <c r="F32" s="102">
        <v>0</v>
      </c>
      <c r="G32" s="4">
        <v>0.15</v>
      </c>
      <c r="H32" s="102">
        <f t="shared" ref="H32" si="38">G32*B32</f>
        <v>0.15</v>
      </c>
      <c r="I32" s="222">
        <f>H32*$C$2</f>
        <v>1264.5</v>
      </c>
      <c r="J32" s="225">
        <f>(D32+E32+F32+I32)*$C$3</f>
        <v>1523.8054500000001</v>
      </c>
      <c r="K32" s="226"/>
      <c r="L32" s="139"/>
    </row>
    <row r="33" spans="1:12" ht="31.5" x14ac:dyDescent="0.5">
      <c r="A33" s="220" t="s">
        <v>878</v>
      </c>
      <c r="B33" s="151"/>
      <c r="C33" s="151"/>
      <c r="D33" s="2"/>
      <c r="E33" s="97"/>
      <c r="F33" s="156"/>
      <c r="G33" s="231"/>
      <c r="H33" s="96"/>
      <c r="I33" s="2"/>
      <c r="J33" s="52">
        <f>J34</f>
        <v>670.98644999999999</v>
      </c>
      <c r="K33" s="10">
        <f>657+14</f>
        <v>671</v>
      </c>
      <c r="L33" s="221">
        <f t="shared" ref="L33" si="39">K33-J33</f>
        <v>1.3550000000009277E-2</v>
      </c>
    </row>
    <row r="34" spans="1:12" ht="15.75" thickBot="1" x14ac:dyDescent="0.3">
      <c r="A34" s="4" t="s">
        <v>725</v>
      </c>
      <c r="B34" s="4">
        <v>1</v>
      </c>
      <c r="C34" s="4">
        <v>9000</v>
      </c>
      <c r="D34" s="4">
        <v>9000</v>
      </c>
      <c r="E34" s="103">
        <f>D34*0.1</f>
        <v>900</v>
      </c>
      <c r="F34" s="4">
        <v>0</v>
      </c>
      <c r="G34" s="4">
        <v>0.15</v>
      </c>
      <c r="H34" s="102">
        <f t="shared" ref="H34" si="40">G34*B34</f>
        <v>0.15</v>
      </c>
      <c r="I34" s="222">
        <f>H34*$C$2</f>
        <v>1264.5</v>
      </c>
      <c r="J34" s="225">
        <f>(D34+E34+F34+I34)*$C$3</f>
        <v>670.98644999999999</v>
      </c>
      <c r="K34" s="226"/>
      <c r="L34" s="139"/>
    </row>
    <row r="35" spans="1:12" ht="31.5" x14ac:dyDescent="0.5">
      <c r="A35" s="220" t="s">
        <v>879</v>
      </c>
      <c r="B35" s="151"/>
      <c r="C35" s="151"/>
      <c r="D35" s="2"/>
      <c r="E35" s="97"/>
      <c r="F35" s="156"/>
      <c r="G35" s="231"/>
      <c r="H35" s="96"/>
      <c r="I35" s="2"/>
      <c r="J35" s="52">
        <f>J36</f>
        <v>670.98644999999999</v>
      </c>
      <c r="K35" s="10">
        <f>657+15</f>
        <v>672</v>
      </c>
      <c r="L35" s="221">
        <f t="shared" ref="L35" si="41">K35-J35</f>
        <v>1.0135500000000093</v>
      </c>
    </row>
    <row r="36" spans="1:12" ht="15.75" thickBot="1" x14ac:dyDescent="0.3">
      <c r="A36" s="4" t="s">
        <v>725</v>
      </c>
      <c r="B36" s="4">
        <v>1</v>
      </c>
      <c r="C36" s="4">
        <v>9000</v>
      </c>
      <c r="D36" s="4">
        <v>9000</v>
      </c>
      <c r="E36" s="103">
        <f>D36*0.1</f>
        <v>900</v>
      </c>
      <c r="F36" s="4">
        <v>0</v>
      </c>
      <c r="G36" s="4">
        <v>0.15</v>
      </c>
      <c r="H36" s="102">
        <f t="shared" ref="H36" si="42">G36*B36</f>
        <v>0.15</v>
      </c>
      <c r="I36" s="222">
        <f>H36*$C$2</f>
        <v>1264.5</v>
      </c>
      <c r="J36" s="225">
        <f>(D36+E36+F36+I36)*$C$3</f>
        <v>670.98644999999999</v>
      </c>
      <c r="K36" s="226"/>
      <c r="L36" s="139"/>
    </row>
    <row r="37" spans="1:12" ht="31.5" x14ac:dyDescent="0.5">
      <c r="A37" s="220" t="s">
        <v>825</v>
      </c>
      <c r="B37" s="151"/>
      <c r="C37" s="151"/>
      <c r="D37" s="2"/>
      <c r="E37" s="97"/>
      <c r="F37" s="156"/>
      <c r="G37" s="231"/>
      <c r="H37" s="96"/>
      <c r="I37" s="2"/>
      <c r="J37" s="52">
        <f>J38</f>
        <v>670.98644999999999</v>
      </c>
      <c r="K37" s="10">
        <v>657</v>
      </c>
      <c r="L37" s="221">
        <f t="shared" ref="L37" si="43">K37-J37</f>
        <v>-13.986449999999991</v>
      </c>
    </row>
    <row r="38" spans="1:12" ht="15.75" thickBot="1" x14ac:dyDescent="0.3">
      <c r="A38" s="4" t="s">
        <v>725</v>
      </c>
      <c r="B38" s="4">
        <v>1</v>
      </c>
      <c r="C38" s="4">
        <v>9000</v>
      </c>
      <c r="D38" s="4">
        <v>9000</v>
      </c>
      <c r="E38" s="103">
        <f>D38*0.1</f>
        <v>900</v>
      </c>
      <c r="F38" s="4">
        <v>0</v>
      </c>
      <c r="G38" s="4">
        <v>0.15</v>
      </c>
      <c r="H38" s="102">
        <f t="shared" ref="H38" si="44">G38*B38</f>
        <v>0.15</v>
      </c>
      <c r="I38" s="222">
        <f>H38*$C$2</f>
        <v>1264.5</v>
      </c>
      <c r="J38" s="225">
        <f>(D38+E38+F38+I38)*$C$3</f>
        <v>670.98644999999999</v>
      </c>
      <c r="K38" s="226"/>
      <c r="L38" s="139"/>
    </row>
    <row r="39" spans="1:12" ht="31.5" x14ac:dyDescent="0.5">
      <c r="A39" s="220" t="s">
        <v>447</v>
      </c>
      <c r="B39" s="151"/>
      <c r="C39" s="151"/>
      <c r="D39" s="2"/>
      <c r="E39" s="97"/>
      <c r="F39" s="156"/>
      <c r="G39" s="231"/>
      <c r="H39" s="96"/>
      <c r="I39" s="2"/>
      <c r="J39" s="52">
        <f>J40</f>
        <v>670.98644999999999</v>
      </c>
      <c r="K39" s="10">
        <f>657+14</f>
        <v>671</v>
      </c>
      <c r="L39" s="221">
        <f t="shared" ref="L39" si="45">K39-J39</f>
        <v>1.3550000000009277E-2</v>
      </c>
    </row>
    <row r="40" spans="1:12" ht="15.75" thickBot="1" x14ac:dyDescent="0.3">
      <c r="A40" s="4" t="s">
        <v>725</v>
      </c>
      <c r="B40" s="4">
        <v>1</v>
      </c>
      <c r="C40" s="4">
        <v>9000</v>
      </c>
      <c r="D40" s="4">
        <v>9000</v>
      </c>
      <c r="E40" s="103">
        <f>D40*0.1</f>
        <v>900</v>
      </c>
      <c r="F40" s="4">
        <v>0</v>
      </c>
      <c r="G40" s="4">
        <v>0.15</v>
      </c>
      <c r="H40" s="102">
        <f t="shared" ref="H40" si="46">G40*B40</f>
        <v>0.15</v>
      </c>
      <c r="I40" s="222">
        <f>H40*$C$2</f>
        <v>1264.5</v>
      </c>
      <c r="J40" s="225">
        <f>(D40+E40+F40+I40)*$C$3</f>
        <v>670.98644999999999</v>
      </c>
      <c r="K40" s="226"/>
      <c r="L40" s="139"/>
    </row>
  </sheetData>
  <hyperlinks>
    <hyperlink ref="A27" r:id="rId1" display="http://forum.sibmama.ru/viewtopic.php?t=715424&amp;start=24645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81"/>
  <sheetViews>
    <sheetView zoomScale="70" zoomScaleNormal="70" workbookViewId="0">
      <selection activeCell="A5" sqref="A5:XFD12"/>
    </sheetView>
  </sheetViews>
  <sheetFormatPr defaultRowHeight="15" x14ac:dyDescent="0.25"/>
  <cols>
    <col min="1" max="1" width="33.7109375" customWidth="1"/>
    <col min="3" max="3" width="11.7109375" customWidth="1"/>
    <col min="10" max="10" width="11" customWidth="1"/>
    <col min="11" max="11" width="12.140625" customWidth="1"/>
    <col min="12" max="12" width="11.42578125" customWidth="1"/>
  </cols>
  <sheetData>
    <row r="1" spans="1:12" ht="21" x14ac:dyDescent="0.35">
      <c r="A1" s="55" t="s">
        <v>281</v>
      </c>
      <c r="B1" s="4"/>
      <c r="C1" s="189">
        <v>42500</v>
      </c>
      <c r="D1" s="30"/>
    </row>
    <row r="2" spans="1:12" ht="21" x14ac:dyDescent="0.35">
      <c r="A2" s="55" t="s">
        <v>239</v>
      </c>
      <c r="B2" s="4"/>
      <c r="C2" s="16">
        <v>8655</v>
      </c>
      <c r="D2" s="30"/>
    </row>
    <row r="3" spans="1:12" ht="21" x14ac:dyDescent="0.35">
      <c r="A3" s="55" t="s">
        <v>240</v>
      </c>
      <c r="B3" s="4"/>
      <c r="C3" s="170">
        <v>5.7410000000000003E-2</v>
      </c>
      <c r="D3" s="30"/>
    </row>
    <row r="4" spans="1:12" ht="15.75" thickBot="1" x14ac:dyDescent="0.3"/>
    <row r="5" spans="1:12" ht="60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203" t="s">
        <v>2</v>
      </c>
      <c r="B6" s="204"/>
      <c r="C6" s="204"/>
      <c r="D6" s="2"/>
      <c r="E6" s="97"/>
      <c r="F6" s="156"/>
      <c r="G6" s="231"/>
      <c r="H6" s="96"/>
      <c r="I6" s="2"/>
      <c r="J6" s="52">
        <f>J7</f>
        <v>612.38385850000009</v>
      </c>
      <c r="K6" s="10">
        <v>624</v>
      </c>
      <c r="L6" s="221">
        <f t="shared" ref="L6" si="0">K6-J6</f>
        <v>11.616141499999912</v>
      </c>
    </row>
    <row r="7" spans="1:12" x14ac:dyDescent="0.25">
      <c r="A7" s="4" t="s">
        <v>261</v>
      </c>
      <c r="B7" s="4">
        <v>1</v>
      </c>
      <c r="C7" s="4">
        <v>5300</v>
      </c>
      <c r="D7" s="4">
        <f t="shared" ref="D7" si="1">B7*C7</f>
        <v>5300</v>
      </c>
      <c r="E7" s="99">
        <f>D7*0.1</f>
        <v>530</v>
      </c>
      <c r="F7" s="4">
        <v>2500</v>
      </c>
      <c r="G7" s="4">
        <v>0.27</v>
      </c>
      <c r="H7" s="98">
        <f t="shared" ref="H7" si="2">G7*B7</f>
        <v>0.27</v>
      </c>
      <c r="I7" s="4">
        <f>H7*$C$2</f>
        <v>2336.8500000000004</v>
      </c>
      <c r="J7" s="51">
        <f>(D7+E7+F7+I7)*$C$3</f>
        <v>612.38385850000009</v>
      </c>
      <c r="K7" s="6"/>
      <c r="L7" s="137"/>
    </row>
    <row r="8" spans="1:12" ht="31.5" x14ac:dyDescent="0.5">
      <c r="A8" s="152" t="s">
        <v>382</v>
      </c>
      <c r="B8" s="151"/>
      <c r="C8" s="151"/>
      <c r="D8" s="2"/>
      <c r="E8" s="97"/>
      <c r="F8" s="151"/>
      <c r="G8" s="151"/>
      <c r="H8" s="96"/>
      <c r="I8" s="2"/>
      <c r="J8" s="52">
        <f>SUM(J9:J10)</f>
        <v>2065.9160730000003</v>
      </c>
      <c r="K8" s="10">
        <f>1827+239</f>
        <v>2066</v>
      </c>
      <c r="L8" s="221">
        <f t="shared" ref="L8" si="3">K8-J8</f>
        <v>8.39269999996759E-2</v>
      </c>
    </row>
    <row r="9" spans="1:12" ht="30" x14ac:dyDescent="0.25">
      <c r="A9" s="7" t="s">
        <v>884</v>
      </c>
      <c r="B9" s="4">
        <v>1</v>
      </c>
      <c r="C9" s="4">
        <v>11900</v>
      </c>
      <c r="D9" s="4">
        <f t="shared" ref="D9:D10" si="4">B9*C9</f>
        <v>11900</v>
      </c>
      <c r="E9" s="99">
        <f>D9*0.1</f>
        <v>1190</v>
      </c>
      <c r="F9" s="4">
        <v>0</v>
      </c>
      <c r="G9" s="4">
        <v>0.63</v>
      </c>
      <c r="H9" s="98">
        <f>G9*B9</f>
        <v>0.63</v>
      </c>
      <c r="I9" s="4">
        <f>H9*$C$2</f>
        <v>5452.65</v>
      </c>
      <c r="J9" s="51">
        <f>(D9+E9+F9+I9)*$C$3</f>
        <v>1064.5335365000001</v>
      </c>
      <c r="K9" s="6"/>
      <c r="L9" s="137"/>
    </row>
    <row r="10" spans="1:12" ht="30" x14ac:dyDescent="0.25">
      <c r="A10" s="7" t="s">
        <v>885</v>
      </c>
      <c r="B10" s="4">
        <v>1</v>
      </c>
      <c r="C10" s="4">
        <v>10900</v>
      </c>
      <c r="D10" s="4">
        <f t="shared" si="4"/>
        <v>10900</v>
      </c>
      <c r="E10" s="99">
        <f t="shared" ref="E10" si="5">D10*0.1</f>
        <v>1090</v>
      </c>
      <c r="F10" s="4">
        <v>0</v>
      </c>
      <c r="G10" s="4">
        <v>0.63</v>
      </c>
      <c r="H10" s="98">
        <f t="shared" ref="H10" si="6">G10*B10</f>
        <v>0.63</v>
      </c>
      <c r="I10" s="4">
        <f t="shared" ref="I10" si="7">H10*$C$2</f>
        <v>5452.65</v>
      </c>
      <c r="J10" s="51">
        <f t="shared" ref="J10" si="8">(D10+E10+F10+I10)*$C$3</f>
        <v>1001.3825365000001</v>
      </c>
      <c r="K10" s="6"/>
      <c r="L10" s="137"/>
    </row>
    <row r="11" spans="1:12" ht="31.5" x14ac:dyDescent="0.5">
      <c r="A11" s="152" t="s">
        <v>680</v>
      </c>
      <c r="B11" s="151"/>
      <c r="C11" s="151"/>
      <c r="D11" s="2"/>
      <c r="E11" s="97"/>
      <c r="F11" s="151"/>
      <c r="G11" s="151"/>
      <c r="H11" s="96"/>
      <c r="I11" s="2"/>
      <c r="J11" s="52">
        <f>SUM(J12:J12)</f>
        <v>731.024494</v>
      </c>
      <c r="K11" s="10">
        <v>737</v>
      </c>
      <c r="L11" s="221">
        <f t="shared" ref="L11" si="9">K11-J11</f>
        <v>5.9755059999999958</v>
      </c>
    </row>
    <row r="12" spans="1:12" x14ac:dyDescent="0.25">
      <c r="A12" s="17" t="s">
        <v>886</v>
      </c>
      <c r="B12" s="4">
        <v>1</v>
      </c>
      <c r="C12" s="4">
        <v>7100</v>
      </c>
      <c r="D12" s="4">
        <f t="shared" ref="D12" si="10">B12*C12</f>
        <v>7100</v>
      </c>
      <c r="E12" s="99">
        <f>D12*0.1</f>
        <v>710</v>
      </c>
      <c r="F12" s="4">
        <v>2500</v>
      </c>
      <c r="G12" s="4">
        <v>0.28000000000000003</v>
      </c>
      <c r="H12" s="98">
        <f t="shared" ref="H12" si="11">G12*B12</f>
        <v>0.28000000000000003</v>
      </c>
      <c r="I12" s="4">
        <f>H12*$C$2</f>
        <v>2423.4</v>
      </c>
      <c r="J12" s="51">
        <f>(D12+E12+F12+I12)*$C$3</f>
        <v>731.024494</v>
      </c>
      <c r="K12" s="6"/>
      <c r="L12" s="137"/>
    </row>
    <row r="13" spans="1:12" ht="31.5" x14ac:dyDescent="0.5">
      <c r="A13" s="152" t="s">
        <v>887</v>
      </c>
      <c r="B13" s="151"/>
      <c r="C13" s="151"/>
      <c r="D13" s="2"/>
      <c r="E13" s="97"/>
      <c r="F13" s="151"/>
      <c r="G13" s="151"/>
      <c r="H13" s="96"/>
      <c r="I13" s="2"/>
      <c r="J13" s="52">
        <f>SUM(J14:J15)</f>
        <v>1212.5451280000002</v>
      </c>
      <c r="K13" s="10">
        <f>1198+15</f>
        <v>1213</v>
      </c>
      <c r="L13" s="221">
        <f t="shared" ref="L13" si="12">K13-J13</f>
        <v>0.45487199999979566</v>
      </c>
    </row>
    <row r="14" spans="1:12" x14ac:dyDescent="0.25">
      <c r="A14" s="4" t="s">
        <v>57</v>
      </c>
      <c r="B14" s="4">
        <v>1</v>
      </c>
      <c r="C14" s="4">
        <v>6300</v>
      </c>
      <c r="D14" s="4">
        <f t="shared" ref="D14:D15" si="13">B14*C14</f>
        <v>6300</v>
      </c>
      <c r="E14" s="99">
        <f>D14*0.1</f>
        <v>630</v>
      </c>
      <c r="F14" s="4">
        <f>2500/4</f>
        <v>625</v>
      </c>
      <c r="G14" s="4">
        <v>0.16</v>
      </c>
      <c r="H14" s="98">
        <f t="shared" ref="H14:H15" si="14">G14*B14</f>
        <v>0.16</v>
      </c>
      <c r="I14" s="4">
        <f>H14*$C$2</f>
        <v>1384.8</v>
      </c>
      <c r="J14" s="51">
        <f>(D14+E14+F14+I14)*$C$3</f>
        <v>513.23391800000002</v>
      </c>
      <c r="K14" s="6"/>
      <c r="L14" s="137"/>
    </row>
    <row r="15" spans="1:12" x14ac:dyDescent="0.25">
      <c r="A15" s="4" t="s">
        <v>57</v>
      </c>
      <c r="B15" s="4">
        <v>1</v>
      </c>
      <c r="C15" s="4">
        <v>9500</v>
      </c>
      <c r="D15" s="4">
        <f t="shared" si="13"/>
        <v>9500</v>
      </c>
      <c r="E15" s="99">
        <f>D15*0.1</f>
        <v>950</v>
      </c>
      <c r="F15" s="4">
        <v>0</v>
      </c>
      <c r="G15" s="4">
        <v>0.2</v>
      </c>
      <c r="H15" s="98">
        <f t="shared" si="14"/>
        <v>0.2</v>
      </c>
      <c r="I15" s="4">
        <f>H15*$C$2</f>
        <v>1731</v>
      </c>
      <c r="J15" s="51">
        <f>(D15+E15+F15+I15)*$C$3</f>
        <v>699.31121000000007</v>
      </c>
      <c r="K15" s="6"/>
      <c r="L15" s="137"/>
    </row>
    <row r="16" spans="1:12" ht="31.5" x14ac:dyDescent="0.5">
      <c r="A16" s="152" t="s">
        <v>888</v>
      </c>
      <c r="B16" s="151"/>
      <c r="C16" s="151"/>
      <c r="D16" s="2"/>
      <c r="E16" s="97"/>
      <c r="F16" s="151"/>
      <c r="G16" s="151"/>
      <c r="H16" s="96"/>
      <c r="I16" s="2"/>
      <c r="J16" s="52">
        <f>SUM(J17:J18)</f>
        <v>1887.376714</v>
      </c>
      <c r="K16" s="10">
        <v>2046</v>
      </c>
      <c r="L16" s="221">
        <f t="shared" ref="L16" si="15">K16-J16</f>
        <v>158.62328600000001</v>
      </c>
    </row>
    <row r="17" spans="1:12" x14ac:dyDescent="0.25">
      <c r="A17" s="4" t="s">
        <v>57</v>
      </c>
      <c r="B17" s="232">
        <v>2</v>
      </c>
      <c r="C17" s="4">
        <v>6300</v>
      </c>
      <c r="D17" s="4">
        <f t="shared" ref="D17:D18" si="16">B17*C17</f>
        <v>12600</v>
      </c>
      <c r="E17" s="99">
        <f>D17*0.1</f>
        <v>1260</v>
      </c>
      <c r="F17" s="4">
        <f>2500/4*2</f>
        <v>1250</v>
      </c>
      <c r="G17" s="4">
        <v>0.16</v>
      </c>
      <c r="H17" s="98">
        <f t="shared" ref="H17:H18" si="17">G17*B17</f>
        <v>0.32</v>
      </c>
      <c r="I17" s="4">
        <f>H17*$C$2</f>
        <v>2769.6</v>
      </c>
      <c r="J17" s="51">
        <f>(D17+E17+F17+I17)*$C$3</f>
        <v>1026.467836</v>
      </c>
      <c r="K17" s="6"/>
      <c r="L17" s="137"/>
    </row>
    <row r="18" spans="1:12" x14ac:dyDescent="0.25">
      <c r="A18" s="17" t="s">
        <v>895</v>
      </c>
      <c r="B18" s="4">
        <v>4</v>
      </c>
      <c r="C18" s="4">
        <v>2700</v>
      </c>
      <c r="D18" s="4">
        <f t="shared" si="16"/>
        <v>10800</v>
      </c>
      <c r="E18" s="99">
        <f>D18*0.1</f>
        <v>1080</v>
      </c>
      <c r="F18" s="5">
        <v>0</v>
      </c>
      <c r="G18" s="4">
        <v>0.09</v>
      </c>
      <c r="H18" s="98">
        <f t="shared" si="17"/>
        <v>0.36</v>
      </c>
      <c r="I18" s="4">
        <f>H18*$C$2</f>
        <v>3115.7999999999997</v>
      </c>
      <c r="J18" s="51">
        <f>(D18+E18+F18+I18)*$C$3</f>
        <v>860.90887799999996</v>
      </c>
      <c r="K18" s="6"/>
      <c r="L18" s="137"/>
    </row>
    <row r="19" spans="1:12" ht="31.5" x14ac:dyDescent="0.5">
      <c r="A19" s="152" t="s">
        <v>889</v>
      </c>
      <c r="B19" s="151"/>
      <c r="C19" s="151"/>
      <c r="D19" s="2"/>
      <c r="E19" s="97"/>
      <c r="F19" s="151"/>
      <c r="G19" s="151"/>
      <c r="H19" s="96"/>
      <c r="I19" s="2"/>
      <c r="J19" s="52">
        <f>J20</f>
        <v>513.23391800000002</v>
      </c>
      <c r="K19" s="10">
        <f>506+7</f>
        <v>513</v>
      </c>
      <c r="L19" s="221">
        <f t="shared" ref="L19" si="18">K19-J19</f>
        <v>-0.23391800000001695</v>
      </c>
    </row>
    <row r="20" spans="1:12" x14ac:dyDescent="0.25">
      <c r="A20" s="4" t="s">
        <v>57</v>
      </c>
      <c r="B20" s="4">
        <v>1</v>
      </c>
      <c r="C20" s="4">
        <v>6300</v>
      </c>
      <c r="D20" s="4">
        <f t="shared" ref="D20" si="19">B20*C20</f>
        <v>6300</v>
      </c>
      <c r="E20" s="99">
        <f>D20*0.1</f>
        <v>630</v>
      </c>
      <c r="F20" s="4">
        <f>2500/4</f>
        <v>625</v>
      </c>
      <c r="G20" s="4">
        <v>0.16</v>
      </c>
      <c r="H20" s="98">
        <f>G20*B20</f>
        <v>0.16</v>
      </c>
      <c r="I20" s="4">
        <f>H20*$C$2</f>
        <v>1384.8</v>
      </c>
      <c r="J20" s="51">
        <f>(D20+E20+F20+I20)*$C$3</f>
        <v>513.23391800000002</v>
      </c>
      <c r="K20" s="6"/>
      <c r="L20" s="137"/>
    </row>
    <row r="21" spans="1:12" ht="31.5" x14ac:dyDescent="0.5">
      <c r="A21" s="152" t="s">
        <v>750</v>
      </c>
      <c r="B21" s="151"/>
      <c r="C21" s="151"/>
      <c r="D21" s="2"/>
      <c r="E21" s="97"/>
      <c r="F21" s="151"/>
      <c r="G21" s="151"/>
      <c r="H21" s="96"/>
      <c r="I21" s="2"/>
      <c r="J21" s="52">
        <f>J22</f>
        <v>982.14444549999996</v>
      </c>
      <c r="K21" s="10">
        <v>970</v>
      </c>
      <c r="L21" s="221">
        <f t="shared" ref="L21" si="20">K21-J21</f>
        <v>-12.144445499999961</v>
      </c>
    </row>
    <row r="22" spans="1:12" x14ac:dyDescent="0.25">
      <c r="A22" s="4" t="s">
        <v>761</v>
      </c>
      <c r="B22" s="4">
        <v>1</v>
      </c>
      <c r="C22" s="4">
        <v>13900</v>
      </c>
      <c r="D22" s="4">
        <f t="shared" ref="D22" si="21">B22*C22</f>
        <v>13900</v>
      </c>
      <c r="E22" s="99">
        <f>D22*0.1</f>
        <v>1390</v>
      </c>
      <c r="F22" s="4">
        <v>0</v>
      </c>
      <c r="G22" s="4">
        <v>0.21</v>
      </c>
      <c r="H22" s="98">
        <f t="shared" ref="H22" si="22">G22*B22</f>
        <v>0.21</v>
      </c>
      <c r="I22" s="4">
        <f>H22*$C$2</f>
        <v>1817.55</v>
      </c>
      <c r="J22" s="51">
        <f>(D22+E22+F22+I22)*$C$3</f>
        <v>982.14444549999996</v>
      </c>
      <c r="K22" s="6"/>
      <c r="L22" s="137"/>
    </row>
    <row r="23" spans="1:12" ht="31.5" x14ac:dyDescent="0.5">
      <c r="A23" s="152" t="s">
        <v>331</v>
      </c>
      <c r="B23" s="151"/>
      <c r="C23" s="151"/>
      <c r="D23" s="2"/>
      <c r="E23" s="97"/>
      <c r="F23" s="151"/>
      <c r="G23" s="151"/>
      <c r="H23" s="96"/>
      <c r="I23" s="2"/>
      <c r="J23" s="52">
        <f>SUM(J24:J25)</f>
        <v>1961.1399524999999</v>
      </c>
      <c r="K23" s="10">
        <v>1830</v>
      </c>
      <c r="L23" s="221">
        <f t="shared" ref="L23" si="23">K23-J23</f>
        <v>-131.13995249999994</v>
      </c>
    </row>
    <row r="24" spans="1:12" x14ac:dyDescent="0.25">
      <c r="A24" s="17" t="s">
        <v>890</v>
      </c>
      <c r="B24" s="4">
        <v>1</v>
      </c>
      <c r="C24" s="4">
        <v>8000</v>
      </c>
      <c r="D24" s="4">
        <f t="shared" ref="D24:D25" si="24">B24*C24</f>
        <v>8000</v>
      </c>
      <c r="E24" s="99">
        <f>D24*0.1</f>
        <v>800</v>
      </c>
      <c r="F24" s="4">
        <v>3000</v>
      </c>
      <c r="G24" s="4">
        <v>0.15</v>
      </c>
      <c r="H24" s="98">
        <f t="shared" ref="H24:H25" si="25">G24*B24</f>
        <v>0.15</v>
      </c>
      <c r="I24" s="4">
        <f>H24*$C$2</f>
        <v>1298.25</v>
      </c>
      <c r="J24" s="51">
        <f>(D24+E24+F24+I24)*$C$3</f>
        <v>751.97053249999999</v>
      </c>
      <c r="K24" s="6"/>
      <c r="L24" s="137"/>
    </row>
    <row r="25" spans="1:12" x14ac:dyDescent="0.25">
      <c r="A25" s="17" t="s">
        <v>891</v>
      </c>
      <c r="B25" s="4">
        <v>2</v>
      </c>
      <c r="C25" s="4">
        <v>8000</v>
      </c>
      <c r="D25" s="4">
        <f t="shared" si="24"/>
        <v>16000</v>
      </c>
      <c r="E25" s="99">
        <f>D25*0.1</f>
        <v>1600</v>
      </c>
      <c r="F25" s="4"/>
      <c r="G25" s="4">
        <v>0.2</v>
      </c>
      <c r="H25" s="98">
        <f t="shared" si="25"/>
        <v>0.4</v>
      </c>
      <c r="I25" s="4">
        <f>H25*$C$2</f>
        <v>3462</v>
      </c>
      <c r="J25" s="51">
        <f>(D25+E25+F25+I25)*$C$3</f>
        <v>1209.1694199999999</v>
      </c>
      <c r="K25" s="6"/>
      <c r="L25" s="137"/>
    </row>
    <row r="26" spans="1:12" ht="31.5" x14ac:dyDescent="0.5">
      <c r="A26" s="152" t="s">
        <v>892</v>
      </c>
      <c r="B26" s="151"/>
      <c r="C26" s="151"/>
      <c r="D26" s="2"/>
      <c r="E26" s="97"/>
      <c r="F26" s="151"/>
      <c r="G26" s="151"/>
      <c r="H26" s="96"/>
      <c r="I26" s="2"/>
      <c r="J26" s="52">
        <f>J27</f>
        <v>513.23391800000002</v>
      </c>
      <c r="K26" s="10">
        <f>506+7</f>
        <v>513</v>
      </c>
      <c r="L26" s="221">
        <f t="shared" ref="L26" si="26">K26-J26</f>
        <v>-0.23391800000001695</v>
      </c>
    </row>
    <row r="27" spans="1:12" x14ac:dyDescent="0.25">
      <c r="A27" s="4" t="s">
        <v>57</v>
      </c>
      <c r="B27" s="4">
        <v>1</v>
      </c>
      <c r="C27" s="4">
        <v>6300</v>
      </c>
      <c r="D27" s="4">
        <f t="shared" ref="D27" si="27">B27*C27</f>
        <v>6300</v>
      </c>
      <c r="E27" s="99">
        <f>D27*0.1</f>
        <v>630</v>
      </c>
      <c r="F27" s="4">
        <f>2500/4</f>
        <v>625</v>
      </c>
      <c r="G27" s="4">
        <v>0.16</v>
      </c>
      <c r="H27" s="98">
        <f t="shared" ref="H27" si="28">G27*B27</f>
        <v>0.16</v>
      </c>
      <c r="I27" s="4">
        <f>H27*$C$2</f>
        <v>1384.8</v>
      </c>
      <c r="J27" s="51">
        <f>(D27+E27+F27+I27)*$C$3</f>
        <v>513.23391800000002</v>
      </c>
      <c r="K27" s="6"/>
      <c r="L27" s="137"/>
    </row>
    <row r="28" spans="1:12" ht="31.5" x14ac:dyDescent="0.5">
      <c r="A28" s="152" t="s">
        <v>893</v>
      </c>
      <c r="B28" s="151"/>
      <c r="C28" s="151"/>
      <c r="D28" s="2"/>
      <c r="E28" s="97"/>
      <c r="F28" s="151"/>
      <c r="G28" s="151"/>
      <c r="H28" s="96"/>
      <c r="I28" s="2"/>
      <c r="J28" s="52">
        <f>J29</f>
        <v>2101.4586040000004</v>
      </c>
      <c r="K28" s="10">
        <v>2105</v>
      </c>
      <c r="L28" s="221">
        <f t="shared" ref="L28" si="29">K28-J28</f>
        <v>3.5413959999996223</v>
      </c>
    </row>
    <row r="29" spans="1:12" x14ac:dyDescent="0.25">
      <c r="A29" s="4" t="s">
        <v>894</v>
      </c>
      <c r="B29" s="4">
        <v>1</v>
      </c>
      <c r="C29" s="4">
        <v>29500</v>
      </c>
      <c r="D29" s="4">
        <f t="shared" ref="D29" si="30">B29*C29</f>
        <v>29500</v>
      </c>
      <c r="E29" s="99">
        <f>D29*0.1</f>
        <v>2950</v>
      </c>
      <c r="F29" s="4">
        <v>0</v>
      </c>
      <c r="G29" s="4">
        <v>0.48</v>
      </c>
      <c r="H29" s="98">
        <f t="shared" ref="H29" si="31">G29*B29</f>
        <v>0.48</v>
      </c>
      <c r="I29" s="4">
        <f>H29*$C$2</f>
        <v>4154.3999999999996</v>
      </c>
      <c r="J29" s="51">
        <f>(D29+E29+F29+I29)*$C$3</f>
        <v>2101.4586040000004</v>
      </c>
      <c r="K29" s="6"/>
      <c r="L29" s="137"/>
    </row>
    <row r="50" spans="2:3" x14ac:dyDescent="0.25">
      <c r="B50" s="233">
        <f>'2итог'!L45+'3'!L30+'4'!L55+'5'!L44+'6'!L14+'8'!L12+'10'!L21+'12'!L34+'15'!L8+'16'!L10+'20'!L11+'22'!L6+'23'!L8+'27'!L13+'30'!L31+'31'!L37+'32'!L18+'34'!L16+'35'!L18+'42'!L6</f>
        <v>11.22031416666573</v>
      </c>
      <c r="C50" t="s">
        <v>896</v>
      </c>
    </row>
    <row r="64" spans="2:3" x14ac:dyDescent="0.25">
      <c r="B64" s="233">
        <f>'34'!L32+'36'!L15+'42'!L21</f>
        <v>-12.330452166666532</v>
      </c>
      <c r="C64" t="s">
        <v>900</v>
      </c>
    </row>
    <row r="65" spans="1:3" x14ac:dyDescent="0.25">
      <c r="A65" t="s">
        <v>887</v>
      </c>
      <c r="B65" s="233">
        <f>'42'!L13</f>
        <v>0.45487199999979566</v>
      </c>
      <c r="C65">
        <v>43</v>
      </c>
    </row>
    <row r="84" spans="1:3" x14ac:dyDescent="0.25">
      <c r="A84" t="s">
        <v>892</v>
      </c>
      <c r="B84" s="233">
        <f>'42'!L26</f>
        <v>-0.23391800000001695</v>
      </c>
      <c r="C84">
        <v>43</v>
      </c>
    </row>
    <row r="94" spans="1:3" x14ac:dyDescent="0.25">
      <c r="A94" t="s">
        <v>889</v>
      </c>
      <c r="B94" s="233">
        <f>'42'!L19</f>
        <v>-0.23391800000001695</v>
      </c>
      <c r="C94">
        <v>43</v>
      </c>
    </row>
    <row r="96" spans="1:3" x14ac:dyDescent="0.25">
      <c r="B96" s="233">
        <f>'12'!L6+'13'!L6+'14'!L17+'16'!L21+'17'!L13+'20'!L24+'21'!L22+'22'!L27+'26'!L8+'28'!L10+'29'!L27+'30'!L17+'31'!L31+'33'!L20+'37'!L24+'39'!L6+'40'!L27+'42'!L23</f>
        <v>-128.02903216666641</v>
      </c>
      <c r="C96" t="s">
        <v>899</v>
      </c>
    </row>
    <row r="105" spans="1:3" x14ac:dyDescent="0.25">
      <c r="B105" s="233">
        <f>'32'!L8+'35'!L16+'37'!L28+'39'!L13+'42'!L11</f>
        <v>6.0097999999998137</v>
      </c>
      <c r="C105" t="s">
        <v>898</v>
      </c>
    </row>
    <row r="110" spans="1:3" x14ac:dyDescent="0.25">
      <c r="A110" t="s">
        <v>888</v>
      </c>
      <c r="B110" s="233">
        <f>'42'!L16</f>
        <v>158.62328600000001</v>
      </c>
      <c r="C110">
        <v>43</v>
      </c>
    </row>
    <row r="127" spans="2:3" ht="43.5" customHeight="1" x14ac:dyDescent="0.25">
      <c r="B127" s="233">
        <f>'14'!L22+'15'!L24+'18'!L6+'21'!L18+'22'!L20+'23'!L12+'24'!L18+'27'!L17+'29'!L16+'31'!L22+'32'!L6+'33'!L16+'35'!L8+'40'!L18+'42'!L8</f>
        <v>0.3627319999993972</v>
      </c>
      <c r="C127" t="s">
        <v>897</v>
      </c>
    </row>
    <row r="181" spans="1:3" x14ac:dyDescent="0.25">
      <c r="A181" t="s">
        <v>893</v>
      </c>
      <c r="B181" s="233">
        <f>'42'!L28</f>
        <v>3.5413959999996223</v>
      </c>
      <c r="C181">
        <v>43</v>
      </c>
    </row>
  </sheetData>
  <hyperlinks>
    <hyperlink ref="A10" r:id="rId1" display="http://item2.gmarket.co.kr/English/detailview/item.aspx?goodscode=412197761"/>
    <hyperlink ref="A13" r:id="rId2" display="http://forum.sibmama.ru/viewtopic.php?t=715424&amp;start=25320"/>
    <hyperlink ref="A21" r:id="rId3" display="http://forum.sibmama.ru/viewtopic.php?t=715424&amp;start=25350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3"/>
  <sheetViews>
    <sheetView zoomScale="70" zoomScaleNormal="70" workbookViewId="0">
      <selection activeCell="A13" sqref="A13"/>
    </sheetView>
  </sheetViews>
  <sheetFormatPr defaultRowHeight="15" x14ac:dyDescent="0.25"/>
  <cols>
    <col min="1" max="1" width="34.7109375" customWidth="1"/>
    <col min="3" max="3" width="16.28515625" customWidth="1"/>
    <col min="11" max="12" width="11.5703125" customWidth="1"/>
  </cols>
  <sheetData>
    <row r="1" spans="1:12" ht="21" x14ac:dyDescent="0.35">
      <c r="A1" s="55" t="s">
        <v>281</v>
      </c>
      <c r="B1" s="4"/>
      <c r="C1" s="189">
        <v>42569</v>
      </c>
      <c r="D1" s="30"/>
    </row>
    <row r="2" spans="1:12" ht="21" x14ac:dyDescent="0.35">
      <c r="A2" s="55" t="s">
        <v>239</v>
      </c>
      <c r="B2" s="4"/>
      <c r="C2" s="16">
        <v>8610</v>
      </c>
      <c r="D2" s="30"/>
    </row>
    <row r="3" spans="1:12" ht="21" x14ac:dyDescent="0.35">
      <c r="A3" s="55" t="s">
        <v>240</v>
      </c>
      <c r="B3" s="4"/>
      <c r="C3" s="170">
        <v>5.629E-2</v>
      </c>
      <c r="D3" s="30"/>
    </row>
    <row r="4" spans="1:12" ht="15.75" thickBot="1" x14ac:dyDescent="0.3"/>
    <row r="5" spans="1:12" ht="60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644</v>
      </c>
      <c r="B6" s="151"/>
      <c r="C6" s="151"/>
      <c r="D6" s="2"/>
      <c r="E6" s="97"/>
      <c r="F6" s="156"/>
      <c r="G6" s="231"/>
      <c r="H6" s="96"/>
      <c r="I6" s="2"/>
      <c r="J6" s="52">
        <f>J7</f>
        <v>1133.9057600000001</v>
      </c>
      <c r="K6" s="10">
        <f>989+146</f>
        <v>1135</v>
      </c>
      <c r="L6" s="221">
        <f t="shared" ref="L6" si="0">K6-J6</f>
        <v>1.0942399999998997</v>
      </c>
    </row>
    <row r="7" spans="1:12" x14ac:dyDescent="0.25">
      <c r="A7" s="4" t="s">
        <v>489</v>
      </c>
      <c r="B7" s="4">
        <v>1</v>
      </c>
      <c r="C7" s="4">
        <v>6900</v>
      </c>
      <c r="D7" s="4">
        <f t="shared" ref="D7" si="1">B7*C7</f>
        <v>6900</v>
      </c>
      <c r="E7" s="99">
        <f>D7*0.1</f>
        <v>690</v>
      </c>
      <c r="F7" s="4">
        <v>500</v>
      </c>
      <c r="G7" s="4">
        <v>1.4</v>
      </c>
      <c r="H7" s="98">
        <f t="shared" ref="H7" si="2">G7*B7</f>
        <v>1.4</v>
      </c>
      <c r="I7" s="4">
        <f>H7*$C$2</f>
        <v>12054</v>
      </c>
      <c r="J7" s="51">
        <f>(D7+E7+F7+I7)*$C$3</f>
        <v>1133.9057600000001</v>
      </c>
      <c r="K7" s="6"/>
      <c r="L7" s="137"/>
    </row>
    <row r="8" spans="1:12" ht="31.5" x14ac:dyDescent="0.5">
      <c r="A8" s="152" t="s">
        <v>892</v>
      </c>
      <c r="B8" s="152"/>
      <c r="C8" s="151"/>
      <c r="D8" s="2"/>
      <c r="E8" s="97"/>
      <c r="F8" s="151"/>
      <c r="G8" s="151"/>
      <c r="H8" s="96"/>
      <c r="I8" s="2"/>
      <c r="J8" s="52">
        <f>SUM(J9:J10)</f>
        <v>1117.767417</v>
      </c>
      <c r="K8" s="10">
        <f>1103+15</f>
        <v>1118</v>
      </c>
      <c r="L8" s="221">
        <f t="shared" ref="L8" si="3">K8-J8</f>
        <v>0.23258299999997689</v>
      </c>
    </row>
    <row r="9" spans="1:12" x14ac:dyDescent="0.25">
      <c r="A9" s="4" t="s">
        <v>437</v>
      </c>
      <c r="B9" s="4">
        <v>1</v>
      </c>
      <c r="C9" s="4">
        <f>10900/2</f>
        <v>5450</v>
      </c>
      <c r="D9" s="4">
        <f t="shared" ref="D9:D10" si="4">B9*C9</f>
        <v>5450</v>
      </c>
      <c r="E9" s="99">
        <f>D9*0.1</f>
        <v>545</v>
      </c>
      <c r="F9" s="4">
        <f>2500/4</f>
        <v>625</v>
      </c>
      <c r="G9" s="4">
        <v>0.23</v>
      </c>
      <c r="H9" s="98">
        <f>G9*B9</f>
        <v>0.23</v>
      </c>
      <c r="I9" s="4">
        <f>H9*$C$2</f>
        <v>1980.3000000000002</v>
      </c>
      <c r="J9" s="51">
        <f>(D9+E9+F9+I9)*$C$3</f>
        <v>484.11088699999993</v>
      </c>
      <c r="K9" s="6"/>
      <c r="L9" s="137"/>
    </row>
    <row r="10" spans="1:12" x14ac:dyDescent="0.25">
      <c r="A10" s="4" t="s">
        <v>57</v>
      </c>
      <c r="B10" s="4">
        <v>1</v>
      </c>
      <c r="C10" s="4">
        <v>8100</v>
      </c>
      <c r="D10" s="4">
        <f t="shared" si="4"/>
        <v>8100</v>
      </c>
      <c r="E10" s="99">
        <f t="shared" ref="E10" si="5">D10*0.1</f>
        <v>810</v>
      </c>
      <c r="F10" s="4">
        <f>2500/4</f>
        <v>625</v>
      </c>
      <c r="G10" s="4">
        <v>0.2</v>
      </c>
      <c r="H10" s="98">
        <f t="shared" ref="H10" si="6">G10*B10</f>
        <v>0.2</v>
      </c>
      <c r="I10" s="4">
        <f t="shared" ref="I10" si="7">H10*$C$2</f>
        <v>1722</v>
      </c>
      <c r="J10" s="51">
        <f t="shared" ref="J10" si="8">(D10+E10+F10+I10)*$C$3</f>
        <v>633.65652999999998</v>
      </c>
      <c r="K10" s="6"/>
      <c r="L10" s="137"/>
    </row>
    <row r="11" spans="1:12" ht="31.5" x14ac:dyDescent="0.5">
      <c r="A11" s="152" t="s">
        <v>901</v>
      </c>
      <c r="B11" s="152"/>
      <c r="C11" s="152"/>
      <c r="D11" s="2"/>
      <c r="E11" s="97"/>
      <c r="F11" s="151"/>
      <c r="G11" s="151"/>
      <c r="H11" s="96"/>
      <c r="I11" s="2"/>
      <c r="J11" s="52">
        <f>SUM(J12:J12)</f>
        <v>562.25829399999998</v>
      </c>
      <c r="K11" s="10">
        <v>562</v>
      </c>
      <c r="L11" s="221">
        <f t="shared" ref="L11" si="9">K11-J11</f>
        <v>-0.25829399999997804</v>
      </c>
    </row>
    <row r="12" spans="1:12" x14ac:dyDescent="0.25">
      <c r="A12" s="4" t="s">
        <v>437</v>
      </c>
      <c r="B12" s="4">
        <v>1</v>
      </c>
      <c r="C12" s="21">
        <v>6500</v>
      </c>
      <c r="D12" s="4">
        <f t="shared" ref="D12" si="10">B12*C12</f>
        <v>6500</v>
      </c>
      <c r="E12" s="99">
        <f>D12*0.1</f>
        <v>650</v>
      </c>
      <c r="F12" s="4">
        <v>600</v>
      </c>
      <c r="G12" s="4">
        <v>0.26</v>
      </c>
      <c r="H12" s="98">
        <f t="shared" ref="H12" si="11">G12*B12</f>
        <v>0.26</v>
      </c>
      <c r="I12" s="4">
        <f>H12*$C$2</f>
        <v>2238.6</v>
      </c>
      <c r="J12" s="51">
        <f>(D12+E12+F12+I12)*$C$3</f>
        <v>562.25829399999998</v>
      </c>
      <c r="K12" s="6"/>
      <c r="L12" s="137"/>
    </row>
    <row r="13" spans="1:12" ht="31.5" x14ac:dyDescent="0.5">
      <c r="A13" s="152" t="s">
        <v>763</v>
      </c>
      <c r="B13" s="151"/>
      <c r="C13" s="151"/>
      <c r="D13" s="32"/>
      <c r="E13" s="92"/>
      <c r="F13" s="206"/>
      <c r="G13" s="151"/>
      <c r="H13" s="32"/>
      <c r="I13" s="2"/>
      <c r="J13" s="52">
        <f>SUM(J14:J23)</f>
        <v>2679.0381150000003</v>
      </c>
      <c r="K13" s="10">
        <v>3447</v>
      </c>
      <c r="L13" s="10">
        <f t="shared" ref="L13" si="12">K13-J13</f>
        <v>767.96188499999971</v>
      </c>
    </row>
    <row r="14" spans="1:12" x14ac:dyDescent="0.25">
      <c r="A14" s="4" t="s">
        <v>170</v>
      </c>
      <c r="B14" s="4">
        <v>1</v>
      </c>
      <c r="C14" s="4">
        <v>4900</v>
      </c>
      <c r="D14" s="37">
        <f t="shared" ref="D14:D16" si="13">B14*C14</f>
        <v>4900</v>
      </c>
      <c r="E14" s="39">
        <f t="shared" ref="E14:E22" si="14">D14*0.1</f>
        <v>490</v>
      </c>
      <c r="F14" s="60"/>
      <c r="G14" s="4">
        <v>0.1</v>
      </c>
      <c r="H14" s="37">
        <f t="shared" ref="H14:H16" si="15">G14*B14</f>
        <v>0.1</v>
      </c>
      <c r="I14" s="4">
        <f t="shared" ref="I14:I22" si="16">H14*$C$2</f>
        <v>861</v>
      </c>
      <c r="J14" s="51">
        <f t="shared" ref="J14:J22" si="17">(D14+E14+F14+I14)*$C$3</f>
        <v>351.86878999999999</v>
      </c>
      <c r="K14" s="6"/>
      <c r="L14" s="17"/>
    </row>
    <row r="15" spans="1:12" x14ac:dyDescent="0.25">
      <c r="A15" s="4" t="s">
        <v>902</v>
      </c>
      <c r="B15" s="4">
        <v>1</v>
      </c>
      <c r="C15" s="4">
        <v>2000</v>
      </c>
      <c r="D15" s="37">
        <f t="shared" si="13"/>
        <v>2000</v>
      </c>
      <c r="E15" s="39">
        <f t="shared" si="14"/>
        <v>200</v>
      </c>
      <c r="F15" s="60"/>
      <c r="G15" s="4">
        <v>0.1</v>
      </c>
      <c r="H15" s="37">
        <f t="shared" si="15"/>
        <v>0.1</v>
      </c>
      <c r="I15" s="4">
        <f t="shared" si="16"/>
        <v>861</v>
      </c>
      <c r="J15" s="51">
        <f t="shared" si="17"/>
        <v>172.30368999999999</v>
      </c>
      <c r="K15" s="6"/>
      <c r="L15" s="17"/>
    </row>
    <row r="16" spans="1:12" x14ac:dyDescent="0.25">
      <c r="A16" s="4" t="s">
        <v>902</v>
      </c>
      <c r="B16" s="4">
        <v>1</v>
      </c>
      <c r="C16" s="4">
        <v>2000</v>
      </c>
      <c r="D16" s="37">
        <f t="shared" si="13"/>
        <v>2000</v>
      </c>
      <c r="E16" s="39">
        <f t="shared" si="14"/>
        <v>200</v>
      </c>
      <c r="F16" s="60"/>
      <c r="G16" s="4">
        <v>0.1</v>
      </c>
      <c r="H16" s="37">
        <f t="shared" si="15"/>
        <v>0.1</v>
      </c>
      <c r="I16" s="4">
        <f t="shared" si="16"/>
        <v>861</v>
      </c>
      <c r="J16" s="51">
        <f t="shared" si="17"/>
        <v>172.30368999999999</v>
      </c>
      <c r="K16" s="6"/>
      <c r="L16" s="17"/>
    </row>
    <row r="17" spans="1:12" x14ac:dyDescent="0.25">
      <c r="A17" s="4" t="s">
        <v>199</v>
      </c>
      <c r="B17" s="4">
        <v>1</v>
      </c>
      <c r="C17" s="4">
        <v>6500</v>
      </c>
      <c r="D17" s="37">
        <f t="shared" ref="D17:D21" si="18">B17*C17</f>
        <v>6500</v>
      </c>
      <c r="E17" s="39">
        <f t="shared" si="14"/>
        <v>650</v>
      </c>
      <c r="F17" s="60"/>
      <c r="G17" s="4">
        <v>0.1</v>
      </c>
      <c r="H17" s="37">
        <f t="shared" ref="H17:H21" si="19">G17*B17</f>
        <v>0.1</v>
      </c>
      <c r="I17" s="4">
        <f t="shared" si="16"/>
        <v>861</v>
      </c>
      <c r="J17" s="51">
        <f t="shared" si="17"/>
        <v>450.93919</v>
      </c>
      <c r="K17" s="6"/>
      <c r="L17" s="17"/>
    </row>
    <row r="18" spans="1:12" x14ac:dyDescent="0.25">
      <c r="A18" s="18" t="s">
        <v>903</v>
      </c>
      <c r="B18" s="4">
        <v>1</v>
      </c>
      <c r="C18" s="4">
        <v>0</v>
      </c>
      <c r="D18" s="37">
        <f t="shared" si="18"/>
        <v>0</v>
      </c>
      <c r="E18" s="39">
        <f t="shared" si="14"/>
        <v>0</v>
      </c>
      <c r="F18" s="60"/>
      <c r="G18" s="4"/>
      <c r="H18" s="37">
        <f t="shared" si="19"/>
        <v>0</v>
      </c>
      <c r="I18" s="4">
        <f t="shared" si="16"/>
        <v>0</v>
      </c>
      <c r="J18" s="51">
        <f t="shared" si="17"/>
        <v>0</v>
      </c>
      <c r="K18" s="6"/>
      <c r="L18" s="17"/>
    </row>
    <row r="19" spans="1:12" x14ac:dyDescent="0.25">
      <c r="A19" s="4" t="s">
        <v>112</v>
      </c>
      <c r="B19" s="4">
        <v>1</v>
      </c>
      <c r="C19" s="4">
        <v>2500</v>
      </c>
      <c r="D19" s="37">
        <f t="shared" ref="D19" si="20">B19*C19</f>
        <v>2500</v>
      </c>
      <c r="E19" s="39">
        <f t="shared" si="14"/>
        <v>250</v>
      </c>
      <c r="F19" s="60"/>
      <c r="G19" s="4">
        <v>0.1</v>
      </c>
      <c r="H19" s="37">
        <f t="shared" ref="H19" si="21">G19*B19</f>
        <v>0.1</v>
      </c>
      <c r="I19" s="4">
        <f t="shared" si="16"/>
        <v>861</v>
      </c>
      <c r="J19" s="51">
        <f t="shared" si="17"/>
        <v>203.26319000000001</v>
      </c>
      <c r="K19" s="6"/>
      <c r="L19" s="17"/>
    </row>
    <row r="20" spans="1:12" x14ac:dyDescent="0.25">
      <c r="A20" s="18" t="s">
        <v>904</v>
      </c>
      <c r="B20" s="4">
        <v>1</v>
      </c>
      <c r="C20" s="4">
        <v>0</v>
      </c>
      <c r="D20" s="37">
        <f t="shared" si="18"/>
        <v>0</v>
      </c>
      <c r="E20" s="39">
        <f t="shared" si="14"/>
        <v>0</v>
      </c>
      <c r="F20" s="60"/>
      <c r="G20" s="4"/>
      <c r="H20" s="37">
        <f t="shared" si="19"/>
        <v>0</v>
      </c>
      <c r="I20" s="4">
        <f t="shared" si="16"/>
        <v>0</v>
      </c>
      <c r="J20" s="51">
        <f t="shared" si="17"/>
        <v>0</v>
      </c>
      <c r="K20" s="6"/>
      <c r="L20" s="17"/>
    </row>
    <row r="21" spans="1:12" x14ac:dyDescent="0.25">
      <c r="A21" s="4" t="s">
        <v>905</v>
      </c>
      <c r="B21" s="4">
        <v>2</v>
      </c>
      <c r="C21" s="4">
        <v>3000</v>
      </c>
      <c r="D21" s="37">
        <f t="shared" si="18"/>
        <v>6000</v>
      </c>
      <c r="E21" s="39">
        <f t="shared" si="14"/>
        <v>600</v>
      </c>
      <c r="F21" s="60"/>
      <c r="G21" s="4">
        <v>0.31</v>
      </c>
      <c r="H21" s="37">
        <f t="shared" si="19"/>
        <v>0.62</v>
      </c>
      <c r="I21" s="4">
        <f t="shared" si="16"/>
        <v>5338.2</v>
      </c>
      <c r="J21" s="51">
        <f t="shared" si="17"/>
        <v>672.00127800000007</v>
      </c>
      <c r="K21" s="6"/>
      <c r="L21" s="17"/>
    </row>
    <row r="22" spans="1:12" x14ac:dyDescent="0.25">
      <c r="A22" s="4" t="s">
        <v>53</v>
      </c>
      <c r="B22" s="4">
        <v>1</v>
      </c>
      <c r="C22" s="4">
        <v>8800</v>
      </c>
      <c r="D22" s="37">
        <f t="shared" ref="D22" si="22">B22*C22</f>
        <v>8800</v>
      </c>
      <c r="E22" s="39">
        <f t="shared" si="14"/>
        <v>880</v>
      </c>
      <c r="F22" s="60"/>
      <c r="G22" s="4">
        <v>0.23</v>
      </c>
      <c r="H22" s="37">
        <f t="shared" ref="H22" si="23">G22*B22</f>
        <v>0.23</v>
      </c>
      <c r="I22" s="4">
        <f t="shared" si="16"/>
        <v>1980.3000000000002</v>
      </c>
      <c r="J22" s="51">
        <f t="shared" si="17"/>
        <v>656.3582869999999</v>
      </c>
      <c r="K22" s="6"/>
      <c r="L22" s="17"/>
    </row>
    <row r="23" spans="1:12" x14ac:dyDescent="0.25">
      <c r="A23" s="17"/>
      <c r="B23" s="4"/>
      <c r="C23" s="4"/>
      <c r="D23" s="37"/>
      <c r="E23" s="39"/>
      <c r="F23" s="60"/>
      <c r="G23" s="4"/>
      <c r="H23" s="37"/>
      <c r="I23" s="4"/>
      <c r="J23" s="51"/>
      <c r="K23" s="6"/>
      <c r="L23" s="17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9"/>
  <sheetViews>
    <sheetView zoomScale="70" zoomScaleNormal="70" workbookViewId="0">
      <selection activeCell="A5" sqref="A5:XFD16"/>
    </sheetView>
  </sheetViews>
  <sheetFormatPr defaultRowHeight="15" x14ac:dyDescent="0.25"/>
  <cols>
    <col min="1" max="1" width="40.7109375" customWidth="1"/>
    <col min="3" max="3" width="16.28515625" customWidth="1"/>
    <col min="6" max="6" width="10.85546875" customWidth="1"/>
    <col min="11" max="12" width="11.5703125" customWidth="1"/>
  </cols>
  <sheetData>
    <row r="1" spans="1:12" ht="21" x14ac:dyDescent="0.35">
      <c r="A1" s="55" t="s">
        <v>281</v>
      </c>
      <c r="B1" s="4"/>
      <c r="C1" s="189">
        <v>42585</v>
      </c>
      <c r="D1" s="30"/>
    </row>
    <row r="2" spans="1:12" ht="21" x14ac:dyDescent="0.35">
      <c r="A2" s="55" t="s">
        <v>239</v>
      </c>
      <c r="B2" s="4"/>
      <c r="C2" s="16">
        <v>8350</v>
      </c>
      <c r="D2" s="30"/>
    </row>
    <row r="3" spans="1:12" ht="21" x14ac:dyDescent="0.35">
      <c r="A3" s="55" t="s">
        <v>240</v>
      </c>
      <c r="B3" s="4"/>
      <c r="C3" s="170">
        <v>6.0749999999999998E-2</v>
      </c>
      <c r="D3" s="30"/>
    </row>
    <row r="4" spans="1:12" ht="15.75" thickBot="1" x14ac:dyDescent="0.3"/>
    <row r="5" spans="1:12" ht="45" x14ac:dyDescent="0.25">
      <c r="A5" s="94">
        <v>44</v>
      </c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907</v>
      </c>
      <c r="B6" s="151"/>
      <c r="C6" s="151"/>
      <c r="D6" s="2"/>
      <c r="E6" s="2"/>
      <c r="F6" s="151"/>
      <c r="G6" s="151"/>
      <c r="H6" s="2"/>
      <c r="I6" s="2"/>
      <c r="J6" s="52">
        <f>J7</f>
        <v>475.36874999999998</v>
      </c>
      <c r="K6" s="10">
        <v>477</v>
      </c>
      <c r="L6" s="10">
        <f t="shared" ref="L6" si="0">K6-J6</f>
        <v>1.6312500000000227</v>
      </c>
    </row>
    <row r="7" spans="1:12" x14ac:dyDescent="0.25">
      <c r="A7" s="4" t="s">
        <v>908</v>
      </c>
      <c r="B7" s="4">
        <v>1</v>
      </c>
      <c r="C7" s="4">
        <v>5900</v>
      </c>
      <c r="D7" s="4">
        <f t="shared" ref="D7" si="1">B7*C7</f>
        <v>5900</v>
      </c>
      <c r="E7" s="4">
        <f>D7*0.1</f>
        <v>590</v>
      </c>
      <c r="F7" s="4">
        <v>500</v>
      </c>
      <c r="G7" s="4">
        <v>0.1</v>
      </c>
      <c r="H7" s="4">
        <f t="shared" ref="H7" si="2">G7*B7</f>
        <v>0.1</v>
      </c>
      <c r="I7" s="4">
        <f>H7*$C$2</f>
        <v>835</v>
      </c>
      <c r="J7" s="51">
        <f>(D7+E7+F7+I7)*$C$3</f>
        <v>475.36874999999998</v>
      </c>
      <c r="K7" s="6"/>
      <c r="L7" s="17"/>
    </row>
    <row r="8" spans="1:12" ht="31.5" x14ac:dyDescent="0.5">
      <c r="A8" s="152" t="s">
        <v>914</v>
      </c>
      <c r="B8" s="152"/>
      <c r="C8" s="152"/>
      <c r="D8" s="2"/>
      <c r="E8" s="2"/>
      <c r="F8" s="151"/>
      <c r="G8" s="151"/>
      <c r="H8" s="2"/>
      <c r="I8" s="2"/>
      <c r="J8" s="52">
        <f>SUM(J9:J9)</f>
        <v>953.34974999999997</v>
      </c>
      <c r="K8" s="10">
        <v>956</v>
      </c>
      <c r="L8" s="10">
        <f t="shared" ref="L8" si="3">K8-J8</f>
        <v>2.6502500000000282</v>
      </c>
    </row>
    <row r="9" spans="1:12" x14ac:dyDescent="0.25">
      <c r="A9" s="4" t="s">
        <v>915</v>
      </c>
      <c r="B9" s="4">
        <v>1</v>
      </c>
      <c r="C9" s="4">
        <v>12900</v>
      </c>
      <c r="D9" s="4">
        <f t="shared" ref="D9" si="4">B9*C9</f>
        <v>12900</v>
      </c>
      <c r="E9" s="4">
        <f>D9*0.1</f>
        <v>1290</v>
      </c>
      <c r="F9" s="4">
        <v>0</v>
      </c>
      <c r="G9" s="4">
        <v>0.18</v>
      </c>
      <c r="H9" s="4">
        <f>G9*B9</f>
        <v>0.18</v>
      </c>
      <c r="I9" s="4">
        <f>H9*$C$2</f>
        <v>1503</v>
      </c>
      <c r="J9" s="51">
        <f>(D9+E9+F9+I9)*$C$3</f>
        <v>953.34974999999997</v>
      </c>
      <c r="K9" s="6"/>
      <c r="L9" s="17"/>
    </row>
    <row r="10" spans="1:12" ht="31.5" x14ac:dyDescent="0.5">
      <c r="A10" s="152" t="s">
        <v>22</v>
      </c>
      <c r="B10" s="152"/>
      <c r="C10" s="152"/>
      <c r="D10" s="2"/>
      <c r="E10" s="2"/>
      <c r="F10" s="152"/>
      <c r="G10" s="152"/>
      <c r="H10" s="2"/>
      <c r="I10" s="2"/>
      <c r="J10" s="52">
        <f>SUM(J11:J11)</f>
        <v>530.226</v>
      </c>
      <c r="K10" s="10">
        <v>472</v>
      </c>
      <c r="L10" s="10">
        <f t="shared" ref="L10" si="5">K10-J10</f>
        <v>-58.225999999999999</v>
      </c>
    </row>
    <row r="11" spans="1:12" x14ac:dyDescent="0.25">
      <c r="A11" s="4" t="s">
        <v>437</v>
      </c>
      <c r="B11" s="4">
        <v>1</v>
      </c>
      <c r="C11" s="4">
        <v>5280</v>
      </c>
      <c r="D11" s="4">
        <f t="shared" ref="D11" si="6">B11*C11</f>
        <v>5280</v>
      </c>
      <c r="E11" s="4">
        <f>D11*0.1</f>
        <v>528</v>
      </c>
      <c r="F11" s="4">
        <v>1250</v>
      </c>
      <c r="G11" s="4">
        <v>0.2</v>
      </c>
      <c r="H11" s="4">
        <f t="shared" ref="H11" si="7">G11*B11</f>
        <v>0.2</v>
      </c>
      <c r="I11" s="4">
        <f>H11*$C$2</f>
        <v>1670</v>
      </c>
      <c r="J11" s="51">
        <f>(D11+E11+F11+I11)*$C$3</f>
        <v>530.226</v>
      </c>
      <c r="K11" s="6"/>
      <c r="L11" s="17"/>
    </row>
    <row r="12" spans="1:12" ht="31.5" x14ac:dyDescent="0.5">
      <c r="A12" s="152" t="s">
        <v>616</v>
      </c>
      <c r="B12" s="151"/>
      <c r="C12" s="151"/>
      <c r="D12" s="2"/>
      <c r="E12" s="2"/>
      <c r="F12" s="206"/>
      <c r="G12" s="151"/>
      <c r="H12" s="2"/>
      <c r="I12" s="2"/>
      <c r="J12" s="52">
        <f>SUM(J13:J19)</f>
        <v>5041.8247500000007</v>
      </c>
      <c r="K12" s="10"/>
      <c r="L12" s="10">
        <f t="shared" ref="L12" si="8">K12-J12</f>
        <v>-5041.8247500000007</v>
      </c>
    </row>
    <row r="13" spans="1:12" x14ac:dyDescent="0.25">
      <c r="A13" s="4" t="s">
        <v>916</v>
      </c>
      <c r="B13" s="4">
        <v>1</v>
      </c>
      <c r="C13" s="4">
        <v>12000</v>
      </c>
      <c r="D13" s="4">
        <f t="shared" ref="D13:D19" si="9">B13*C13</f>
        <v>12000</v>
      </c>
      <c r="E13" s="4">
        <f t="shared" ref="E13:E19" si="10">D13*0.1</f>
        <v>1200</v>
      </c>
      <c r="F13" s="4">
        <v>0</v>
      </c>
      <c r="G13" s="4">
        <v>0.1</v>
      </c>
      <c r="H13" s="4">
        <f t="shared" ref="H13:H19" si="11">G13*B13</f>
        <v>0.1</v>
      </c>
      <c r="I13" s="4">
        <f t="shared" ref="I13:I19" si="12">H13*$C$2</f>
        <v>835</v>
      </c>
      <c r="J13" s="51">
        <f t="shared" ref="J13:J19" si="13">(D13+E13+F13+I13)*$C$3</f>
        <v>852.62625000000003</v>
      </c>
      <c r="K13" s="6"/>
      <c r="L13" s="17"/>
    </row>
    <row r="14" spans="1:12" x14ac:dyDescent="0.25">
      <c r="A14" s="4" t="s">
        <v>909</v>
      </c>
      <c r="B14" s="4">
        <v>1</v>
      </c>
      <c r="C14" s="4">
        <v>9800</v>
      </c>
      <c r="D14" s="4">
        <f t="shared" si="9"/>
        <v>9800</v>
      </c>
      <c r="E14" s="4">
        <f t="shared" si="10"/>
        <v>980</v>
      </c>
      <c r="F14" s="4">
        <v>500</v>
      </c>
      <c r="G14" s="4">
        <v>0.38</v>
      </c>
      <c r="H14" s="4">
        <f t="shared" si="11"/>
        <v>0.38</v>
      </c>
      <c r="I14" s="4">
        <f t="shared" si="12"/>
        <v>3173</v>
      </c>
      <c r="J14" s="51">
        <f t="shared" si="13"/>
        <v>878.01974999999993</v>
      </c>
      <c r="K14" s="6"/>
      <c r="L14" s="17"/>
    </row>
    <row r="15" spans="1:12" x14ac:dyDescent="0.25">
      <c r="A15" s="4" t="s">
        <v>910</v>
      </c>
      <c r="B15" s="4">
        <v>1</v>
      </c>
      <c r="C15" s="4">
        <v>4900</v>
      </c>
      <c r="D15" s="4">
        <f t="shared" si="9"/>
        <v>4900</v>
      </c>
      <c r="E15" s="4">
        <f t="shared" si="10"/>
        <v>490</v>
      </c>
      <c r="F15" s="4">
        <v>500</v>
      </c>
      <c r="G15" s="4">
        <v>0.2</v>
      </c>
      <c r="H15" s="4">
        <f t="shared" si="11"/>
        <v>0.2</v>
      </c>
      <c r="I15" s="4">
        <f t="shared" si="12"/>
        <v>1670</v>
      </c>
      <c r="J15" s="51">
        <f t="shared" si="13"/>
        <v>459.27</v>
      </c>
      <c r="K15" s="6"/>
      <c r="L15" s="17"/>
    </row>
    <row r="16" spans="1:12" x14ac:dyDescent="0.25">
      <c r="A16" s="4" t="s">
        <v>911</v>
      </c>
      <c r="B16" s="4">
        <v>1</v>
      </c>
      <c r="C16" s="4">
        <v>10900</v>
      </c>
      <c r="D16" s="4">
        <f t="shared" si="9"/>
        <v>10900</v>
      </c>
      <c r="E16" s="4">
        <f t="shared" si="10"/>
        <v>1090</v>
      </c>
      <c r="F16" s="4">
        <v>0</v>
      </c>
      <c r="G16" s="4">
        <v>0.6</v>
      </c>
      <c r="H16" s="4">
        <f t="shared" si="11"/>
        <v>0.6</v>
      </c>
      <c r="I16" s="4">
        <f t="shared" si="12"/>
        <v>5010</v>
      </c>
      <c r="J16" s="51">
        <f t="shared" si="13"/>
        <v>1032.75</v>
      </c>
      <c r="K16" s="6"/>
      <c r="L16" s="17"/>
    </row>
    <row r="17" spans="1:12" x14ac:dyDescent="0.25">
      <c r="A17" s="4" t="s">
        <v>912</v>
      </c>
      <c r="B17" s="4">
        <v>3</v>
      </c>
      <c r="C17" s="234">
        <v>3000</v>
      </c>
      <c r="D17" s="4">
        <f t="shared" si="9"/>
        <v>9000</v>
      </c>
      <c r="E17" s="4">
        <f t="shared" si="10"/>
        <v>900</v>
      </c>
      <c r="F17" s="4">
        <v>0</v>
      </c>
      <c r="G17" s="4">
        <v>0.1</v>
      </c>
      <c r="H17" s="4">
        <f t="shared" si="11"/>
        <v>0.30000000000000004</v>
      </c>
      <c r="I17" s="4">
        <f t="shared" si="12"/>
        <v>2505.0000000000005</v>
      </c>
      <c r="J17" s="51">
        <f t="shared" si="13"/>
        <v>753.60374999999999</v>
      </c>
      <c r="K17" s="6"/>
      <c r="L17" s="17"/>
    </row>
    <row r="18" spans="1:12" x14ac:dyDescent="0.25">
      <c r="A18" s="18" t="s">
        <v>918</v>
      </c>
      <c r="B18" s="18">
        <v>0</v>
      </c>
      <c r="C18" s="18"/>
      <c r="D18" s="18"/>
      <c r="E18" s="18"/>
      <c r="F18" s="18"/>
      <c r="G18" s="4"/>
      <c r="H18" s="4"/>
      <c r="I18" s="4">
        <f t="shared" si="12"/>
        <v>0</v>
      </c>
      <c r="J18" s="51">
        <f t="shared" si="13"/>
        <v>0</v>
      </c>
      <c r="K18" s="6"/>
      <c r="L18" s="17"/>
    </row>
    <row r="19" spans="1:12" x14ac:dyDescent="0.25">
      <c r="A19" s="4" t="s">
        <v>913</v>
      </c>
      <c r="B19" s="4">
        <v>1</v>
      </c>
      <c r="C19" s="4">
        <v>12000</v>
      </c>
      <c r="D19" s="4">
        <f t="shared" si="9"/>
        <v>12000</v>
      </c>
      <c r="E19" s="4">
        <f t="shared" si="10"/>
        <v>1200</v>
      </c>
      <c r="F19" s="4">
        <v>1000</v>
      </c>
      <c r="G19" s="4">
        <v>0.4</v>
      </c>
      <c r="H19" s="4">
        <f t="shared" si="11"/>
        <v>0.4</v>
      </c>
      <c r="I19" s="4">
        <f t="shared" si="12"/>
        <v>3340</v>
      </c>
      <c r="J19" s="51">
        <f t="shared" si="13"/>
        <v>1065.5550000000001</v>
      </c>
      <c r="K19" s="6"/>
      <c r="L19" s="17"/>
    </row>
  </sheetData>
  <hyperlinks>
    <hyperlink ref="A6" r:id="rId1" display="http://forum.sibmama.ru/viewtopic.php?t=715424&amp;start=26430"/>
    <hyperlink ref="A8" r:id="rId2" display="http://forum.sibmama.ru/viewtopic.php?p=77935251"/>
    <hyperlink ref="A10" r:id="rId3" display="http://forum.sibmama.ru/viewtopic.php?p=78007979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5"/>
  <sheetViews>
    <sheetView zoomScale="80" zoomScaleNormal="80" workbookViewId="0">
      <selection activeCell="M17" sqref="M17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11" max="11" width="11.5703125" customWidth="1"/>
    <col min="12" max="12" width="10.85546875" customWidth="1"/>
  </cols>
  <sheetData>
    <row r="1" spans="1:12" ht="21" x14ac:dyDescent="0.35">
      <c r="A1" s="55" t="s">
        <v>281</v>
      </c>
      <c r="B1" s="4"/>
      <c r="C1" s="189">
        <v>42653</v>
      </c>
      <c r="D1" s="30"/>
    </row>
    <row r="2" spans="1:12" ht="21" x14ac:dyDescent="0.35">
      <c r="A2" s="55" t="s">
        <v>239</v>
      </c>
      <c r="B2" s="4"/>
      <c r="C2" s="16">
        <v>10050</v>
      </c>
      <c r="D2" s="30"/>
    </row>
    <row r="3" spans="1:12" ht="21" x14ac:dyDescent="0.35">
      <c r="A3" s="55" t="s">
        <v>240</v>
      </c>
      <c r="B3" s="4"/>
      <c r="C3" s="170">
        <v>5.6390000000000003E-2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919</v>
      </c>
      <c r="B6" s="152"/>
      <c r="C6" s="152"/>
      <c r="D6" s="2"/>
      <c r="E6" s="2"/>
      <c r="F6" s="152"/>
      <c r="G6" s="152"/>
      <c r="H6" s="2"/>
      <c r="I6" s="2"/>
      <c r="J6" s="52">
        <f>J7</f>
        <v>1023.87323</v>
      </c>
      <c r="K6" s="10">
        <v>1067</v>
      </c>
      <c r="L6" s="10">
        <f t="shared" ref="L6" si="0">K6-J6</f>
        <v>43.126769999999965</v>
      </c>
    </row>
    <row r="7" spans="1:12" x14ac:dyDescent="0.25">
      <c r="A7" s="4" t="s">
        <v>920</v>
      </c>
      <c r="B7" s="4">
        <v>1</v>
      </c>
      <c r="C7" s="4">
        <v>13400</v>
      </c>
      <c r="D7" s="4">
        <f t="shared" ref="D7" si="1">B7*C7</f>
        <v>13400</v>
      </c>
      <c r="E7" s="4">
        <f>D7*0.1</f>
        <v>1340</v>
      </c>
      <c r="F7" s="4"/>
      <c r="G7" s="4">
        <v>0.34</v>
      </c>
      <c r="H7" s="4">
        <f t="shared" ref="H7" si="2">G7*B7</f>
        <v>0.34</v>
      </c>
      <c r="I7" s="4">
        <f>H7*$C$2</f>
        <v>3417.0000000000005</v>
      </c>
      <c r="J7" s="51">
        <f>(D7+E7+F7+I7)*$C$3</f>
        <v>1023.87323</v>
      </c>
      <c r="K7" s="6"/>
      <c r="L7" s="17"/>
    </row>
    <row r="8" spans="1:12" ht="31.5" x14ac:dyDescent="0.5">
      <c r="A8" s="152" t="s">
        <v>827</v>
      </c>
      <c r="B8" s="152"/>
      <c r="C8" s="152"/>
      <c r="D8" s="2"/>
      <c r="E8" s="2"/>
      <c r="F8" s="152"/>
      <c r="G8" s="152"/>
      <c r="H8" s="2"/>
      <c r="I8" s="2"/>
      <c r="J8" s="52">
        <f>SUM(J9:J9)</f>
        <v>584.64024199999994</v>
      </c>
      <c r="K8" s="10">
        <v>590</v>
      </c>
      <c r="L8" s="10">
        <f t="shared" ref="L8" si="3">K8-J8</f>
        <v>5.3597580000000562</v>
      </c>
    </row>
    <row r="9" spans="1:12" x14ac:dyDescent="0.25">
      <c r="A9" s="4" t="s">
        <v>921</v>
      </c>
      <c r="B9" s="4">
        <v>1</v>
      </c>
      <c r="C9" s="4">
        <v>8000</v>
      </c>
      <c r="D9" s="4">
        <f t="shared" ref="D9" si="4">B9*C9</f>
        <v>8000</v>
      </c>
      <c r="E9" s="4">
        <f>D9*0.1</f>
        <v>800</v>
      </c>
      <c r="F9" s="4"/>
      <c r="G9" s="4">
        <v>0.156</v>
      </c>
      <c r="H9" s="4">
        <f>G9*B9</f>
        <v>0.156</v>
      </c>
      <c r="I9" s="4">
        <f>H9*$C$2</f>
        <v>1567.8</v>
      </c>
      <c r="J9" s="51">
        <f>(D9+E9+F9+I9)*$C$3</f>
        <v>584.64024199999994</v>
      </c>
      <c r="K9" s="6"/>
      <c r="L9" s="17"/>
    </row>
    <row r="10" spans="1:12" ht="31.5" x14ac:dyDescent="0.5">
      <c r="A10" s="152" t="s">
        <v>841</v>
      </c>
      <c r="B10" s="152"/>
      <c r="C10" s="152"/>
      <c r="D10" s="2"/>
      <c r="E10" s="2"/>
      <c r="F10" s="152"/>
      <c r="G10" s="152"/>
      <c r="H10" s="2"/>
      <c r="I10" s="2"/>
      <c r="J10" s="52">
        <f>SUM(J11:J11)</f>
        <v>676.42624499999999</v>
      </c>
      <c r="K10" s="10">
        <v>685</v>
      </c>
      <c r="L10" s="10">
        <f t="shared" ref="L10" si="5">K10-J10</f>
        <v>8.5737550000000056</v>
      </c>
    </row>
    <row r="11" spans="1:12" x14ac:dyDescent="0.25">
      <c r="A11" s="4" t="s">
        <v>922</v>
      </c>
      <c r="B11" s="4">
        <v>1</v>
      </c>
      <c r="C11" s="4">
        <v>9900</v>
      </c>
      <c r="D11" s="4">
        <f t="shared" ref="D11" si="6">B11*C11</f>
        <v>9900</v>
      </c>
      <c r="E11" s="4">
        <f>D11*0.1</f>
        <v>990</v>
      </c>
      <c r="F11" s="4"/>
      <c r="G11" s="4">
        <v>0.11</v>
      </c>
      <c r="H11" s="4">
        <f t="shared" ref="H11" si="7">G11*B11</f>
        <v>0.11</v>
      </c>
      <c r="I11" s="4">
        <f>H11*$C$2</f>
        <v>1105.5</v>
      </c>
      <c r="J11" s="51">
        <f>(D11+E11+F11+I11)*$C$3</f>
        <v>676.42624499999999</v>
      </c>
      <c r="K11" s="6"/>
      <c r="L11" s="17"/>
    </row>
    <row r="12" spans="1:12" ht="31.5" x14ac:dyDescent="0.5">
      <c r="A12" s="152" t="s">
        <v>22</v>
      </c>
      <c r="B12" s="152"/>
      <c r="C12" s="152"/>
      <c r="D12" s="2"/>
      <c r="E12" s="2"/>
      <c r="F12" s="152"/>
      <c r="G12" s="152"/>
      <c r="H12" s="2"/>
      <c r="I12" s="2"/>
      <c r="J12" s="52">
        <f>J13</f>
        <v>986.03554000000008</v>
      </c>
      <c r="K12" s="10">
        <f>965+21</f>
        <v>986</v>
      </c>
      <c r="L12" s="10">
        <f t="shared" ref="L12" si="8">K12-J12</f>
        <v>-3.5540000000082728E-2</v>
      </c>
    </row>
    <row r="13" spans="1:12" x14ac:dyDescent="0.25">
      <c r="A13" s="21" t="s">
        <v>67</v>
      </c>
      <c r="B13" s="4">
        <v>1</v>
      </c>
      <c r="C13" s="21">
        <v>14800</v>
      </c>
      <c r="D13" s="4">
        <f t="shared" ref="D13" si="9">B13*C13</f>
        <v>14800</v>
      </c>
      <c r="E13" s="4">
        <f>D13*0.1</f>
        <v>1480</v>
      </c>
      <c r="F13" s="4"/>
      <c r="G13" s="21">
        <v>0.12</v>
      </c>
      <c r="H13" s="4">
        <f t="shared" ref="H13" si="10">G13*B13</f>
        <v>0.12</v>
      </c>
      <c r="I13" s="4">
        <f>H13*$C$2</f>
        <v>1206</v>
      </c>
      <c r="J13" s="51">
        <f>(D13+E13+F13+I13)*$C$3</f>
        <v>986.03554000000008</v>
      </c>
      <c r="K13" s="6"/>
      <c r="L13" s="17"/>
    </row>
    <row r="14" spans="1:12" ht="31.5" x14ac:dyDescent="0.5">
      <c r="A14" s="152" t="s">
        <v>364</v>
      </c>
      <c r="B14" s="152"/>
      <c r="C14" s="152"/>
      <c r="D14" s="2"/>
      <c r="E14" s="2"/>
      <c r="F14" s="152"/>
      <c r="G14" s="152"/>
      <c r="H14" s="2"/>
      <c r="I14" s="2"/>
      <c r="J14" s="52">
        <f>SUM(J15:J19)</f>
        <v>2225.1775950000001</v>
      </c>
      <c r="K14" s="10">
        <f>2209+19</f>
        <v>2228</v>
      </c>
      <c r="L14" s="10">
        <f t="shared" ref="L14" si="11">K14-J14</f>
        <v>2.8224049999998897</v>
      </c>
    </row>
    <row r="15" spans="1:12" x14ac:dyDescent="0.25">
      <c r="A15" s="4" t="s">
        <v>923</v>
      </c>
      <c r="B15" s="4">
        <v>1</v>
      </c>
      <c r="C15" s="4">
        <v>9900</v>
      </c>
      <c r="D15" s="4">
        <f t="shared" ref="D15:D19" si="12">B15*C15</f>
        <v>9900</v>
      </c>
      <c r="E15" s="4">
        <f t="shared" ref="E15:E19" si="13">D15*0.1</f>
        <v>990</v>
      </c>
      <c r="F15" s="4"/>
      <c r="G15" s="4">
        <v>0.14000000000000001</v>
      </c>
      <c r="H15" s="4">
        <f t="shared" ref="H15:H19" si="14">G15*B15</f>
        <v>0.14000000000000001</v>
      </c>
      <c r="I15" s="4">
        <f t="shared" ref="I15:I19" si="15">H15*$C$2</f>
        <v>1407.0000000000002</v>
      </c>
      <c r="J15" s="51">
        <f t="shared" ref="J15:J19" si="16">(D15+E15+F15+I15)*$C$3</f>
        <v>693.42783000000009</v>
      </c>
      <c r="K15" s="6"/>
      <c r="L15" s="17"/>
    </row>
    <row r="16" spans="1:12" x14ac:dyDescent="0.25">
      <c r="A16" s="4" t="s">
        <v>922</v>
      </c>
      <c r="B16" s="4">
        <v>1</v>
      </c>
      <c r="C16" s="4">
        <v>9900</v>
      </c>
      <c r="D16" s="4">
        <f t="shared" si="12"/>
        <v>9900</v>
      </c>
      <c r="E16" s="4">
        <f t="shared" si="13"/>
        <v>990</v>
      </c>
      <c r="F16" s="4"/>
      <c r="G16" s="4">
        <v>0.11</v>
      </c>
      <c r="H16" s="4">
        <f t="shared" si="14"/>
        <v>0.11</v>
      </c>
      <c r="I16" s="4">
        <f t="shared" si="15"/>
        <v>1105.5</v>
      </c>
      <c r="J16" s="51">
        <f t="shared" si="16"/>
        <v>676.42624499999999</v>
      </c>
      <c r="K16" s="6"/>
      <c r="L16" s="17"/>
    </row>
    <row r="17" spans="1:12" x14ac:dyDescent="0.25">
      <c r="A17" s="4" t="s">
        <v>620</v>
      </c>
      <c r="B17" s="4">
        <v>1</v>
      </c>
      <c r="C17" s="4">
        <v>2000</v>
      </c>
      <c r="D17" s="4">
        <f t="shared" ref="D17" si="17">B17*C17</f>
        <v>2000</v>
      </c>
      <c r="E17" s="4">
        <f t="shared" ref="E17" si="18">D17*0.1</f>
        <v>200</v>
      </c>
      <c r="F17" s="4"/>
      <c r="G17" s="4">
        <v>0.05</v>
      </c>
      <c r="H17" s="4">
        <f t="shared" ref="H17" si="19">G17*B17</f>
        <v>0.05</v>
      </c>
      <c r="I17" s="4">
        <f t="shared" ref="I17" si="20">H17*$C$2</f>
        <v>502.5</v>
      </c>
      <c r="J17" s="51">
        <f t="shared" ref="J17" si="21">(D17+E17+F17+I17)*$C$3</f>
        <v>152.39397500000001</v>
      </c>
      <c r="K17" s="6"/>
      <c r="L17" s="17"/>
    </row>
    <row r="18" spans="1:12" x14ac:dyDescent="0.25">
      <c r="A18" s="4" t="s">
        <v>256</v>
      </c>
      <c r="B18" s="4">
        <v>1</v>
      </c>
      <c r="C18" s="4">
        <v>6000</v>
      </c>
      <c r="D18" s="4">
        <f t="shared" si="12"/>
        <v>6000</v>
      </c>
      <c r="E18" s="4">
        <f t="shared" si="13"/>
        <v>600</v>
      </c>
      <c r="F18" s="4"/>
      <c r="G18" s="4">
        <v>0.21</v>
      </c>
      <c r="H18" s="4">
        <f t="shared" si="14"/>
        <v>0.21</v>
      </c>
      <c r="I18" s="4">
        <f t="shared" si="15"/>
        <v>2110.5</v>
      </c>
      <c r="J18" s="51">
        <f t="shared" si="16"/>
        <v>491.18509500000005</v>
      </c>
      <c r="K18" s="6"/>
      <c r="L18" s="17"/>
    </row>
    <row r="19" spans="1:12" x14ac:dyDescent="0.25">
      <c r="A19" s="4" t="s">
        <v>924</v>
      </c>
      <c r="B19" s="4">
        <v>1</v>
      </c>
      <c r="C19" s="4">
        <v>2500</v>
      </c>
      <c r="D19" s="4">
        <f t="shared" si="12"/>
        <v>2500</v>
      </c>
      <c r="E19" s="4">
        <f t="shared" si="13"/>
        <v>250</v>
      </c>
      <c r="F19" s="4"/>
      <c r="G19" s="4">
        <v>0.1</v>
      </c>
      <c r="H19" s="4">
        <f t="shared" si="14"/>
        <v>0.1</v>
      </c>
      <c r="I19" s="4">
        <f t="shared" si="15"/>
        <v>1005</v>
      </c>
      <c r="J19" s="51">
        <f t="shared" si="16"/>
        <v>211.74445</v>
      </c>
      <c r="K19" s="6"/>
      <c r="L19" s="17"/>
    </row>
    <row r="20" spans="1:12" ht="31.5" x14ac:dyDescent="0.5">
      <c r="A20" s="152" t="s">
        <v>763</v>
      </c>
      <c r="B20" s="152"/>
      <c r="C20" s="152"/>
      <c r="D20" s="2"/>
      <c r="E20" s="2"/>
      <c r="F20" s="152"/>
      <c r="G20" s="152"/>
      <c r="H20" s="2"/>
      <c r="I20" s="2"/>
      <c r="J20" s="52">
        <f>SUM(J21:J22)</f>
        <v>1136.8224</v>
      </c>
      <c r="K20" s="10">
        <v>425</v>
      </c>
      <c r="L20" s="10">
        <f t="shared" ref="L20" si="22">K20-J20</f>
        <v>-711.82240000000002</v>
      </c>
    </row>
    <row r="21" spans="1:12" x14ac:dyDescent="0.25">
      <c r="A21" s="4" t="s">
        <v>925</v>
      </c>
      <c r="B21" s="4">
        <v>1</v>
      </c>
      <c r="C21" s="4">
        <v>6900</v>
      </c>
      <c r="D21" s="4">
        <f t="shared" ref="D21:D22" si="23">B21*C21</f>
        <v>6900</v>
      </c>
      <c r="E21" s="4">
        <f t="shared" ref="E21:E22" si="24">D21*0.1</f>
        <v>690</v>
      </c>
      <c r="F21" s="4"/>
      <c r="G21" s="4">
        <v>0.1</v>
      </c>
      <c r="H21" s="4">
        <f t="shared" ref="H21:H22" si="25">G21*B21</f>
        <v>0.1</v>
      </c>
      <c r="I21" s="4">
        <f t="shared" ref="I21" si="26">H21*$C$2</f>
        <v>1005</v>
      </c>
      <c r="J21" s="51">
        <f t="shared" ref="J21" si="27">(D21+E21+F21+I21)*$C$3</f>
        <v>484.67205000000001</v>
      </c>
      <c r="K21" s="6"/>
      <c r="L21" s="17"/>
    </row>
    <row r="22" spans="1:12" x14ac:dyDescent="0.25">
      <c r="A22" s="4" t="s">
        <v>926</v>
      </c>
      <c r="B22" s="4">
        <v>1</v>
      </c>
      <c r="C22" s="4">
        <v>5500</v>
      </c>
      <c r="D22" s="4">
        <f t="shared" si="23"/>
        <v>5500</v>
      </c>
      <c r="E22" s="4">
        <f t="shared" si="24"/>
        <v>550</v>
      </c>
      <c r="F22" s="4">
        <v>2500</v>
      </c>
      <c r="G22" s="4">
        <v>0.3</v>
      </c>
      <c r="H22" s="4">
        <f t="shared" si="25"/>
        <v>0.3</v>
      </c>
      <c r="I22" s="4">
        <f>H22*$C$2</f>
        <v>3015</v>
      </c>
      <c r="J22" s="51">
        <f>(D22+E22+F22+I22)*$C$3</f>
        <v>652.15035</v>
      </c>
      <c r="K22" s="6"/>
      <c r="L22" s="17"/>
    </row>
    <row r="23" spans="1:12" ht="31.5" x14ac:dyDescent="0.5">
      <c r="A23" s="152" t="s">
        <v>927</v>
      </c>
      <c r="B23" s="152"/>
      <c r="C23" s="152"/>
      <c r="D23" s="2"/>
      <c r="E23" s="2"/>
      <c r="F23" s="152"/>
      <c r="G23" s="152"/>
      <c r="H23" s="2"/>
      <c r="I23" s="2"/>
      <c r="J23" s="52">
        <f>SUM(J24:J25)</f>
        <v>1804.677365</v>
      </c>
      <c r="K23" s="10">
        <f>1680+125</f>
        <v>1805</v>
      </c>
      <c r="L23" s="10">
        <f t="shared" ref="L23" si="28">K23-J23</f>
        <v>0.32263499999999112</v>
      </c>
    </row>
    <row r="24" spans="1:12" x14ac:dyDescent="0.25">
      <c r="A24" s="4" t="s">
        <v>928</v>
      </c>
      <c r="B24" s="4">
        <v>1</v>
      </c>
      <c r="C24" s="4">
        <v>12400</v>
      </c>
      <c r="D24" s="4">
        <f t="shared" ref="D24:D25" si="29">B24*C24</f>
        <v>12400</v>
      </c>
      <c r="E24" s="4">
        <f t="shared" ref="E24:E25" si="30">D24*0.1</f>
        <v>1240</v>
      </c>
      <c r="F24" s="4"/>
      <c r="G24" s="4">
        <v>0.28999999999999998</v>
      </c>
      <c r="H24" s="4">
        <f t="shared" ref="H24:H25" si="31">G24*B24</f>
        <v>0.28999999999999998</v>
      </c>
      <c r="I24" s="4">
        <f t="shared" ref="I24:I25" si="32">H24*$C$2</f>
        <v>2914.5</v>
      </c>
      <c r="J24" s="51">
        <f t="shared" ref="J24:J25" si="33">(D24+E24+F24+I24)*$C$3</f>
        <v>933.50825500000008</v>
      </c>
      <c r="K24" s="6"/>
      <c r="L24" s="17"/>
    </row>
    <row r="25" spans="1:12" x14ac:dyDescent="0.25">
      <c r="A25" s="4" t="s">
        <v>467</v>
      </c>
      <c r="B25" s="4">
        <v>1</v>
      </c>
      <c r="C25" s="4">
        <v>12400</v>
      </c>
      <c r="D25" s="4">
        <f t="shared" si="29"/>
        <v>12400</v>
      </c>
      <c r="E25" s="4">
        <f t="shared" si="30"/>
        <v>1240</v>
      </c>
      <c r="F25" s="4"/>
      <c r="G25" s="4">
        <v>0.18</v>
      </c>
      <c r="H25" s="4">
        <f t="shared" si="31"/>
        <v>0.18</v>
      </c>
      <c r="I25" s="4">
        <f t="shared" si="32"/>
        <v>1809</v>
      </c>
      <c r="J25" s="51">
        <f t="shared" si="33"/>
        <v>871.16911000000005</v>
      </c>
      <c r="K25" s="6"/>
      <c r="L25" s="17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0"/>
  <sheetViews>
    <sheetView zoomScale="80" zoomScaleNormal="80" workbookViewId="0">
      <selection sqref="A1:XFD1048576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11" max="11" width="11.5703125" customWidth="1"/>
    <col min="12" max="12" width="10.85546875" customWidth="1"/>
  </cols>
  <sheetData>
    <row r="1" spans="1:13" ht="21" x14ac:dyDescent="0.35">
      <c r="A1" s="55" t="s">
        <v>281</v>
      </c>
      <c r="B1" s="4"/>
      <c r="C1" s="189">
        <v>42653</v>
      </c>
      <c r="D1" s="30"/>
    </row>
    <row r="2" spans="1:13" ht="21" x14ac:dyDescent="0.35">
      <c r="A2" s="55" t="s">
        <v>239</v>
      </c>
      <c r="B2" s="4"/>
      <c r="C2" s="16">
        <v>8670</v>
      </c>
      <c r="D2" s="30"/>
    </row>
    <row r="3" spans="1:13" ht="21" x14ac:dyDescent="0.35">
      <c r="A3" s="55" t="s">
        <v>240</v>
      </c>
      <c r="B3" s="4"/>
      <c r="C3" s="170">
        <v>5.7279999999999998E-2</v>
      </c>
      <c r="D3" s="30"/>
    </row>
    <row r="4" spans="1:13" ht="15.75" thickBot="1" x14ac:dyDescent="0.3"/>
    <row r="5" spans="1:13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3" ht="31.5" x14ac:dyDescent="0.5">
      <c r="A6" s="152" t="s">
        <v>931</v>
      </c>
      <c r="B6" s="152"/>
      <c r="C6" s="152"/>
      <c r="D6" s="2"/>
      <c r="E6" s="2"/>
      <c r="F6" s="152"/>
      <c r="G6" s="152"/>
      <c r="H6" s="2"/>
      <c r="I6" s="2"/>
      <c r="J6" s="52">
        <f>J7</f>
        <v>2132.9639999999999</v>
      </c>
      <c r="K6" s="10">
        <f>1334+799</f>
        <v>2133</v>
      </c>
      <c r="L6" s="10">
        <f t="shared" ref="L6" si="0">K6-J6</f>
        <v>3.6000000000058208E-2</v>
      </c>
    </row>
    <row r="7" spans="1:13" x14ac:dyDescent="0.25">
      <c r="A7" s="4" t="s">
        <v>932</v>
      </c>
      <c r="B7" s="4">
        <v>2</v>
      </c>
      <c r="C7" s="5">
        <v>12000</v>
      </c>
      <c r="D7" s="4">
        <f t="shared" ref="D7" si="1">B7*C7</f>
        <v>24000</v>
      </c>
      <c r="E7" s="4">
        <f>D7*0.1</f>
        <v>2400</v>
      </c>
      <c r="F7" s="4"/>
      <c r="G7" s="4">
        <v>1.25</v>
      </c>
      <c r="H7" s="4">
        <v>1.25</v>
      </c>
      <c r="I7" s="4">
        <f>H7*$C$2</f>
        <v>10837.5</v>
      </c>
      <c r="J7" s="51">
        <f>(D7+E7+F7+I7)*$C$3</f>
        <v>2132.9639999999999</v>
      </c>
      <c r="K7" s="6"/>
      <c r="L7" s="17"/>
      <c r="M7" t="s">
        <v>949</v>
      </c>
    </row>
    <row r="8" spans="1:13" ht="31.5" x14ac:dyDescent="0.5">
      <c r="A8" s="152" t="s">
        <v>933</v>
      </c>
      <c r="B8" s="152"/>
      <c r="C8" s="152"/>
      <c r="D8" s="2"/>
      <c r="E8" s="2"/>
      <c r="F8" s="152"/>
      <c r="G8" s="152"/>
      <c r="H8" s="2"/>
      <c r="I8" s="2"/>
      <c r="J8" s="52">
        <f>SUM(J9:J9)</f>
        <v>917.092896</v>
      </c>
      <c r="K8" s="10">
        <v>917</v>
      </c>
      <c r="L8" s="10">
        <f t="shared" ref="L8" si="2">K8-J8</f>
        <v>-9.2895999999996093E-2</v>
      </c>
    </row>
    <row r="9" spans="1:13" x14ac:dyDescent="0.25">
      <c r="A9" s="4" t="s">
        <v>934</v>
      </c>
      <c r="B9" s="4">
        <v>1</v>
      </c>
      <c r="C9" s="4">
        <v>12900</v>
      </c>
      <c r="D9" s="4">
        <f t="shared" ref="D9" si="3">B9*C9</f>
        <v>12900</v>
      </c>
      <c r="E9" s="4">
        <f>D9*0.1</f>
        <v>1290</v>
      </c>
      <c r="F9" s="4"/>
      <c r="G9" s="4">
        <v>0.21</v>
      </c>
      <c r="H9" s="4">
        <f>G9*B9</f>
        <v>0.21</v>
      </c>
      <c r="I9" s="4">
        <f>H9*$C$2</f>
        <v>1820.7</v>
      </c>
      <c r="J9" s="51">
        <f>(D9+E9+F9+I9)*$C$3</f>
        <v>917.092896</v>
      </c>
      <c r="K9" s="6"/>
      <c r="L9" s="17"/>
    </row>
    <row r="10" spans="1:13" ht="31.5" x14ac:dyDescent="0.5">
      <c r="A10" s="152" t="s">
        <v>935</v>
      </c>
      <c r="B10" s="152"/>
      <c r="C10" s="152"/>
      <c r="D10" s="2"/>
      <c r="E10" s="2"/>
      <c r="F10" s="152"/>
      <c r="G10" s="152"/>
      <c r="H10" s="2"/>
      <c r="I10" s="2"/>
      <c r="J10" s="52">
        <f>SUM(J11:J14)</f>
        <v>1548.8798400000001</v>
      </c>
      <c r="K10" s="10">
        <f>1485+64</f>
        <v>1549</v>
      </c>
      <c r="L10" s="10">
        <f t="shared" ref="L10" si="4">K10-J10</f>
        <v>0.12015999999994165</v>
      </c>
    </row>
    <row r="11" spans="1:13" x14ac:dyDescent="0.25">
      <c r="A11" s="4" t="s">
        <v>936</v>
      </c>
      <c r="B11" s="4">
        <v>10</v>
      </c>
      <c r="C11" s="4">
        <v>500</v>
      </c>
      <c r="D11" s="4">
        <f t="shared" ref="D11:D14" si="5">B11*C11</f>
        <v>5000</v>
      </c>
      <c r="E11" s="4">
        <f t="shared" ref="E11:E14" si="6">D11*0.1</f>
        <v>500</v>
      </c>
      <c r="F11" s="4"/>
      <c r="G11" s="4"/>
      <c r="H11" s="4">
        <v>0.21</v>
      </c>
      <c r="I11" s="4">
        <f t="shared" ref="I11" si="7">H11*$C$2</f>
        <v>1820.7</v>
      </c>
      <c r="J11" s="51">
        <f t="shared" ref="J11" si="8">(D11+E11+F11+I11)*$C$3</f>
        <v>419.32969599999996</v>
      </c>
      <c r="K11" s="6"/>
      <c r="L11" s="17"/>
      <c r="M11" t="s">
        <v>950</v>
      </c>
    </row>
    <row r="12" spans="1:13" x14ac:dyDescent="0.25">
      <c r="A12" s="4" t="s">
        <v>945</v>
      </c>
      <c r="B12" s="4">
        <v>1</v>
      </c>
      <c r="C12" s="4">
        <v>2550</v>
      </c>
      <c r="D12" s="4">
        <f t="shared" si="5"/>
        <v>2550</v>
      </c>
      <c r="E12" s="4">
        <f t="shared" si="6"/>
        <v>255</v>
      </c>
      <c r="F12" s="4">
        <v>500</v>
      </c>
      <c r="G12" s="4">
        <v>0.1</v>
      </c>
      <c r="H12" s="4">
        <f t="shared" ref="H12" si="9">G12*B12</f>
        <v>0.1</v>
      </c>
      <c r="I12" s="4">
        <f t="shared" ref="I12:I13" si="10">H12*$C$2</f>
        <v>867</v>
      </c>
      <c r="J12" s="51">
        <f t="shared" ref="J12:J13" si="11">(D12+E12+F12+I12)*$C$3</f>
        <v>238.97216</v>
      </c>
      <c r="K12" s="6"/>
      <c r="L12" s="17"/>
    </row>
    <row r="13" spans="1:13" x14ac:dyDescent="0.25">
      <c r="A13" s="4" t="s">
        <v>261</v>
      </c>
      <c r="B13" s="4">
        <v>1</v>
      </c>
      <c r="C13" s="4">
        <v>6200</v>
      </c>
      <c r="D13" s="4">
        <f t="shared" si="5"/>
        <v>6200</v>
      </c>
      <c r="E13" s="4">
        <f t="shared" si="6"/>
        <v>620</v>
      </c>
      <c r="F13" s="4">
        <v>500</v>
      </c>
      <c r="G13" s="4">
        <v>0.2</v>
      </c>
      <c r="H13" s="4">
        <f t="shared" ref="H13" si="12">G13*B13</f>
        <v>0.2</v>
      </c>
      <c r="I13" s="4">
        <f t="shared" si="10"/>
        <v>1734</v>
      </c>
      <c r="J13" s="51">
        <f t="shared" si="11"/>
        <v>518.61311999999998</v>
      </c>
      <c r="K13" s="6"/>
      <c r="L13" s="17"/>
    </row>
    <row r="14" spans="1:13" x14ac:dyDescent="0.25">
      <c r="A14" s="4" t="s">
        <v>273</v>
      </c>
      <c r="B14" s="4">
        <v>1</v>
      </c>
      <c r="C14" s="4">
        <v>4800</v>
      </c>
      <c r="D14" s="4">
        <f t="shared" si="5"/>
        <v>4800</v>
      </c>
      <c r="E14" s="4">
        <f t="shared" si="6"/>
        <v>480</v>
      </c>
      <c r="F14" s="4"/>
      <c r="G14" s="4">
        <v>0.14000000000000001</v>
      </c>
      <c r="H14" s="4">
        <f>G14*B14</f>
        <v>0.14000000000000001</v>
      </c>
      <c r="I14" s="4">
        <f>H14*$C$2</f>
        <v>1213.8000000000002</v>
      </c>
      <c r="J14" s="51">
        <f>(D14+E14+F14+I14)*$C$3</f>
        <v>371.96486399999998</v>
      </c>
      <c r="K14" s="6"/>
      <c r="L14" s="17"/>
    </row>
    <row r="15" spans="1:13" ht="31.5" x14ac:dyDescent="0.5">
      <c r="A15" s="152" t="s">
        <v>558</v>
      </c>
      <c r="B15" s="152"/>
      <c r="C15" s="152"/>
      <c r="D15" s="2"/>
      <c r="E15" s="2"/>
      <c r="F15" s="152"/>
      <c r="G15" s="152"/>
      <c r="H15" s="2"/>
      <c r="I15" s="2"/>
      <c r="J15" s="52">
        <f>SUM(J16:J17)</f>
        <v>1548.96576</v>
      </c>
      <c r="K15" s="10">
        <v>1562</v>
      </c>
      <c r="L15" s="10">
        <f t="shared" ref="L15" si="13">K15-J15</f>
        <v>13.034239999999954</v>
      </c>
    </row>
    <row r="16" spans="1:13" x14ac:dyDescent="0.25">
      <c r="A16" s="4" t="s">
        <v>256</v>
      </c>
      <c r="B16" s="4">
        <v>1</v>
      </c>
      <c r="C16" s="4">
        <v>2500</v>
      </c>
      <c r="D16" s="4">
        <f t="shared" ref="D16:D17" si="14">B16*C16</f>
        <v>2500</v>
      </c>
      <c r="E16" s="4">
        <f t="shared" ref="E16:E17" si="15">D16*0.1</f>
        <v>250</v>
      </c>
      <c r="F16" s="4">
        <v>500</v>
      </c>
      <c r="G16" s="4">
        <v>0.2</v>
      </c>
      <c r="H16" s="4">
        <f t="shared" ref="H16:H17" si="16">G16*B16</f>
        <v>0.2</v>
      </c>
      <c r="I16" s="4">
        <f t="shared" ref="I16:I17" si="17">H16*$C$2</f>
        <v>1734</v>
      </c>
      <c r="J16" s="51">
        <f t="shared" ref="J16:J17" si="18">(D16+E16+F16+I16)*$C$3</f>
        <v>285.48352</v>
      </c>
      <c r="K16" s="6"/>
      <c r="L16" s="17"/>
    </row>
    <row r="17" spans="1:13" x14ac:dyDescent="0.25">
      <c r="A17" s="21" t="s">
        <v>937</v>
      </c>
      <c r="B17" s="4">
        <v>1</v>
      </c>
      <c r="C17" s="4">
        <v>16900</v>
      </c>
      <c r="D17" s="4">
        <f t="shared" si="14"/>
        <v>16900</v>
      </c>
      <c r="E17" s="4">
        <f t="shared" si="15"/>
        <v>1690</v>
      </c>
      <c r="F17" s="4">
        <v>0</v>
      </c>
      <c r="G17" s="4">
        <v>0.4</v>
      </c>
      <c r="H17" s="4">
        <f t="shared" si="16"/>
        <v>0.4</v>
      </c>
      <c r="I17" s="4">
        <f t="shared" si="17"/>
        <v>3468</v>
      </c>
      <c r="J17" s="51">
        <f t="shared" si="18"/>
        <v>1263.48224</v>
      </c>
      <c r="K17" s="6"/>
      <c r="L17" s="17"/>
    </row>
    <row r="18" spans="1:13" ht="31.5" x14ac:dyDescent="0.5">
      <c r="A18" s="152" t="s">
        <v>680</v>
      </c>
      <c r="B18" s="152"/>
      <c r="C18" s="152"/>
      <c r="D18" s="2"/>
      <c r="E18" s="2"/>
      <c r="F18" s="152"/>
      <c r="G18" s="152"/>
      <c r="H18" s="2"/>
      <c r="I18" s="2"/>
      <c r="J18" s="52">
        <f>SUM(J19:J20)</f>
        <v>1934.9069439999998</v>
      </c>
      <c r="K18" s="10">
        <f>1669+266</f>
        <v>1935</v>
      </c>
      <c r="L18" s="10">
        <f t="shared" ref="L18" si="19">K18-J18</f>
        <v>9.3056000000160566E-2</v>
      </c>
    </row>
    <row r="19" spans="1:13" x14ac:dyDescent="0.25">
      <c r="A19" s="4" t="s">
        <v>938</v>
      </c>
      <c r="B19" s="4">
        <v>1</v>
      </c>
      <c r="C19" s="4">
        <v>12400</v>
      </c>
      <c r="D19" s="4">
        <f t="shared" ref="D19:D20" si="20">B19*C19</f>
        <v>12400</v>
      </c>
      <c r="E19" s="4">
        <f t="shared" ref="E19:E20" si="21">D19*0.1</f>
        <v>1240</v>
      </c>
      <c r="F19" s="4"/>
      <c r="G19" s="234">
        <v>0.25</v>
      </c>
      <c r="H19" s="4">
        <f t="shared" ref="H19:H20" si="22">G19*B19</f>
        <v>0.25</v>
      </c>
      <c r="I19" s="4">
        <f t="shared" ref="I19" si="23">H19*$C$2</f>
        <v>2167.5</v>
      </c>
      <c r="J19" s="51">
        <f t="shared" ref="J19" si="24">(D19+E19+F19+I19)*$C$3</f>
        <v>905.45359999999994</v>
      </c>
      <c r="K19" s="6"/>
      <c r="L19" s="17"/>
    </row>
    <row r="20" spans="1:13" x14ac:dyDescent="0.25">
      <c r="A20" s="4" t="s">
        <v>939</v>
      </c>
      <c r="B20" s="4">
        <v>1</v>
      </c>
      <c r="C20" s="4">
        <v>10900</v>
      </c>
      <c r="D20" s="4">
        <f t="shared" si="20"/>
        <v>10900</v>
      </c>
      <c r="E20" s="4">
        <f t="shared" si="21"/>
        <v>1090</v>
      </c>
      <c r="F20" s="4"/>
      <c r="G20" s="4">
        <v>0.69</v>
      </c>
      <c r="H20" s="4">
        <f t="shared" si="22"/>
        <v>0.69</v>
      </c>
      <c r="I20" s="4">
        <f>H20*$C$2</f>
        <v>5982.2999999999993</v>
      </c>
      <c r="J20" s="51">
        <f>(D20+E20+F20+I20)*$C$3</f>
        <v>1029.453344</v>
      </c>
      <c r="K20" s="6"/>
      <c r="L20" s="17"/>
    </row>
    <row r="21" spans="1:13" ht="31.5" x14ac:dyDescent="0.5">
      <c r="A21" s="152" t="s">
        <v>767</v>
      </c>
      <c r="B21" s="152"/>
      <c r="C21" s="152"/>
      <c r="D21" s="2"/>
      <c r="E21" s="2"/>
      <c r="F21" s="152"/>
      <c r="G21" s="152"/>
      <c r="H21" s="2"/>
      <c r="I21" s="2"/>
      <c r="J21" s="52">
        <f>SUM(J22:J23)</f>
        <v>713.97037866666665</v>
      </c>
      <c r="K21" s="10">
        <v>712</v>
      </c>
      <c r="L21" s="10">
        <f t="shared" ref="L21" si="25">K21-J21</f>
        <v>-1.9703786666666474</v>
      </c>
    </row>
    <row r="22" spans="1:13" x14ac:dyDescent="0.25">
      <c r="A22" s="4" t="s">
        <v>940</v>
      </c>
      <c r="B22" s="4">
        <v>1</v>
      </c>
      <c r="C22" s="234">
        <v>4560</v>
      </c>
      <c r="D22" s="4">
        <f t="shared" ref="D22:D23" si="26">B22*C22</f>
        <v>4560</v>
      </c>
      <c r="E22" s="4">
        <f t="shared" ref="E22:E23" si="27">D22*0.1</f>
        <v>456</v>
      </c>
      <c r="F22" s="4">
        <f>2500/6</f>
        <v>416.66666666666669</v>
      </c>
      <c r="G22" s="4">
        <v>0.1</v>
      </c>
      <c r="H22" s="4">
        <f t="shared" ref="H22:H23" si="28">G22*B22</f>
        <v>0.1</v>
      </c>
      <c r="I22" s="4">
        <f t="shared" ref="I22" si="29">H22*$C$2</f>
        <v>867</v>
      </c>
      <c r="J22" s="51">
        <f t="shared" ref="J22" si="30">(D22+E22+F22+I22)*$C$3</f>
        <v>360.84490666666665</v>
      </c>
      <c r="K22" s="6"/>
      <c r="L22" s="17"/>
    </row>
    <row r="23" spans="1:13" x14ac:dyDescent="0.25">
      <c r="A23" s="4" t="s">
        <v>941</v>
      </c>
      <c r="B23" s="4">
        <v>1</v>
      </c>
      <c r="C23" s="4">
        <v>2780</v>
      </c>
      <c r="D23" s="4">
        <f t="shared" si="26"/>
        <v>2780</v>
      </c>
      <c r="E23" s="4">
        <f t="shared" si="27"/>
        <v>278</v>
      </c>
      <c r="F23" s="4">
        <v>2500</v>
      </c>
      <c r="G23" s="4">
        <v>7.0000000000000007E-2</v>
      </c>
      <c r="H23" s="4">
        <f t="shared" si="28"/>
        <v>7.0000000000000007E-2</v>
      </c>
      <c r="I23" s="4">
        <f>H23*$C$2</f>
        <v>606.90000000000009</v>
      </c>
      <c r="J23" s="51">
        <f>(D23+E23+F23+I23)*$C$3</f>
        <v>353.12547199999995</v>
      </c>
      <c r="K23" s="6"/>
      <c r="L23" s="17"/>
    </row>
    <row r="24" spans="1:13" ht="31.5" x14ac:dyDescent="0.5">
      <c r="A24" s="152" t="s">
        <v>892</v>
      </c>
      <c r="B24" s="152"/>
      <c r="C24" s="152"/>
      <c r="D24" s="2"/>
      <c r="E24" s="2"/>
      <c r="F24" s="152"/>
      <c r="G24" s="152"/>
      <c r="H24" s="2"/>
      <c r="I24" s="2"/>
      <c r="J24" s="52">
        <f>SUM(J25:J26)</f>
        <v>1272.2976319999998</v>
      </c>
      <c r="K24" s="10">
        <f>1248+24</f>
        <v>1272</v>
      </c>
      <c r="L24" s="10">
        <f t="shared" ref="L24" si="31">K24-J24</f>
        <v>-0.29763199999979406</v>
      </c>
    </row>
    <row r="25" spans="1:13" x14ac:dyDescent="0.25">
      <c r="A25" s="37" t="s">
        <v>942</v>
      </c>
      <c r="B25" s="4">
        <v>1</v>
      </c>
      <c r="C25" s="4">
        <v>9800</v>
      </c>
      <c r="D25" s="4">
        <f t="shared" ref="D25:D26" si="32">B25*C25</f>
        <v>9800</v>
      </c>
      <c r="E25" s="4">
        <f t="shared" ref="E25:E26" si="33">D25*0.1</f>
        <v>980</v>
      </c>
      <c r="F25" s="4"/>
      <c r="G25" s="4">
        <v>0.3</v>
      </c>
      <c r="H25" s="4">
        <f t="shared" ref="H25:H26" si="34">G25*B25</f>
        <v>0.3</v>
      </c>
      <c r="I25" s="4">
        <f t="shared" ref="I25:I26" si="35">H25*$C$2</f>
        <v>2601</v>
      </c>
      <c r="J25" s="51">
        <f t="shared" ref="J25:J26" si="36">(D25+E25+F25+I25)*$C$3</f>
        <v>766.46367999999995</v>
      </c>
      <c r="K25" s="6"/>
      <c r="L25" s="17"/>
    </row>
    <row r="26" spans="1:13" x14ac:dyDescent="0.25">
      <c r="A26" t="s">
        <v>943</v>
      </c>
      <c r="B26" s="4">
        <v>1</v>
      </c>
      <c r="C26" s="4">
        <v>5900</v>
      </c>
      <c r="D26" s="4">
        <f t="shared" si="32"/>
        <v>5900</v>
      </c>
      <c r="E26" s="4">
        <f t="shared" si="33"/>
        <v>590</v>
      </c>
      <c r="F26" s="4"/>
      <c r="G26" s="4">
        <v>0.27</v>
      </c>
      <c r="H26" s="4">
        <f t="shared" si="34"/>
        <v>0.27</v>
      </c>
      <c r="I26" s="4">
        <f t="shared" si="35"/>
        <v>2340.9</v>
      </c>
      <c r="J26" s="51">
        <f t="shared" si="36"/>
        <v>505.83395199999995</v>
      </c>
      <c r="K26" s="6"/>
      <c r="L26" s="17"/>
    </row>
    <row r="27" spans="1:13" ht="31.5" x14ac:dyDescent="0.5">
      <c r="A27" s="152" t="s">
        <v>364</v>
      </c>
      <c r="B27" s="152"/>
      <c r="C27" s="152"/>
      <c r="D27" s="2"/>
      <c r="E27" s="2"/>
      <c r="F27" s="152"/>
      <c r="G27" s="152"/>
      <c r="H27" s="2"/>
      <c r="I27" s="2"/>
      <c r="J27" s="52">
        <f>SUM(J28:J30)</f>
        <v>1584.1717663999998</v>
      </c>
      <c r="K27" s="10">
        <v>1600</v>
      </c>
      <c r="L27" s="10">
        <f t="shared" ref="L27" si="37">K27-J27</f>
        <v>15.828233600000203</v>
      </c>
    </row>
    <row r="28" spans="1:13" x14ac:dyDescent="0.25">
      <c r="A28" s="4" t="s">
        <v>105</v>
      </c>
      <c r="B28" s="4">
        <v>1</v>
      </c>
      <c r="C28" s="4">
        <v>10000</v>
      </c>
      <c r="D28" s="4">
        <f t="shared" ref="D28:D30" si="38">B28*C28</f>
        <v>10000</v>
      </c>
      <c r="E28" s="4">
        <f t="shared" ref="E28:E30" si="39">D28*0.1</f>
        <v>1000</v>
      </c>
      <c r="F28" s="4"/>
      <c r="G28" s="4">
        <f>0.2+0.122</f>
        <v>0.32200000000000001</v>
      </c>
      <c r="H28" s="4">
        <f t="shared" ref="H28:H30" si="40">G28*B28</f>
        <v>0.32200000000000001</v>
      </c>
      <c r="I28" s="4">
        <f t="shared" ref="I28:I30" si="41">H28*$C$2</f>
        <v>2791.7400000000002</v>
      </c>
      <c r="J28" s="51">
        <f t="shared" ref="J28:J30" si="42">(D28+E28+F28+I28)*$C$3</f>
        <v>789.99086719999991</v>
      </c>
      <c r="K28" s="6"/>
      <c r="L28" s="17"/>
      <c r="M28" t="s">
        <v>951</v>
      </c>
    </row>
    <row r="29" spans="1:13" x14ac:dyDescent="0.25">
      <c r="A29" s="4" t="s">
        <v>944</v>
      </c>
      <c r="B29" s="4">
        <v>1</v>
      </c>
      <c r="C29" s="4">
        <v>2500</v>
      </c>
      <c r="D29" s="4">
        <f t="shared" si="38"/>
        <v>2500</v>
      </c>
      <c r="E29" s="4">
        <f t="shared" si="39"/>
        <v>250</v>
      </c>
      <c r="F29" s="4"/>
      <c r="G29" s="4">
        <v>1.2E-2</v>
      </c>
      <c r="H29" s="4">
        <f t="shared" si="40"/>
        <v>1.2E-2</v>
      </c>
      <c r="I29" s="4">
        <f t="shared" si="41"/>
        <v>104.04</v>
      </c>
      <c r="J29" s="51">
        <f t="shared" si="42"/>
        <v>163.47941119999999</v>
      </c>
      <c r="K29" s="6"/>
      <c r="L29" s="17"/>
    </row>
    <row r="30" spans="1:13" x14ac:dyDescent="0.25">
      <c r="A30" s="4" t="s">
        <v>256</v>
      </c>
      <c r="B30" s="4">
        <v>1</v>
      </c>
      <c r="C30" s="4">
        <v>8000</v>
      </c>
      <c r="D30" s="4">
        <f t="shared" si="38"/>
        <v>8000</v>
      </c>
      <c r="E30" s="4">
        <f t="shared" si="39"/>
        <v>800</v>
      </c>
      <c r="F30" s="4"/>
      <c r="G30" s="4">
        <v>0.255</v>
      </c>
      <c r="H30" s="4">
        <f t="shared" si="40"/>
        <v>0.255</v>
      </c>
      <c r="I30" s="4">
        <f t="shared" si="41"/>
        <v>2210.85</v>
      </c>
      <c r="J30" s="51">
        <f t="shared" si="42"/>
        <v>630.70148800000004</v>
      </c>
      <c r="K30" s="6"/>
      <c r="L30" s="17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zoomScale="80" zoomScaleNormal="80" workbookViewId="0">
      <selection sqref="A1:XFD1048576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8" max="8" width="10.5703125" customWidth="1"/>
    <col min="11" max="11" width="11.5703125" customWidth="1"/>
    <col min="12" max="12" width="10.85546875" customWidth="1"/>
  </cols>
  <sheetData>
    <row r="1" spans="1:12" ht="21" x14ac:dyDescent="0.35">
      <c r="A1" s="55" t="s">
        <v>281</v>
      </c>
      <c r="B1" s="4"/>
      <c r="C1" s="189">
        <v>42724</v>
      </c>
      <c r="D1" s="30"/>
    </row>
    <row r="2" spans="1:12" ht="21" x14ac:dyDescent="0.35">
      <c r="A2" s="55" t="s">
        <v>239</v>
      </c>
      <c r="B2" s="4"/>
      <c r="C2" s="16">
        <v>8670</v>
      </c>
      <c r="D2" s="30"/>
    </row>
    <row r="3" spans="1:12" ht="21" x14ac:dyDescent="0.35">
      <c r="A3" s="55" t="s">
        <v>240</v>
      </c>
      <c r="B3" s="4"/>
      <c r="C3" s="170">
        <v>5.2839999999999998E-2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870</v>
      </c>
      <c r="B6" s="152"/>
      <c r="C6" s="152"/>
      <c r="D6" s="2"/>
      <c r="E6" s="2"/>
      <c r="F6" s="152"/>
      <c r="G6" s="152"/>
      <c r="H6" s="2"/>
      <c r="I6" s="2"/>
      <c r="J6" s="52">
        <f>J7</f>
        <v>2158.3660479999999</v>
      </c>
      <c r="K6" s="10">
        <v>2200</v>
      </c>
      <c r="L6" s="10">
        <f t="shared" ref="L6" si="0">K6-J6</f>
        <v>41.633952000000136</v>
      </c>
    </row>
    <row r="7" spans="1:12" x14ac:dyDescent="0.25">
      <c r="A7" s="4" t="s">
        <v>952</v>
      </c>
      <c r="B7" s="4">
        <v>1</v>
      </c>
      <c r="C7" s="4">
        <v>33600</v>
      </c>
      <c r="D7" s="4">
        <f t="shared" ref="D7" si="1">B7*C7</f>
        <v>33600</v>
      </c>
      <c r="E7" s="4">
        <f>D7*0.1</f>
        <v>3360</v>
      </c>
      <c r="F7" s="4">
        <v>2500</v>
      </c>
      <c r="G7" s="4">
        <v>0.16</v>
      </c>
      <c r="H7" s="4">
        <f>G7*B7</f>
        <v>0.16</v>
      </c>
      <c r="I7" s="4">
        <f>H7*$C$2</f>
        <v>1387.2</v>
      </c>
      <c r="J7" s="51">
        <f>(D7+E7+F7+I7)*$C$3</f>
        <v>2158.3660479999999</v>
      </c>
      <c r="K7" s="6"/>
      <c r="L7" s="17"/>
    </row>
    <row r="8" spans="1:12" ht="31.5" x14ac:dyDescent="0.5">
      <c r="A8" s="152" t="s">
        <v>482</v>
      </c>
      <c r="B8" s="152"/>
      <c r="C8" s="152"/>
      <c r="D8" s="2"/>
      <c r="E8" s="2"/>
      <c r="F8" s="152"/>
      <c r="G8" s="152"/>
      <c r="H8" s="2"/>
      <c r="I8" s="2"/>
      <c r="J8" s="52">
        <f>SUM(J9:J9)</f>
        <v>1030.8291400000001</v>
      </c>
      <c r="K8" s="10">
        <v>1013</v>
      </c>
      <c r="L8" s="10">
        <f t="shared" ref="L8" si="2">K8-J8</f>
        <v>-17.829140000000052</v>
      </c>
    </row>
    <row r="9" spans="1:12" x14ac:dyDescent="0.25">
      <c r="A9" s="4" t="s">
        <v>953</v>
      </c>
      <c r="B9" s="4">
        <v>1</v>
      </c>
      <c r="C9" s="4">
        <v>13400</v>
      </c>
      <c r="D9" s="4">
        <f t="shared" ref="D9" si="3">B9*C9</f>
        <v>13400</v>
      </c>
      <c r="E9" s="4">
        <f>D9*0.1</f>
        <v>1340</v>
      </c>
      <c r="F9" s="4">
        <v>0</v>
      </c>
      <c r="G9" s="4">
        <v>0.55000000000000004</v>
      </c>
      <c r="H9" s="4">
        <f>G9*B9</f>
        <v>0.55000000000000004</v>
      </c>
      <c r="I9" s="4">
        <f>H9*$C$2</f>
        <v>4768.5</v>
      </c>
      <c r="J9" s="51">
        <f>(D9+E9+F9+I9)*$C$3</f>
        <v>1030.8291400000001</v>
      </c>
      <c r="K9" s="6"/>
      <c r="L9" s="17"/>
    </row>
    <row r="10" spans="1:12" ht="31.5" x14ac:dyDescent="0.5">
      <c r="A10" s="152" t="s">
        <v>954</v>
      </c>
      <c r="B10" s="152"/>
      <c r="C10" s="152"/>
      <c r="D10" s="2"/>
      <c r="E10" s="2"/>
      <c r="F10" s="152"/>
      <c r="G10" s="152"/>
      <c r="H10" s="2"/>
      <c r="I10" s="2"/>
      <c r="J10" s="52">
        <f>J11</f>
        <v>841.42415999999992</v>
      </c>
      <c r="K10" s="10">
        <v>832</v>
      </c>
      <c r="L10" s="10">
        <f t="shared" ref="L10" si="4">K10-J10</f>
        <v>-9.4241599999999153</v>
      </c>
    </row>
    <row r="11" spans="1:12" x14ac:dyDescent="0.25">
      <c r="A11" s="21" t="s">
        <v>955</v>
      </c>
      <c r="B11" s="4">
        <v>1</v>
      </c>
      <c r="C11" s="4">
        <v>12900</v>
      </c>
      <c r="D11" s="4">
        <f t="shared" ref="D11" si="5">B11*C11</f>
        <v>12900</v>
      </c>
      <c r="E11" s="4">
        <f>D11*0.1</f>
        <v>1290</v>
      </c>
      <c r="F11" s="4">
        <v>0</v>
      </c>
      <c r="G11" s="4">
        <v>0.2</v>
      </c>
      <c r="H11" s="4">
        <f>G11*B11</f>
        <v>0.2</v>
      </c>
      <c r="I11" s="4">
        <f>H11*$C$2</f>
        <v>1734</v>
      </c>
      <c r="J11" s="51">
        <f>(D11+E11+F11+I11)*$C$3</f>
        <v>841.42415999999992</v>
      </c>
      <c r="K11" s="6"/>
      <c r="L11" s="17"/>
    </row>
    <row r="12" spans="1:12" ht="31.5" x14ac:dyDescent="0.5">
      <c r="A12" s="152" t="s">
        <v>841</v>
      </c>
      <c r="B12" s="152"/>
      <c r="C12" s="152"/>
      <c r="D12" s="2"/>
      <c r="E12" s="2"/>
      <c r="F12" s="152"/>
      <c r="G12" s="152"/>
      <c r="H12" s="2"/>
      <c r="I12" s="2"/>
      <c r="J12" s="52">
        <f>SUM(J13:J13)</f>
        <v>929.12534999999991</v>
      </c>
      <c r="K12" s="10">
        <v>914</v>
      </c>
      <c r="L12" s="10">
        <f t="shared" ref="L12" si="6">K12-J12</f>
        <v>-15.125349999999912</v>
      </c>
    </row>
    <row r="13" spans="1:12" x14ac:dyDescent="0.25">
      <c r="A13" s="21" t="s">
        <v>539</v>
      </c>
      <c r="B13" s="4">
        <v>1</v>
      </c>
      <c r="C13" s="4">
        <v>15000</v>
      </c>
      <c r="D13" s="4">
        <f t="shared" ref="D13" si="7">B13*C13</f>
        <v>15000</v>
      </c>
      <c r="E13" s="4">
        <f>D13*0.1</f>
        <v>1500</v>
      </c>
      <c r="F13" s="4">
        <v>0</v>
      </c>
      <c r="G13" s="4">
        <v>0.125</v>
      </c>
      <c r="H13" s="4">
        <f>G13*B13</f>
        <v>0.125</v>
      </c>
      <c r="I13" s="4">
        <f>H13*$C$2</f>
        <v>1083.75</v>
      </c>
      <c r="J13" s="51">
        <f>(D13+E13+F13+I13)*$C$3</f>
        <v>929.12534999999991</v>
      </c>
      <c r="K13" s="6"/>
      <c r="L13" s="17"/>
    </row>
    <row r="14" spans="1:12" ht="31.5" x14ac:dyDescent="0.5">
      <c r="A14" s="152" t="s">
        <v>956</v>
      </c>
      <c r="B14" s="152"/>
      <c r="C14" s="152"/>
      <c r="D14" s="2"/>
      <c r="E14" s="2"/>
      <c r="F14" s="152"/>
      <c r="G14" s="152"/>
      <c r="H14" s="152"/>
      <c r="I14" s="2"/>
      <c r="J14" s="52">
        <f>SUM(J15:J16)</f>
        <v>1312.949826</v>
      </c>
      <c r="K14" s="10">
        <v>1249</v>
      </c>
      <c r="L14" s="10">
        <f t="shared" ref="L14" si="8">K14-J14</f>
        <v>-63.94982600000003</v>
      </c>
    </row>
    <row r="15" spans="1:12" x14ac:dyDescent="0.25">
      <c r="A15" s="4" t="s">
        <v>957</v>
      </c>
      <c r="B15" s="4">
        <v>1</v>
      </c>
      <c r="C15" s="4">
        <v>6700</v>
      </c>
      <c r="D15" s="4">
        <f t="shared" ref="D15:D16" si="9">B15*C15</f>
        <v>6700</v>
      </c>
      <c r="E15" s="4">
        <f t="shared" ref="E15:E16" si="10">D15*0.1</f>
        <v>670</v>
      </c>
      <c r="F15" s="4">
        <v>0</v>
      </c>
      <c r="G15" s="4">
        <v>0.27500000000000002</v>
      </c>
      <c r="H15" s="4">
        <v>0.27500000000000002</v>
      </c>
      <c r="I15" s="4">
        <f t="shared" ref="I15:I16" si="11">H15*$C$2</f>
        <v>2384.25</v>
      </c>
      <c r="J15" s="51">
        <f t="shared" ref="J15:J16" si="12">(D15+E15+F15+I15)*$C$3</f>
        <v>515.41457000000003</v>
      </c>
      <c r="K15" s="6"/>
      <c r="L15" s="17"/>
    </row>
    <row r="16" spans="1:12" x14ac:dyDescent="0.25">
      <c r="A16" s="4" t="s">
        <v>241</v>
      </c>
      <c r="B16" s="4">
        <v>1</v>
      </c>
      <c r="C16" s="4">
        <v>7350</v>
      </c>
      <c r="D16" s="4">
        <f t="shared" si="9"/>
        <v>7350</v>
      </c>
      <c r="E16" s="4">
        <f t="shared" si="10"/>
        <v>735</v>
      </c>
      <c r="F16" s="4">
        <v>2500</v>
      </c>
      <c r="G16" s="4">
        <v>0.52</v>
      </c>
      <c r="H16" s="4">
        <v>0.52</v>
      </c>
      <c r="I16" s="4">
        <f t="shared" si="11"/>
        <v>4508.4000000000005</v>
      </c>
      <c r="J16" s="51">
        <f t="shared" si="12"/>
        <v>797.535256</v>
      </c>
      <c r="K16" s="6"/>
      <c r="L16" s="17"/>
    </row>
    <row r="17" spans="1:12" ht="31.5" x14ac:dyDescent="0.5">
      <c r="A17" s="152" t="s">
        <v>958</v>
      </c>
      <c r="B17" s="152"/>
      <c r="C17" s="152"/>
      <c r="D17" s="2"/>
      <c r="E17" s="2"/>
      <c r="F17" s="152"/>
      <c r="G17" s="152"/>
      <c r="H17" s="152"/>
      <c r="I17" s="2"/>
      <c r="J17" s="52">
        <f>SUM(J18:J22)</f>
        <v>3454.25648</v>
      </c>
      <c r="K17" s="10">
        <v>3711</v>
      </c>
      <c r="L17" s="10">
        <f t="shared" ref="L17" si="13">K17-J17</f>
        <v>256.74351999999999</v>
      </c>
    </row>
    <row r="18" spans="1:12" x14ac:dyDescent="0.25">
      <c r="A18" s="235" t="s">
        <v>959</v>
      </c>
      <c r="B18" s="4">
        <v>5</v>
      </c>
      <c r="C18" s="4">
        <v>2800</v>
      </c>
      <c r="D18" s="4">
        <f t="shared" ref="D18:D22" si="14">B18*C18</f>
        <v>14000</v>
      </c>
      <c r="E18" s="4">
        <f t="shared" ref="E18:E22" si="15">D18*0.1</f>
        <v>1400</v>
      </c>
      <c r="F18" s="4">
        <v>0</v>
      </c>
      <c r="G18" s="4">
        <v>0.28999999999999998</v>
      </c>
      <c r="H18" s="4">
        <v>0.28999999999999998</v>
      </c>
      <c r="I18" s="4">
        <f t="shared" ref="I18:I21" si="16">H18*$C$2</f>
        <v>2514.2999999999997</v>
      </c>
      <c r="J18" s="51">
        <f t="shared" ref="J18:J21" si="17">(D18+E18+F18+I18)*$C$3</f>
        <v>946.59161199999994</v>
      </c>
      <c r="K18" s="6"/>
      <c r="L18" s="17"/>
    </row>
    <row r="19" spans="1:12" x14ac:dyDescent="0.25">
      <c r="A19" s="235" t="s">
        <v>960</v>
      </c>
      <c r="B19" s="4">
        <v>4</v>
      </c>
      <c r="C19" s="4">
        <v>2800</v>
      </c>
      <c r="D19" s="4">
        <f t="shared" si="14"/>
        <v>11200</v>
      </c>
      <c r="E19" s="4">
        <f t="shared" si="15"/>
        <v>1120</v>
      </c>
      <c r="F19" s="4">
        <v>0</v>
      </c>
      <c r="G19" s="4"/>
      <c r="H19" s="4"/>
      <c r="I19" s="4">
        <f t="shared" si="16"/>
        <v>0</v>
      </c>
      <c r="J19" s="51">
        <f t="shared" si="17"/>
        <v>650.98879999999997</v>
      </c>
      <c r="K19" s="6"/>
      <c r="L19" s="17"/>
    </row>
    <row r="20" spans="1:12" x14ac:dyDescent="0.25">
      <c r="A20" s="235" t="s">
        <v>961</v>
      </c>
      <c r="B20" s="4">
        <v>4</v>
      </c>
      <c r="C20" s="4">
        <v>2800</v>
      </c>
      <c r="D20" s="4">
        <f t="shared" ref="D20" si="18">B20*C20</f>
        <v>11200</v>
      </c>
      <c r="E20" s="4">
        <f t="shared" ref="E20" si="19">D20*0.1</f>
        <v>1120</v>
      </c>
      <c r="F20" s="4">
        <v>0</v>
      </c>
      <c r="G20" s="4"/>
      <c r="H20" s="4"/>
      <c r="I20" s="4">
        <f t="shared" ref="I20" si="20">H20*$C$2</f>
        <v>0</v>
      </c>
      <c r="J20" s="51">
        <f t="shared" ref="J20" si="21">(D20+E20+F20+I20)*$C$3</f>
        <v>650.98879999999997</v>
      </c>
      <c r="K20" s="6"/>
      <c r="L20" s="17"/>
    </row>
    <row r="21" spans="1:12" x14ac:dyDescent="0.25">
      <c r="A21" s="235" t="s">
        <v>962</v>
      </c>
      <c r="B21" s="4">
        <v>3</v>
      </c>
      <c r="C21" s="4">
        <v>2800</v>
      </c>
      <c r="D21" s="4">
        <f t="shared" si="14"/>
        <v>8400</v>
      </c>
      <c r="E21" s="4">
        <f t="shared" si="15"/>
        <v>840</v>
      </c>
      <c r="F21" s="4">
        <v>0</v>
      </c>
      <c r="G21" s="4"/>
      <c r="H21" s="4"/>
      <c r="I21" s="4">
        <f t="shared" si="16"/>
        <v>0</v>
      </c>
      <c r="J21" s="51">
        <f t="shared" si="17"/>
        <v>488.24160000000001</v>
      </c>
      <c r="K21" s="6"/>
      <c r="L21" s="17"/>
    </row>
    <row r="22" spans="1:12" x14ac:dyDescent="0.25">
      <c r="A22" s="21" t="s">
        <v>963</v>
      </c>
      <c r="B22" s="4">
        <v>1</v>
      </c>
      <c r="C22" s="4">
        <v>9900</v>
      </c>
      <c r="D22" s="4">
        <f t="shared" si="14"/>
        <v>9900</v>
      </c>
      <c r="E22" s="4">
        <f t="shared" si="15"/>
        <v>990</v>
      </c>
      <c r="F22" s="4">
        <v>0</v>
      </c>
      <c r="G22" s="4">
        <v>0.31</v>
      </c>
      <c r="H22" s="4">
        <f>G22*B22</f>
        <v>0.31</v>
      </c>
      <c r="I22" s="4">
        <f>H22*$C$2</f>
        <v>2687.7</v>
      </c>
      <c r="J22" s="51">
        <f>(D22+E22+F22+I22)*$C$3</f>
        <v>717.44566800000007</v>
      </c>
      <c r="K22" s="6"/>
      <c r="L22" s="17"/>
    </row>
  </sheetData>
  <hyperlinks>
    <hyperlink ref="A6" r:id="rId1" display="http://forum.sibmama.ru/viewtopic.php?t=715424&amp;skw=%CA%EB%F3%E1%EE%EA&amp;sko=0"/>
    <hyperlink ref="A12" r:id="rId2" display="http://forum.sibmama.ru/viewtopic.php?t=715424&amp;start=28875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zoomScale="70" zoomScaleNormal="70" workbookViewId="0">
      <selection activeCell="K9" sqref="K9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8" max="8" width="10.5703125" customWidth="1"/>
    <col min="11" max="11" width="11.5703125" customWidth="1"/>
    <col min="12" max="12" width="10.85546875" customWidth="1"/>
  </cols>
  <sheetData>
    <row r="1" spans="1:12" ht="21" x14ac:dyDescent="0.35">
      <c r="A1" s="55" t="s">
        <v>281</v>
      </c>
      <c r="B1" s="4"/>
      <c r="C1" s="189">
        <v>42724</v>
      </c>
      <c r="D1" s="30"/>
    </row>
    <row r="2" spans="1:12" ht="21" x14ac:dyDescent="0.35">
      <c r="A2" s="55" t="s">
        <v>239</v>
      </c>
      <c r="B2" s="4"/>
      <c r="C2" s="16">
        <v>8670</v>
      </c>
      <c r="D2" s="30"/>
    </row>
    <row r="3" spans="1:12" ht="21" x14ac:dyDescent="0.35">
      <c r="A3" s="55" t="s">
        <v>240</v>
      </c>
      <c r="B3" s="4"/>
      <c r="C3" s="170">
        <v>5.2839999999999998E-2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870</v>
      </c>
      <c r="B6" s="152"/>
      <c r="C6" s="152"/>
      <c r="D6" s="2"/>
      <c r="E6" s="2"/>
      <c r="F6" s="152"/>
      <c r="G6" s="152"/>
      <c r="H6" s="2"/>
      <c r="I6" s="2"/>
      <c r="J6" s="52">
        <f>J7</f>
        <v>2158.3660479999999</v>
      </c>
      <c r="K6" s="10">
        <v>2200</v>
      </c>
      <c r="L6" s="10">
        <f t="shared" ref="L6" si="0">K6-J6</f>
        <v>41.633952000000136</v>
      </c>
    </row>
    <row r="7" spans="1:12" x14ac:dyDescent="0.25">
      <c r="A7" s="4" t="s">
        <v>952</v>
      </c>
      <c r="B7" s="4">
        <v>1</v>
      </c>
      <c r="C7" s="4">
        <v>33600</v>
      </c>
      <c r="D7" s="4">
        <f t="shared" ref="D7" si="1">B7*C7</f>
        <v>33600</v>
      </c>
      <c r="E7" s="4">
        <f>D7*0.1</f>
        <v>3360</v>
      </c>
      <c r="F7" s="4">
        <v>2500</v>
      </c>
      <c r="G7" s="4">
        <v>0.16</v>
      </c>
      <c r="H7" s="4">
        <f>G7*B7</f>
        <v>0.16</v>
      </c>
      <c r="I7" s="4">
        <f>H7*$C$2</f>
        <v>1387.2</v>
      </c>
      <c r="J7" s="51">
        <f>(D7+E7+F7+I7)*$C$3</f>
        <v>2158.3660479999999</v>
      </c>
      <c r="K7" s="6"/>
      <c r="L7" s="17"/>
    </row>
    <row r="8" spans="1:12" ht="31.5" x14ac:dyDescent="0.5">
      <c r="A8" s="152" t="s">
        <v>482</v>
      </c>
      <c r="B8" s="152"/>
      <c r="C8" s="152"/>
      <c r="D8" s="2"/>
      <c r="E8" s="2"/>
      <c r="F8" s="152"/>
      <c r="G8" s="152"/>
      <c r="H8" s="2"/>
      <c r="I8" s="2"/>
      <c r="J8" s="52">
        <f>SUM(J9:J9)</f>
        <v>1030.8291400000001</v>
      </c>
      <c r="K8" s="10">
        <f>1013+18</f>
        <v>1031</v>
      </c>
      <c r="L8" s="10">
        <f t="shared" ref="L8" si="2">K8-J8</f>
        <v>0.17085999999994783</v>
      </c>
    </row>
    <row r="9" spans="1:12" x14ac:dyDescent="0.25">
      <c r="A9" s="4" t="s">
        <v>953</v>
      </c>
      <c r="B9" s="4">
        <v>1</v>
      </c>
      <c r="C9" s="4">
        <v>13400</v>
      </c>
      <c r="D9" s="4">
        <f t="shared" ref="D9" si="3">B9*C9</f>
        <v>13400</v>
      </c>
      <c r="E9" s="4">
        <f>D9*0.1</f>
        <v>1340</v>
      </c>
      <c r="F9" s="4">
        <v>0</v>
      </c>
      <c r="G9" s="4">
        <v>0.55000000000000004</v>
      </c>
      <c r="H9" s="4">
        <f>G9*B9</f>
        <v>0.55000000000000004</v>
      </c>
      <c r="I9" s="4">
        <f>H9*$C$2</f>
        <v>4768.5</v>
      </c>
      <c r="J9" s="51">
        <f>(D9+E9+F9+I9)*$C$3</f>
        <v>1030.8291400000001</v>
      </c>
      <c r="K9" s="6"/>
      <c r="L9" s="17"/>
    </row>
    <row r="10" spans="1:12" ht="31.5" x14ac:dyDescent="0.5">
      <c r="A10" s="152" t="s">
        <v>954</v>
      </c>
      <c r="B10" s="152"/>
      <c r="C10" s="152"/>
      <c r="D10" s="2"/>
      <c r="E10" s="2"/>
      <c r="F10" s="152"/>
      <c r="G10" s="152"/>
      <c r="H10" s="2"/>
      <c r="I10" s="2"/>
      <c r="J10" s="52">
        <f>J11</f>
        <v>841.42415999999992</v>
      </c>
      <c r="K10" s="10">
        <f>832+9</f>
        <v>841</v>
      </c>
      <c r="L10" s="10">
        <f t="shared" ref="L10" si="4">K10-J10</f>
        <v>-0.42415999999991527</v>
      </c>
    </row>
    <row r="11" spans="1:12" x14ac:dyDescent="0.25">
      <c r="A11" s="21" t="s">
        <v>955</v>
      </c>
      <c r="B11" s="4">
        <v>1</v>
      </c>
      <c r="C11" s="4">
        <v>12900</v>
      </c>
      <c r="D11" s="4">
        <f t="shared" ref="D11" si="5">B11*C11</f>
        <v>12900</v>
      </c>
      <c r="E11" s="4">
        <f>D11*0.1</f>
        <v>1290</v>
      </c>
      <c r="F11" s="4">
        <v>0</v>
      </c>
      <c r="G11" s="4">
        <v>0.2</v>
      </c>
      <c r="H11" s="4">
        <f>G11*B11</f>
        <v>0.2</v>
      </c>
      <c r="I11" s="4">
        <f>H11*$C$2</f>
        <v>1734</v>
      </c>
      <c r="J11" s="51">
        <f>(D11+E11+F11+I11)*$C$3</f>
        <v>841.42415999999992</v>
      </c>
      <c r="K11" s="6"/>
      <c r="L11" s="17"/>
    </row>
    <row r="12" spans="1:12" ht="31.5" x14ac:dyDescent="0.5">
      <c r="A12" s="152" t="s">
        <v>841</v>
      </c>
      <c r="B12" s="152"/>
      <c r="C12" s="152"/>
      <c r="D12" s="2"/>
      <c r="E12" s="2"/>
      <c r="F12" s="152"/>
      <c r="G12" s="152"/>
      <c r="H12" s="2"/>
      <c r="I12" s="2"/>
      <c r="J12" s="52">
        <f>SUM(J13:J13)</f>
        <v>929.12534999999991</v>
      </c>
      <c r="K12" s="10">
        <v>914</v>
      </c>
      <c r="L12" s="10">
        <f t="shared" ref="L12" si="6">K12-J12</f>
        <v>-15.125349999999912</v>
      </c>
    </row>
    <row r="13" spans="1:12" x14ac:dyDescent="0.25">
      <c r="A13" s="21" t="s">
        <v>539</v>
      </c>
      <c r="B13" s="4">
        <v>1</v>
      </c>
      <c r="C13" s="4">
        <v>15000</v>
      </c>
      <c r="D13" s="4">
        <f t="shared" ref="D13" si="7">B13*C13</f>
        <v>15000</v>
      </c>
      <c r="E13" s="4">
        <f>D13*0.1</f>
        <v>1500</v>
      </c>
      <c r="F13" s="4">
        <v>0</v>
      </c>
      <c r="G13" s="4">
        <v>0.125</v>
      </c>
      <c r="H13" s="4">
        <f>G13*B13</f>
        <v>0.125</v>
      </c>
      <c r="I13" s="4">
        <f>H13*$C$2</f>
        <v>1083.75</v>
      </c>
      <c r="J13" s="51">
        <f>(D13+E13+F13+I13)*$C$3</f>
        <v>929.12534999999991</v>
      </c>
      <c r="K13" s="6"/>
      <c r="L13" s="17"/>
    </row>
    <row r="14" spans="1:12" ht="31.5" x14ac:dyDescent="0.5">
      <c r="A14" s="152" t="s">
        <v>956</v>
      </c>
      <c r="B14" s="152"/>
      <c r="C14" s="152"/>
      <c r="D14" s="2"/>
      <c r="E14" s="2"/>
      <c r="F14" s="152"/>
      <c r="G14" s="152"/>
      <c r="H14" s="152"/>
      <c r="I14" s="2"/>
      <c r="J14" s="52">
        <f>SUM(J15:J16)</f>
        <v>1312.949826</v>
      </c>
      <c r="K14" s="10">
        <v>1249</v>
      </c>
      <c r="L14" s="10">
        <f t="shared" ref="L14" si="8">K14-J14</f>
        <v>-63.94982600000003</v>
      </c>
    </row>
    <row r="15" spans="1:12" x14ac:dyDescent="0.25">
      <c r="A15" s="4" t="s">
        <v>957</v>
      </c>
      <c r="B15" s="4">
        <v>1</v>
      </c>
      <c r="C15" s="4">
        <v>6700</v>
      </c>
      <c r="D15" s="4">
        <f t="shared" ref="D15:D16" si="9">B15*C15</f>
        <v>6700</v>
      </c>
      <c r="E15" s="4">
        <f t="shared" ref="E15:E16" si="10">D15*0.1</f>
        <v>670</v>
      </c>
      <c r="F15" s="4">
        <v>0</v>
      </c>
      <c r="G15" s="4">
        <v>0.27500000000000002</v>
      </c>
      <c r="H15" s="4">
        <v>0.27500000000000002</v>
      </c>
      <c r="I15" s="4">
        <f t="shared" ref="I15:I16" si="11">H15*$C$2</f>
        <v>2384.25</v>
      </c>
      <c r="J15" s="51">
        <f t="shared" ref="J15:J16" si="12">(D15+E15+F15+I15)*$C$3</f>
        <v>515.41457000000003</v>
      </c>
      <c r="K15" s="6"/>
      <c r="L15" s="17"/>
    </row>
    <row r="16" spans="1:12" x14ac:dyDescent="0.25">
      <c r="A16" s="4" t="s">
        <v>241</v>
      </c>
      <c r="B16" s="4">
        <v>1</v>
      </c>
      <c r="C16" s="4">
        <v>7350</v>
      </c>
      <c r="D16" s="4">
        <f t="shared" si="9"/>
        <v>7350</v>
      </c>
      <c r="E16" s="4">
        <f t="shared" si="10"/>
        <v>735</v>
      </c>
      <c r="F16" s="4">
        <v>2500</v>
      </c>
      <c r="G16" s="4">
        <v>0.52</v>
      </c>
      <c r="H16" s="4">
        <v>0.52</v>
      </c>
      <c r="I16" s="4">
        <f t="shared" si="11"/>
        <v>4508.4000000000005</v>
      </c>
      <c r="J16" s="51">
        <f t="shared" si="12"/>
        <v>797.535256</v>
      </c>
      <c r="K16" s="6"/>
      <c r="L16" s="17"/>
    </row>
    <row r="17" spans="1:12" ht="31.5" x14ac:dyDescent="0.5">
      <c r="A17" s="152" t="s">
        <v>958</v>
      </c>
      <c r="B17" s="152"/>
      <c r="C17" s="152"/>
      <c r="D17" s="2"/>
      <c r="E17" s="2"/>
      <c r="F17" s="152"/>
      <c r="G17" s="152"/>
      <c r="H17" s="152"/>
      <c r="I17" s="2"/>
      <c r="J17" s="52">
        <f>SUM(J18:J22)</f>
        <v>3454.25648</v>
      </c>
      <c r="K17" s="10">
        <v>3711</v>
      </c>
      <c r="L17" s="10">
        <f t="shared" ref="L17" si="13">K17-J17</f>
        <v>256.74351999999999</v>
      </c>
    </row>
    <row r="18" spans="1:12" x14ac:dyDescent="0.25">
      <c r="A18" s="235" t="s">
        <v>959</v>
      </c>
      <c r="B18" s="4">
        <v>5</v>
      </c>
      <c r="C18" s="4">
        <v>2800</v>
      </c>
      <c r="D18" s="4">
        <f t="shared" ref="D18:D22" si="14">B18*C18</f>
        <v>14000</v>
      </c>
      <c r="E18" s="4">
        <f t="shared" ref="E18:E22" si="15">D18*0.1</f>
        <v>1400</v>
      </c>
      <c r="F18" s="4">
        <v>0</v>
      </c>
      <c r="G18" s="4">
        <v>0.28999999999999998</v>
      </c>
      <c r="H18" s="4">
        <v>0.28999999999999998</v>
      </c>
      <c r="I18" s="4">
        <f t="shared" ref="I18:I21" si="16">H18*$C$2</f>
        <v>2514.2999999999997</v>
      </c>
      <c r="J18" s="51">
        <f t="shared" ref="J18:J21" si="17">(D18+E18+F18+I18)*$C$3</f>
        <v>946.59161199999994</v>
      </c>
      <c r="K18" s="6"/>
      <c r="L18" s="17"/>
    </row>
    <row r="19" spans="1:12" x14ac:dyDescent="0.25">
      <c r="A19" s="235" t="s">
        <v>960</v>
      </c>
      <c r="B19" s="4">
        <v>4</v>
      </c>
      <c r="C19" s="4">
        <v>2800</v>
      </c>
      <c r="D19" s="4">
        <f t="shared" si="14"/>
        <v>11200</v>
      </c>
      <c r="E19" s="4">
        <f t="shared" si="15"/>
        <v>1120</v>
      </c>
      <c r="F19" s="4">
        <v>0</v>
      </c>
      <c r="G19" s="4"/>
      <c r="H19" s="4"/>
      <c r="I19" s="4">
        <f t="shared" si="16"/>
        <v>0</v>
      </c>
      <c r="J19" s="51">
        <f t="shared" si="17"/>
        <v>650.98879999999997</v>
      </c>
      <c r="K19" s="6"/>
      <c r="L19" s="17"/>
    </row>
    <row r="20" spans="1:12" x14ac:dyDescent="0.25">
      <c r="A20" s="235" t="s">
        <v>961</v>
      </c>
      <c r="B20" s="4">
        <v>4</v>
      </c>
      <c r="C20" s="4">
        <v>2800</v>
      </c>
      <c r="D20" s="4">
        <f t="shared" si="14"/>
        <v>11200</v>
      </c>
      <c r="E20" s="4">
        <f t="shared" si="15"/>
        <v>1120</v>
      </c>
      <c r="F20" s="4">
        <v>0</v>
      </c>
      <c r="G20" s="4"/>
      <c r="H20" s="4"/>
      <c r="I20" s="4">
        <f t="shared" si="16"/>
        <v>0</v>
      </c>
      <c r="J20" s="51">
        <f t="shared" si="17"/>
        <v>650.98879999999997</v>
      </c>
      <c r="K20" s="6"/>
      <c r="L20" s="17"/>
    </row>
    <row r="21" spans="1:12" x14ac:dyDescent="0.25">
      <c r="A21" s="235" t="s">
        <v>962</v>
      </c>
      <c r="B21" s="4">
        <v>3</v>
      </c>
      <c r="C21" s="4">
        <v>2800</v>
      </c>
      <c r="D21" s="4">
        <f t="shared" si="14"/>
        <v>8400</v>
      </c>
      <c r="E21" s="4">
        <f t="shared" si="15"/>
        <v>840</v>
      </c>
      <c r="F21" s="4">
        <v>0</v>
      </c>
      <c r="G21" s="4"/>
      <c r="H21" s="4"/>
      <c r="I21" s="4">
        <f t="shared" si="16"/>
        <v>0</v>
      </c>
      <c r="J21" s="51">
        <f t="shared" si="17"/>
        <v>488.24160000000001</v>
      </c>
      <c r="K21" s="6"/>
      <c r="L21" s="17"/>
    </row>
    <row r="22" spans="1:12" x14ac:dyDescent="0.25">
      <c r="A22" s="21" t="s">
        <v>963</v>
      </c>
      <c r="B22" s="4">
        <v>1</v>
      </c>
      <c r="C22" s="4">
        <v>9900</v>
      </c>
      <c r="D22" s="4">
        <f t="shared" si="14"/>
        <v>9900</v>
      </c>
      <c r="E22" s="4">
        <f t="shared" si="15"/>
        <v>990</v>
      </c>
      <c r="F22" s="4">
        <v>0</v>
      </c>
      <c r="G22" s="4">
        <v>0.31</v>
      </c>
      <c r="H22" s="4">
        <f>G22*B22</f>
        <v>0.31</v>
      </c>
      <c r="I22" s="4">
        <f>H22*$C$2</f>
        <v>2687.7</v>
      </c>
      <c r="J22" s="51">
        <f>(D22+E22+F22+I22)*$C$3</f>
        <v>717.44566800000007</v>
      </c>
      <c r="K22" s="6"/>
      <c r="L22" s="17"/>
    </row>
  </sheetData>
  <hyperlinks>
    <hyperlink ref="A6" r:id="rId1" display="http://forum.sibmama.ru/viewtopic.php?t=715424&amp;skw=%CA%EB%F3%E1%EE%EA&amp;sko=0"/>
    <hyperlink ref="A12" r:id="rId2" display="http://forum.sibmama.ru/viewtopic.php?t=715424&amp;start=2887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1"/>
  <sheetViews>
    <sheetView zoomScale="70" zoomScaleNormal="70" workbookViewId="0">
      <pane ySplit="7" topLeftCell="A20" activePane="bottomLeft" state="frozen"/>
      <selection pane="bottomLeft" activeCell="A61" sqref="A61:XFD61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18" customHeight="1" x14ac:dyDescent="0.35">
      <c r="A1" s="55" t="s">
        <v>15</v>
      </c>
      <c r="B1" s="4"/>
      <c r="C1" s="15">
        <v>41419</v>
      </c>
      <c r="D1" s="30" t="s">
        <v>140</v>
      </c>
    </row>
    <row r="2" spans="1:12" ht="19.5" customHeight="1" x14ac:dyDescent="0.35">
      <c r="A2" s="55" t="s">
        <v>14</v>
      </c>
      <c r="B2" s="4"/>
      <c r="C2" s="16">
        <v>6720</v>
      </c>
      <c r="D2" s="30" t="s">
        <v>141</v>
      </c>
    </row>
    <row r="3" spans="1:12" ht="18.75" x14ac:dyDescent="0.3">
      <c r="A3" s="55"/>
      <c r="B3" s="4"/>
      <c r="C3" s="16"/>
    </row>
    <row r="4" spans="1:12" ht="18.75" x14ac:dyDescent="0.3">
      <c r="A4" s="55" t="s">
        <v>12</v>
      </c>
      <c r="B4" s="4"/>
      <c r="C4" s="16">
        <v>2.9000000000000001E-2</v>
      </c>
    </row>
    <row r="5" spans="1:12" ht="21" customHeight="1" x14ac:dyDescent="0.45">
      <c r="A5" s="55"/>
      <c r="B5" s="4"/>
      <c r="C5" s="13"/>
    </row>
    <row r="6" spans="1:12" ht="37.5" x14ac:dyDescent="0.3">
      <c r="A6" s="56" t="s">
        <v>18</v>
      </c>
      <c r="C6" s="19"/>
    </row>
    <row r="7" spans="1:12" ht="25.5" customHeight="1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2" ht="26.25" x14ac:dyDescent="0.4">
      <c r="A8" s="1" t="s">
        <v>130</v>
      </c>
      <c r="B8" s="2"/>
      <c r="C8" s="2"/>
      <c r="D8" s="2"/>
      <c r="E8" s="2"/>
      <c r="F8" s="2"/>
      <c r="G8" s="2"/>
      <c r="H8" s="2"/>
      <c r="I8" s="2"/>
      <c r="J8" s="52">
        <f>J9</f>
        <v>272.15050000000002</v>
      </c>
      <c r="K8" s="10">
        <v>276</v>
      </c>
      <c r="L8" s="10">
        <f t="shared" ref="L8:L14" si="0">K8-J8</f>
        <v>3.8494999999999777</v>
      </c>
    </row>
    <row r="9" spans="1:12" x14ac:dyDescent="0.25">
      <c r="A9" s="62" t="s">
        <v>155</v>
      </c>
      <c r="B9" s="4">
        <v>1</v>
      </c>
      <c r="C9" s="4">
        <f>16000/2</f>
        <v>8000</v>
      </c>
      <c r="D9" s="4">
        <f t="shared" ref="D9" si="1">B9*C9</f>
        <v>8000</v>
      </c>
      <c r="E9" s="4">
        <f>D9*0.05</f>
        <v>400</v>
      </c>
      <c r="F9" s="4">
        <f>2500/8</f>
        <v>312.5</v>
      </c>
      <c r="G9" s="4">
        <f>0.2/2</f>
        <v>0.1</v>
      </c>
      <c r="H9" s="4">
        <f t="shared" ref="H9" si="2">G9</f>
        <v>0.1</v>
      </c>
      <c r="I9" s="4">
        <f>H9*$C$2</f>
        <v>672</v>
      </c>
      <c r="J9" s="51">
        <f>(D9+E9+F9+I9)*$C$4</f>
        <v>272.15050000000002</v>
      </c>
      <c r="K9" s="36"/>
      <c r="L9" s="41"/>
    </row>
    <row r="10" spans="1:12" ht="26.25" x14ac:dyDescent="0.4">
      <c r="A10" s="1" t="s">
        <v>23</v>
      </c>
      <c r="B10" s="2"/>
      <c r="C10" s="2"/>
      <c r="D10" s="2"/>
      <c r="E10" s="2"/>
      <c r="F10" s="2"/>
      <c r="G10" s="2"/>
      <c r="H10" s="2"/>
      <c r="I10" s="2"/>
      <c r="J10" s="52">
        <f>J11</f>
        <v>272.15050000000002</v>
      </c>
      <c r="K10" s="10">
        <v>276</v>
      </c>
      <c r="L10" s="10">
        <f t="shared" si="0"/>
        <v>3.8494999999999777</v>
      </c>
    </row>
    <row r="11" spans="1:12" x14ac:dyDescent="0.25">
      <c r="A11" s="62" t="s">
        <v>155</v>
      </c>
      <c r="B11" s="4">
        <v>1</v>
      </c>
      <c r="C11" s="4">
        <f>16000/2</f>
        <v>8000</v>
      </c>
      <c r="D11" s="4">
        <f t="shared" ref="D11" si="3">B11*C11</f>
        <v>8000</v>
      </c>
      <c r="E11" s="4">
        <f t="shared" ref="E11" si="4">D11*0.05</f>
        <v>400</v>
      </c>
      <c r="F11" s="4">
        <f>2500/8</f>
        <v>312.5</v>
      </c>
      <c r="G11" s="4">
        <f>0.2/2</f>
        <v>0.1</v>
      </c>
      <c r="H11" s="4">
        <f t="shared" ref="H11" si="5">G11</f>
        <v>0.1</v>
      </c>
      <c r="I11" s="4">
        <f t="shared" ref="I11" si="6">H11*$C$2</f>
        <v>672</v>
      </c>
      <c r="J11" s="51">
        <f t="shared" ref="J11" si="7">(D11+E11+F11+I11)*$C$4</f>
        <v>272.15050000000002</v>
      </c>
      <c r="K11" s="36"/>
      <c r="L11" s="41"/>
    </row>
    <row r="12" spans="1:12" ht="26.25" x14ac:dyDescent="0.4">
      <c r="A12" s="1" t="s">
        <v>181</v>
      </c>
      <c r="B12" s="2"/>
      <c r="C12" s="2"/>
      <c r="D12" s="2"/>
      <c r="E12" s="2"/>
      <c r="F12" s="2"/>
      <c r="G12" s="2"/>
      <c r="H12" s="2"/>
      <c r="I12" s="2"/>
      <c r="J12" s="52">
        <f>J13</f>
        <v>153.91460000000001</v>
      </c>
      <c r="K12" s="10">
        <v>160</v>
      </c>
      <c r="L12" s="10">
        <f t="shared" si="0"/>
        <v>6.0853999999999928</v>
      </c>
    </row>
    <row r="13" spans="1:12" x14ac:dyDescent="0.25">
      <c r="A13" s="62" t="s">
        <v>102</v>
      </c>
      <c r="B13" s="5">
        <v>1</v>
      </c>
      <c r="C13" s="4">
        <f>11900/3</f>
        <v>3966.6666666666665</v>
      </c>
      <c r="D13" s="4">
        <f t="shared" ref="D13" si="8">B13*C13</f>
        <v>3966.6666666666665</v>
      </c>
      <c r="E13" s="4">
        <f t="shared" ref="E13" si="9">D13*0.05</f>
        <v>198.33333333333334</v>
      </c>
      <c r="F13" s="4">
        <v>0</v>
      </c>
      <c r="G13" s="4">
        <f>0.51/3</f>
        <v>0.17</v>
      </c>
      <c r="H13" s="4">
        <f>G13*B13</f>
        <v>0.17</v>
      </c>
      <c r="I13" s="4">
        <f>H13*$C$2</f>
        <v>1142.4000000000001</v>
      </c>
      <c r="J13" s="51">
        <f>(D13+E13+F13+I13)*$C$4</f>
        <v>153.91460000000001</v>
      </c>
      <c r="K13" s="36"/>
      <c r="L13" s="41"/>
    </row>
    <row r="14" spans="1:12" ht="26.25" x14ac:dyDescent="0.4">
      <c r="A14" s="1" t="s">
        <v>30</v>
      </c>
      <c r="B14" s="2"/>
      <c r="C14" s="2"/>
      <c r="D14" s="2"/>
      <c r="E14" s="2"/>
      <c r="F14" s="2"/>
      <c r="G14" s="2"/>
      <c r="H14" s="2"/>
      <c r="I14" s="2"/>
      <c r="J14" s="52">
        <f>J15</f>
        <v>153.91460000000001</v>
      </c>
      <c r="K14" s="10">
        <v>134</v>
      </c>
      <c r="L14" s="10">
        <f t="shared" si="0"/>
        <v>-19.914600000000007</v>
      </c>
    </row>
    <row r="15" spans="1:12" x14ac:dyDescent="0.25">
      <c r="A15" s="62" t="s">
        <v>102</v>
      </c>
      <c r="B15" s="5">
        <v>1</v>
      </c>
      <c r="C15" s="4">
        <f>11900/3</f>
        <v>3966.6666666666665</v>
      </c>
      <c r="D15" s="4">
        <f t="shared" ref="D15" si="10">B15*C15</f>
        <v>3966.6666666666665</v>
      </c>
      <c r="E15" s="4">
        <f t="shared" ref="E15" si="11">D15*0.05</f>
        <v>198.33333333333334</v>
      </c>
      <c r="F15" s="4">
        <v>0</v>
      </c>
      <c r="G15" s="4">
        <f>0.51/3</f>
        <v>0.17</v>
      </c>
      <c r="H15" s="4">
        <f>G15*B15</f>
        <v>0.17</v>
      </c>
      <c r="I15" s="4">
        <f>H15*$C$2</f>
        <v>1142.4000000000001</v>
      </c>
      <c r="J15" s="51">
        <f>(D15+E15+F15+I15)*$C$4</f>
        <v>153.91460000000001</v>
      </c>
      <c r="K15" s="36"/>
      <c r="L15" s="41"/>
    </row>
    <row r="16" spans="1:12" ht="26.25" x14ac:dyDescent="0.4">
      <c r="A16" s="1" t="s">
        <v>41</v>
      </c>
      <c r="B16" s="2"/>
      <c r="C16" s="2"/>
      <c r="D16" s="2"/>
      <c r="E16" s="2"/>
      <c r="F16" s="2"/>
      <c r="G16" s="2"/>
      <c r="H16" s="2"/>
      <c r="I16" s="2"/>
      <c r="J16" s="52">
        <f>J17</f>
        <v>153.91460000000001</v>
      </c>
      <c r="K16" s="10">
        <v>157</v>
      </c>
      <c r="L16" s="10">
        <f t="shared" ref="L16:L72" si="12">K16-J16</f>
        <v>3.0853999999999928</v>
      </c>
    </row>
    <row r="17" spans="1:34" x14ac:dyDescent="0.25">
      <c r="A17" s="62" t="s">
        <v>102</v>
      </c>
      <c r="B17" s="5">
        <v>1</v>
      </c>
      <c r="C17" s="4">
        <f>11900/3</f>
        <v>3966.6666666666665</v>
      </c>
      <c r="D17" s="4">
        <f t="shared" ref="D17" si="13">B17*C17</f>
        <v>3966.6666666666665</v>
      </c>
      <c r="E17" s="4">
        <f t="shared" ref="E17" si="14">D17*0.05</f>
        <v>198.33333333333334</v>
      </c>
      <c r="F17" s="4">
        <v>0</v>
      </c>
      <c r="G17" s="4">
        <f>0.51/3</f>
        <v>0.17</v>
      </c>
      <c r="H17" s="4">
        <f>G17*B17</f>
        <v>0.17</v>
      </c>
      <c r="I17" s="4">
        <f>H17*$C$2</f>
        <v>1142.4000000000001</v>
      </c>
      <c r="J17" s="51">
        <f>(D17+E17+F17+I17)*$C$4</f>
        <v>153.91460000000001</v>
      </c>
      <c r="K17" s="36"/>
      <c r="L17" s="41"/>
    </row>
    <row r="18" spans="1:34" ht="26.25" x14ac:dyDescent="0.4">
      <c r="A18" s="1" t="s">
        <v>180</v>
      </c>
      <c r="B18" s="2"/>
      <c r="C18" s="2"/>
      <c r="D18" s="2"/>
      <c r="E18" s="2"/>
      <c r="F18" s="2"/>
      <c r="G18" s="2"/>
      <c r="H18" s="2"/>
      <c r="I18" s="2"/>
      <c r="J18" s="52">
        <f>J19</f>
        <v>181.88800000000001</v>
      </c>
      <c r="K18" s="10">
        <v>186</v>
      </c>
      <c r="L18" s="10">
        <f t="shared" si="12"/>
        <v>4.1119999999999948</v>
      </c>
    </row>
    <row r="19" spans="1:34" s="35" customFormat="1" x14ac:dyDescent="0.25">
      <c r="A19" s="64" t="s">
        <v>129</v>
      </c>
      <c r="B19">
        <v>1</v>
      </c>
      <c r="C19">
        <f>16000/3</f>
        <v>5333.333333333333</v>
      </c>
      <c r="D19" s="44">
        <f t="shared" ref="D19" si="15">B19*C19</f>
        <v>5333.333333333333</v>
      </c>
      <c r="E19" s="44">
        <f t="shared" ref="E19" si="16">D19*0.05</f>
        <v>266.66666666666669</v>
      </c>
      <c r="F19" s="4">
        <v>0</v>
      </c>
      <c r="G19" s="4">
        <v>0.1</v>
      </c>
      <c r="H19" s="4">
        <f t="shared" ref="H19" si="17">G19</f>
        <v>0.1</v>
      </c>
      <c r="I19" s="4">
        <f>H19*$C$2</f>
        <v>672</v>
      </c>
      <c r="J19" s="51">
        <f>(D19+E19+F19+I19)*$C$4</f>
        <v>181.88800000000001</v>
      </c>
      <c r="K19" s="34"/>
      <c r="L19" s="41"/>
    </row>
    <row r="20" spans="1:34" ht="26.25" x14ac:dyDescent="0.4">
      <c r="A20" s="1" t="s">
        <v>26</v>
      </c>
      <c r="B20" s="2"/>
      <c r="C20" s="2"/>
      <c r="D20" s="2"/>
      <c r="E20" s="2"/>
      <c r="F20" s="2"/>
      <c r="G20" s="2"/>
      <c r="H20" s="2"/>
      <c r="I20" s="2"/>
      <c r="J20" s="52">
        <f>J21</f>
        <v>181.88800000000001</v>
      </c>
      <c r="K20" s="10">
        <v>128</v>
      </c>
      <c r="L20" s="10">
        <f t="shared" si="12"/>
        <v>-53.888000000000005</v>
      </c>
    </row>
    <row r="21" spans="1:34" s="35" customFormat="1" x14ac:dyDescent="0.25">
      <c r="A21" s="64" t="s">
        <v>129</v>
      </c>
      <c r="B21">
        <v>1</v>
      </c>
      <c r="C21">
        <f>16000/3</f>
        <v>5333.333333333333</v>
      </c>
      <c r="D21" s="44">
        <f t="shared" ref="D21" si="18">B21*C21</f>
        <v>5333.333333333333</v>
      </c>
      <c r="E21" s="44">
        <f t="shared" ref="E21" si="19">D21*0.05</f>
        <v>266.66666666666669</v>
      </c>
      <c r="F21" s="4">
        <v>0</v>
      </c>
      <c r="G21" s="4">
        <v>0.1</v>
      </c>
      <c r="H21" s="4">
        <f t="shared" ref="H21" si="20">G21</f>
        <v>0.1</v>
      </c>
      <c r="I21" s="4">
        <f>H21*$C$2</f>
        <v>672</v>
      </c>
      <c r="J21" s="51">
        <f>(D21+E21+F21+I21)*$C$4</f>
        <v>181.88800000000001</v>
      </c>
      <c r="K21" s="34"/>
      <c r="L21" s="41"/>
    </row>
    <row r="22" spans="1:34" ht="26.25" x14ac:dyDescent="0.4">
      <c r="A22" s="1" t="s">
        <v>0</v>
      </c>
      <c r="B22" s="2"/>
      <c r="C22" s="2"/>
      <c r="D22" s="2"/>
      <c r="E22" s="2"/>
      <c r="F22" s="2"/>
      <c r="G22" s="2"/>
      <c r="H22" s="2"/>
      <c r="I22" s="2"/>
      <c r="J22" s="52">
        <f>J23+J24</f>
        <v>489.71720000000005</v>
      </c>
      <c r="K22" s="10">
        <v>508</v>
      </c>
      <c r="L22" s="10">
        <f t="shared" si="12"/>
        <v>18.282799999999952</v>
      </c>
    </row>
    <row r="23" spans="1:34" x14ac:dyDescent="0.25">
      <c r="A23" s="62" t="s">
        <v>102</v>
      </c>
      <c r="B23" s="66">
        <v>2</v>
      </c>
      <c r="C23" s="4">
        <f>11900/3</f>
        <v>3966.6666666666665</v>
      </c>
      <c r="D23" s="4">
        <f t="shared" ref="D23:D24" si="21">B23*C23</f>
        <v>7933.333333333333</v>
      </c>
      <c r="E23" s="4">
        <f t="shared" ref="E23:E24" si="22">D23*0.05</f>
        <v>396.66666666666669</v>
      </c>
      <c r="F23" s="4">
        <v>0</v>
      </c>
      <c r="G23" s="4">
        <f>0.51/3</f>
        <v>0.17</v>
      </c>
      <c r="H23" s="4">
        <f>G23*B23</f>
        <v>0.34</v>
      </c>
      <c r="I23" s="4">
        <f>H23*$C$2</f>
        <v>2284.8000000000002</v>
      </c>
      <c r="J23" s="51">
        <f>(D23+E23+F23+I23)*$C$4</f>
        <v>307.82920000000001</v>
      </c>
      <c r="K23" s="36"/>
      <c r="L23" s="41"/>
    </row>
    <row r="24" spans="1:34" s="35" customFormat="1" x14ac:dyDescent="0.25">
      <c r="A24" s="64" t="s">
        <v>129</v>
      </c>
      <c r="B24">
        <v>1</v>
      </c>
      <c r="C24">
        <f>16000/3</f>
        <v>5333.333333333333</v>
      </c>
      <c r="D24" s="44">
        <f t="shared" si="21"/>
        <v>5333.333333333333</v>
      </c>
      <c r="E24" s="44">
        <f t="shared" si="22"/>
        <v>266.66666666666669</v>
      </c>
      <c r="F24" s="4">
        <v>0</v>
      </c>
      <c r="G24" s="4">
        <v>0.1</v>
      </c>
      <c r="H24" s="4">
        <f t="shared" ref="H24" si="23">G24</f>
        <v>0.1</v>
      </c>
      <c r="I24" s="4">
        <f>H24*$C$2</f>
        <v>672</v>
      </c>
      <c r="J24" s="51">
        <f>(D24+E24+F24+I24)*$C$4</f>
        <v>181.88800000000001</v>
      </c>
      <c r="K24" s="34"/>
      <c r="L24" s="41"/>
    </row>
    <row r="25" spans="1:34" s="31" customFormat="1" ht="26.25" x14ac:dyDescent="0.4">
      <c r="A25" s="31" t="s">
        <v>179</v>
      </c>
      <c r="J25" s="53">
        <f>J26</f>
        <v>153.91460000000001</v>
      </c>
      <c r="K25" s="31">
        <v>160</v>
      </c>
      <c r="L25" s="10">
        <f>K25-J25</f>
        <v>6.0853999999999928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x14ac:dyDescent="0.25">
      <c r="A26" s="62" t="s">
        <v>102</v>
      </c>
      <c r="B26" s="4">
        <v>1</v>
      </c>
      <c r="C26" s="4">
        <f>11900/3</f>
        <v>3966.6666666666665</v>
      </c>
      <c r="D26" s="4">
        <f t="shared" ref="D26" si="24">B26*C26</f>
        <v>3966.6666666666665</v>
      </c>
      <c r="E26" s="4">
        <f t="shared" ref="E26" si="25">D26*0.05</f>
        <v>198.33333333333334</v>
      </c>
      <c r="F26" s="4">
        <v>0</v>
      </c>
      <c r="G26" s="4">
        <f>0.51/3</f>
        <v>0.17</v>
      </c>
      <c r="H26" s="4">
        <f t="shared" ref="H26" si="26">G26</f>
        <v>0.17</v>
      </c>
      <c r="I26" s="4">
        <f>H26*$C$2</f>
        <v>1142.4000000000001</v>
      </c>
      <c r="J26" s="51">
        <f>(D26+E26+F26+I26)*$C$4</f>
        <v>153.91460000000001</v>
      </c>
      <c r="K26" s="36"/>
      <c r="L26" s="41"/>
    </row>
    <row r="27" spans="1:34" ht="26.25" x14ac:dyDescent="0.4">
      <c r="A27" s="1" t="s">
        <v>177</v>
      </c>
      <c r="B27" s="2"/>
      <c r="C27" s="2"/>
      <c r="D27" s="2"/>
      <c r="E27" s="2"/>
      <c r="F27" s="2"/>
      <c r="G27" s="2"/>
      <c r="H27" s="2"/>
      <c r="I27" s="2"/>
      <c r="J27" s="52">
        <f>SUM(J28:J30)</f>
        <v>510.28110000000004</v>
      </c>
      <c r="K27" s="10">
        <v>528</v>
      </c>
      <c r="L27" s="10">
        <f t="shared" si="12"/>
        <v>17.718899999999962</v>
      </c>
    </row>
    <row r="28" spans="1:34" x14ac:dyDescent="0.25">
      <c r="A28" s="65" t="s">
        <v>168</v>
      </c>
      <c r="B28" s="4">
        <v>1</v>
      </c>
      <c r="C28" s="4">
        <f>8900/2</f>
        <v>4450</v>
      </c>
      <c r="D28" s="4">
        <f>B28*C28</f>
        <v>4450</v>
      </c>
      <c r="E28" s="4">
        <f t="shared" ref="E28" si="27">D28*0.05</f>
        <v>222.5</v>
      </c>
      <c r="F28" s="4">
        <v>0</v>
      </c>
      <c r="G28" s="4">
        <v>0.2</v>
      </c>
      <c r="H28" s="40">
        <f t="shared" ref="H28" si="28">G28*B28</f>
        <v>0.2</v>
      </c>
      <c r="I28" s="4">
        <f t="shared" ref="I28" si="29">H28*$C$2</f>
        <v>1344</v>
      </c>
      <c r="J28" s="51">
        <f t="shared" ref="J28" si="30">(D28+E28+F28+I28)*$C$4</f>
        <v>174.4785</v>
      </c>
      <c r="K28" s="45"/>
      <c r="L28" s="41"/>
    </row>
    <row r="29" spans="1:34" x14ac:dyDescent="0.25">
      <c r="A29" s="62" t="s">
        <v>102</v>
      </c>
      <c r="B29" s="4">
        <v>1</v>
      </c>
      <c r="C29" s="4">
        <f>11900/3</f>
        <v>3966.6666666666665</v>
      </c>
      <c r="D29" s="4">
        <f t="shared" ref="D29:D30" si="31">B29*C29</f>
        <v>3966.6666666666665</v>
      </c>
      <c r="E29" s="4">
        <f t="shared" ref="E29:E30" si="32">D29*0.05</f>
        <v>198.33333333333334</v>
      </c>
      <c r="F29" s="4">
        <v>0</v>
      </c>
      <c r="G29" s="4">
        <f>0.51/3</f>
        <v>0.17</v>
      </c>
      <c r="H29" s="4">
        <f t="shared" ref="H29:H30" si="33">G29</f>
        <v>0.17</v>
      </c>
      <c r="I29" s="4">
        <f>H29*$C$2</f>
        <v>1142.4000000000001</v>
      </c>
      <c r="J29" s="51">
        <f>(D29+E29+F29+I29)*$C$4</f>
        <v>153.91460000000001</v>
      </c>
      <c r="K29" s="36"/>
      <c r="L29" s="41"/>
    </row>
    <row r="30" spans="1:34" s="35" customFormat="1" x14ac:dyDescent="0.25">
      <c r="A30" s="64" t="s">
        <v>129</v>
      </c>
      <c r="B30">
        <v>1</v>
      </c>
      <c r="C30">
        <f>16000/3</f>
        <v>5333.333333333333</v>
      </c>
      <c r="D30" s="44">
        <f t="shared" si="31"/>
        <v>5333.333333333333</v>
      </c>
      <c r="E30" s="44">
        <f t="shared" si="32"/>
        <v>266.66666666666669</v>
      </c>
      <c r="F30" s="4">
        <v>0</v>
      </c>
      <c r="G30" s="4">
        <v>0.1</v>
      </c>
      <c r="H30" s="4">
        <f t="shared" si="33"/>
        <v>0.1</v>
      </c>
      <c r="I30" s="4">
        <f>H30*$C$2</f>
        <v>672</v>
      </c>
      <c r="J30" s="51">
        <f>(D30+E30+F30+I30)*$C$4</f>
        <v>181.88800000000001</v>
      </c>
      <c r="K30" s="34"/>
      <c r="L30" s="41"/>
    </row>
    <row r="31" spans="1:34" ht="26.25" x14ac:dyDescent="0.4">
      <c r="A31" s="31" t="s">
        <v>175</v>
      </c>
      <c r="B31" s="2"/>
      <c r="C31" s="2"/>
      <c r="D31" s="2"/>
      <c r="E31" s="2"/>
      <c r="F31" s="2"/>
      <c r="G31" s="2"/>
      <c r="H31" s="2"/>
      <c r="I31" s="2"/>
      <c r="J31" s="10">
        <f>J32</f>
        <v>572.48900000000003</v>
      </c>
      <c r="K31" s="32">
        <v>584</v>
      </c>
      <c r="L31" s="10">
        <f>K31-J31</f>
        <v>11.510999999999967</v>
      </c>
    </row>
    <row r="32" spans="1:34" x14ac:dyDescent="0.25">
      <c r="A32" s="5" t="s">
        <v>176</v>
      </c>
      <c r="B32" s="5">
        <v>1</v>
      </c>
      <c r="C32" s="5">
        <v>14500</v>
      </c>
      <c r="D32" s="4">
        <f t="shared" ref="D32" si="34">B32*C32</f>
        <v>14500</v>
      </c>
      <c r="E32" s="4">
        <f>D32*0.05</f>
        <v>725</v>
      </c>
      <c r="F32" s="4">
        <v>2500</v>
      </c>
      <c r="G32" s="4">
        <v>0.3</v>
      </c>
      <c r="H32" s="38">
        <f>G32*B32</f>
        <v>0.3</v>
      </c>
      <c r="I32" s="4">
        <f>H32*$C$2</f>
        <v>2016</v>
      </c>
      <c r="J32" s="51">
        <f>(D32+E32+F32+I32)*$C$4</f>
        <v>572.48900000000003</v>
      </c>
      <c r="L32" s="41"/>
    </row>
    <row r="33" spans="1:27" ht="26.25" x14ac:dyDescent="0.4">
      <c r="A33" s="1" t="s">
        <v>32</v>
      </c>
      <c r="B33" s="2"/>
      <c r="C33" s="2"/>
      <c r="D33" s="2"/>
      <c r="E33" s="2"/>
      <c r="F33" s="2"/>
      <c r="G33" s="2"/>
      <c r="H33" s="2"/>
      <c r="I33" s="2"/>
      <c r="J33" s="52">
        <f>SUM(J34:J39)</f>
        <v>1687.8638000000001</v>
      </c>
      <c r="K33" s="32">
        <v>1807</v>
      </c>
      <c r="L33" s="10">
        <f t="shared" si="12"/>
        <v>119.13619999999992</v>
      </c>
      <c r="AA33" t="s">
        <v>90</v>
      </c>
    </row>
    <row r="34" spans="1:27" s="35" customFormat="1" x14ac:dyDescent="0.25">
      <c r="A34" s="4" t="s">
        <v>127</v>
      </c>
      <c r="B34" s="4">
        <v>1</v>
      </c>
      <c r="C34" s="4">
        <v>9900</v>
      </c>
      <c r="D34" s="4">
        <f t="shared" ref="D34:D35" si="35">B34*C34</f>
        <v>9900</v>
      </c>
      <c r="E34" s="4">
        <f>D34*0.05</f>
        <v>495</v>
      </c>
      <c r="F34" s="4">
        <v>0</v>
      </c>
      <c r="G34" s="4">
        <v>0.39</v>
      </c>
      <c r="H34" s="4">
        <f t="shared" ref="H34:H38" si="36">G34*B34</f>
        <v>0.39</v>
      </c>
      <c r="I34" s="4">
        <f t="shared" ref="I34:I92" si="37">H34*$C$2</f>
        <v>2620.8000000000002</v>
      </c>
      <c r="J34" s="51">
        <f t="shared" ref="J34:J92" si="38">(D34+E34+F34+I34)*$C$4</f>
        <v>377.45819999999998</v>
      </c>
      <c r="K34" s="34"/>
      <c r="L34" s="41"/>
      <c r="M34"/>
      <c r="N34" s="34"/>
    </row>
    <row r="35" spans="1:27" s="35" customFormat="1" x14ac:dyDescent="0.25">
      <c r="A35" s="4" t="s">
        <v>172</v>
      </c>
      <c r="B35" s="4">
        <v>1</v>
      </c>
      <c r="C35" s="4">
        <v>3300</v>
      </c>
      <c r="D35" s="4">
        <f t="shared" si="35"/>
        <v>3300</v>
      </c>
      <c r="E35" s="4">
        <f>D35*0.05</f>
        <v>165</v>
      </c>
      <c r="F35" s="4">
        <v>0</v>
      </c>
      <c r="G35" s="4">
        <v>0.34</v>
      </c>
      <c r="H35" s="4">
        <f t="shared" si="36"/>
        <v>0.34</v>
      </c>
      <c r="I35" s="4">
        <f t="shared" si="37"/>
        <v>2284.8000000000002</v>
      </c>
      <c r="J35" s="51">
        <f t="shared" si="38"/>
        <v>166.74420000000001</v>
      </c>
      <c r="K35" s="34"/>
      <c r="L35" s="41"/>
      <c r="M35"/>
    </row>
    <row r="36" spans="1:27" s="35" customFormat="1" x14ac:dyDescent="0.25">
      <c r="A36" s="4" t="s">
        <v>173</v>
      </c>
      <c r="B36" s="4">
        <v>1</v>
      </c>
      <c r="C36" s="4">
        <v>2000</v>
      </c>
      <c r="D36" s="4">
        <f t="shared" ref="D36:D39" si="39">B36*C36</f>
        <v>2000</v>
      </c>
      <c r="E36" s="4">
        <f t="shared" ref="E36:E39" si="40">D36*0.05</f>
        <v>100</v>
      </c>
      <c r="F36" s="4">
        <v>0</v>
      </c>
      <c r="G36" s="4">
        <v>0.4</v>
      </c>
      <c r="H36" s="4">
        <f t="shared" si="36"/>
        <v>0.4</v>
      </c>
      <c r="I36" s="4">
        <f t="shared" ref="I36:I38" si="41">H36*$C$2</f>
        <v>2688</v>
      </c>
      <c r="J36" s="51">
        <f t="shared" ref="J36:J38" si="42">(D36+E36+F36+I36)*$C$4</f>
        <v>138.852</v>
      </c>
      <c r="K36" s="34"/>
      <c r="L36" s="41"/>
      <c r="M36"/>
    </row>
    <row r="37" spans="1:27" s="35" customFormat="1" x14ac:dyDescent="0.25">
      <c r="A37" s="4" t="s">
        <v>173</v>
      </c>
      <c r="B37" s="4">
        <v>1</v>
      </c>
      <c r="C37" s="4">
        <v>2000</v>
      </c>
      <c r="D37" s="4">
        <f t="shared" si="39"/>
        <v>2000</v>
      </c>
      <c r="E37" s="4">
        <f t="shared" si="40"/>
        <v>100</v>
      </c>
      <c r="F37" s="4">
        <v>0</v>
      </c>
      <c r="G37" s="4">
        <v>0.4</v>
      </c>
      <c r="H37" s="4">
        <f t="shared" si="36"/>
        <v>0.4</v>
      </c>
      <c r="I37" s="4">
        <f t="shared" si="41"/>
        <v>2688</v>
      </c>
      <c r="J37" s="51">
        <f t="shared" si="42"/>
        <v>138.852</v>
      </c>
      <c r="K37" s="34"/>
      <c r="L37" s="41"/>
      <c r="M37"/>
    </row>
    <row r="38" spans="1:27" s="35" customFormat="1" x14ac:dyDescent="0.25">
      <c r="A38" s="4" t="s">
        <v>174</v>
      </c>
      <c r="B38" s="4">
        <v>1</v>
      </c>
      <c r="C38" s="4">
        <v>9900</v>
      </c>
      <c r="D38" s="4">
        <f t="shared" si="39"/>
        <v>9900</v>
      </c>
      <c r="E38" s="4">
        <f t="shared" si="40"/>
        <v>495</v>
      </c>
      <c r="F38" s="4">
        <v>0</v>
      </c>
      <c r="G38" s="4">
        <v>1.03</v>
      </c>
      <c r="H38" s="4">
        <f t="shared" si="36"/>
        <v>1.03</v>
      </c>
      <c r="I38" s="4">
        <f t="shared" si="41"/>
        <v>6921.6</v>
      </c>
      <c r="J38" s="51">
        <f t="shared" si="42"/>
        <v>502.1814</v>
      </c>
      <c r="K38" s="34"/>
      <c r="L38" s="41"/>
      <c r="M38"/>
    </row>
    <row r="39" spans="1:27" s="35" customFormat="1" x14ac:dyDescent="0.25">
      <c r="A39" s="64" t="s">
        <v>129</v>
      </c>
      <c r="B39" s="66">
        <v>2</v>
      </c>
      <c r="C39" s="4">
        <f>16000/3</f>
        <v>5333.333333333333</v>
      </c>
      <c r="D39" s="44">
        <f t="shared" si="39"/>
        <v>10666.666666666666</v>
      </c>
      <c r="E39" s="44">
        <f t="shared" si="40"/>
        <v>533.33333333333337</v>
      </c>
      <c r="F39" s="4">
        <v>0</v>
      </c>
      <c r="G39" s="4">
        <v>0.1</v>
      </c>
      <c r="H39" s="4">
        <f>G39*B39</f>
        <v>0.2</v>
      </c>
      <c r="I39" s="4">
        <f>H39*$C$2</f>
        <v>1344</v>
      </c>
      <c r="J39" s="51">
        <f>(D39+E39+F39+I39)*$C$4</f>
        <v>363.77600000000001</v>
      </c>
      <c r="K39" s="34"/>
      <c r="L39" s="41"/>
    </row>
    <row r="40" spans="1:27" ht="26.25" x14ac:dyDescent="0.4">
      <c r="A40" s="1" t="s">
        <v>169</v>
      </c>
      <c r="B40" s="2"/>
      <c r="C40" s="2"/>
      <c r="D40" s="2"/>
      <c r="E40" s="2"/>
      <c r="F40" s="2"/>
      <c r="G40" s="2"/>
      <c r="H40" s="2"/>
      <c r="I40" s="2"/>
      <c r="J40" s="10">
        <f>SUM(J41:J43)</f>
        <v>810.88059999999996</v>
      </c>
      <c r="K40" s="32">
        <v>843</v>
      </c>
      <c r="L40" s="10">
        <f>K40-J40</f>
        <v>32.119400000000041</v>
      </c>
    </row>
    <row r="41" spans="1:27" s="35" customFormat="1" x14ac:dyDescent="0.25">
      <c r="A41" s="4" t="s">
        <v>170</v>
      </c>
      <c r="B41" s="66">
        <v>2</v>
      </c>
      <c r="C41" s="5">
        <v>5400</v>
      </c>
      <c r="D41" s="4">
        <f t="shared" ref="D41:D43" si="43">B41*C41</f>
        <v>10800</v>
      </c>
      <c r="E41" s="4">
        <f>D41*0.05</f>
        <v>540</v>
      </c>
      <c r="F41" s="4">
        <v>0</v>
      </c>
      <c r="G41" s="5">
        <v>0.2</v>
      </c>
      <c r="H41" s="4">
        <f>G41*B41</f>
        <v>0.4</v>
      </c>
      <c r="I41" s="4">
        <f>H41*$C$2</f>
        <v>2688</v>
      </c>
      <c r="J41" s="51">
        <f t="shared" si="38"/>
        <v>406.81200000000001</v>
      </c>
      <c r="K41" s="36"/>
      <c r="L41" s="36"/>
    </row>
    <row r="42" spans="1:27" x14ac:dyDescent="0.25">
      <c r="A42" s="62" t="s">
        <v>102</v>
      </c>
      <c r="B42" s="4">
        <v>1</v>
      </c>
      <c r="C42" s="4">
        <f>11900/3</f>
        <v>3966.6666666666665</v>
      </c>
      <c r="D42" s="4">
        <f t="shared" si="43"/>
        <v>3966.6666666666665</v>
      </c>
      <c r="E42" s="4">
        <f t="shared" ref="E42" si="44">D42*0.05</f>
        <v>198.33333333333334</v>
      </c>
      <c r="F42" s="4">
        <v>0</v>
      </c>
      <c r="G42" s="4">
        <f>0.51/3</f>
        <v>0.17</v>
      </c>
      <c r="H42" s="4">
        <f t="shared" ref="H42:H43" si="45">G42</f>
        <v>0.17</v>
      </c>
      <c r="I42" s="4">
        <f>H42*$C$2</f>
        <v>1142.4000000000001</v>
      </c>
      <c r="J42" s="51">
        <f>(D42+E42+F42+I42)*$C$4</f>
        <v>153.91460000000001</v>
      </c>
      <c r="K42" s="36"/>
      <c r="L42" s="41"/>
    </row>
    <row r="43" spans="1:27" s="35" customFormat="1" x14ac:dyDescent="0.25">
      <c r="A43" s="4" t="s">
        <v>171</v>
      </c>
      <c r="B43" s="4">
        <v>1</v>
      </c>
      <c r="C43" s="4">
        <v>5700</v>
      </c>
      <c r="D43" s="4">
        <f t="shared" si="43"/>
        <v>5700</v>
      </c>
      <c r="E43" s="4">
        <f t="shared" ref="E43" si="46">D43*0.05</f>
        <v>285</v>
      </c>
      <c r="F43" s="4">
        <f>2500/4</f>
        <v>625</v>
      </c>
      <c r="G43" s="4">
        <v>0.3</v>
      </c>
      <c r="H43" s="4">
        <f t="shared" si="45"/>
        <v>0.3</v>
      </c>
      <c r="I43" s="4">
        <f t="shared" si="37"/>
        <v>2016</v>
      </c>
      <c r="J43" s="51">
        <f t="shared" si="38"/>
        <v>250.15400000000002</v>
      </c>
      <c r="K43" s="36"/>
      <c r="L43" s="36"/>
    </row>
    <row r="44" spans="1:27" ht="26.25" x14ac:dyDescent="0.4">
      <c r="A44" s="31" t="s">
        <v>40</v>
      </c>
      <c r="B44" s="2"/>
      <c r="C44" s="2"/>
      <c r="D44" s="2"/>
      <c r="E44" s="2"/>
      <c r="F44" s="2"/>
      <c r="G44" s="2"/>
      <c r="H44" s="2"/>
      <c r="I44" s="2"/>
      <c r="J44" s="10">
        <f>SUM(J45:J48)</f>
        <v>1022.6560000000002</v>
      </c>
      <c r="K44" s="32">
        <v>1056</v>
      </c>
      <c r="L44" s="10">
        <f t="shared" si="12"/>
        <v>33.343999999999824</v>
      </c>
      <c r="M44" s="54"/>
    </row>
    <row r="45" spans="1:27" x14ac:dyDescent="0.25">
      <c r="A45" s="4" t="s">
        <v>167</v>
      </c>
      <c r="B45" s="4">
        <v>1</v>
      </c>
      <c r="C45" s="4">
        <v>9250</v>
      </c>
      <c r="D45" s="4">
        <f t="shared" ref="D45:D47" si="47">B45*C45</f>
        <v>9250</v>
      </c>
      <c r="E45" s="4">
        <f>D45*0.05</f>
        <v>462.5</v>
      </c>
      <c r="F45">
        <v>2500</v>
      </c>
      <c r="G45">
        <v>0.4</v>
      </c>
      <c r="H45" s="38">
        <f>G45*B45</f>
        <v>0.4</v>
      </c>
      <c r="I45" s="4">
        <f t="shared" si="37"/>
        <v>2688</v>
      </c>
      <c r="J45" s="51">
        <f t="shared" si="38"/>
        <v>432.11450000000002</v>
      </c>
      <c r="K45" s="36"/>
      <c r="L45" s="41"/>
    </row>
    <row r="46" spans="1:27" x14ac:dyDescent="0.25">
      <c r="A46" s="4" t="s">
        <v>156</v>
      </c>
      <c r="B46" s="4">
        <v>1</v>
      </c>
      <c r="C46" s="4">
        <v>5220</v>
      </c>
      <c r="D46" s="4">
        <f t="shared" si="47"/>
        <v>5220</v>
      </c>
      <c r="E46" s="4">
        <f t="shared" ref="E46:E48" si="48">D46*0.05</f>
        <v>261</v>
      </c>
      <c r="F46" s="4">
        <f>2500/2</f>
        <v>1250</v>
      </c>
      <c r="G46" s="4">
        <v>0.2</v>
      </c>
      <c r="H46" s="38">
        <f>G46*B46</f>
        <v>0.2</v>
      </c>
      <c r="I46" s="4">
        <f t="shared" si="37"/>
        <v>1344</v>
      </c>
      <c r="J46" s="51">
        <f t="shared" si="38"/>
        <v>234.17500000000001</v>
      </c>
      <c r="K46" s="36"/>
      <c r="L46" s="41"/>
    </row>
    <row r="47" spans="1:27" s="35" customFormat="1" x14ac:dyDescent="0.25">
      <c r="A47" s="64" t="s">
        <v>129</v>
      </c>
      <c r="B47" s="4">
        <v>1</v>
      </c>
      <c r="C47" s="4">
        <f>16000/3</f>
        <v>5333.333333333333</v>
      </c>
      <c r="D47" s="44">
        <f t="shared" si="47"/>
        <v>5333.333333333333</v>
      </c>
      <c r="E47" s="44">
        <f t="shared" si="48"/>
        <v>266.66666666666669</v>
      </c>
      <c r="F47" s="4">
        <v>0</v>
      </c>
      <c r="G47" s="4">
        <v>0.1</v>
      </c>
      <c r="H47" s="4">
        <f t="shared" ref="H47" si="49">G47</f>
        <v>0.1</v>
      </c>
      <c r="I47" s="4">
        <f>H47*$C$2</f>
        <v>672</v>
      </c>
      <c r="J47" s="51">
        <f>(D47+E47+F47+I47)*$C$4</f>
        <v>181.88800000000001</v>
      </c>
      <c r="K47" s="34"/>
      <c r="L47" s="41"/>
    </row>
    <row r="48" spans="1:27" x14ac:dyDescent="0.25">
      <c r="A48" s="65" t="s">
        <v>168</v>
      </c>
      <c r="B48" s="4">
        <v>1</v>
      </c>
      <c r="C48" s="4">
        <f>8900/2</f>
        <v>4450</v>
      </c>
      <c r="D48" s="4">
        <f>B48*C48</f>
        <v>4450</v>
      </c>
      <c r="E48" s="4">
        <f t="shared" si="48"/>
        <v>222.5</v>
      </c>
      <c r="F48" s="4">
        <v>0</v>
      </c>
      <c r="G48" s="4">
        <v>0.2</v>
      </c>
      <c r="H48" s="40">
        <f t="shared" ref="H48" si="50">G48*B48</f>
        <v>0.2</v>
      </c>
      <c r="I48" s="4">
        <f t="shared" ref="I48" si="51">H48*$C$2</f>
        <v>1344</v>
      </c>
      <c r="J48" s="51">
        <f t="shared" ref="J48" si="52">(D48+E48+F48+I48)*$C$4</f>
        <v>174.4785</v>
      </c>
      <c r="K48" s="45"/>
      <c r="L48" s="41"/>
    </row>
    <row r="49" spans="1:12" ht="26.25" x14ac:dyDescent="0.4">
      <c r="A49" s="31" t="s">
        <v>165</v>
      </c>
      <c r="B49" s="2"/>
      <c r="C49" s="2"/>
      <c r="D49" s="2"/>
      <c r="E49" s="2"/>
      <c r="F49" s="2"/>
      <c r="G49" s="2"/>
      <c r="H49" s="2"/>
      <c r="I49" s="2"/>
      <c r="J49" s="10">
        <f>SUM(J50:J54)</f>
        <v>1237.0790999999999</v>
      </c>
      <c r="K49" s="32">
        <v>1277</v>
      </c>
      <c r="L49" s="10">
        <f>K49-J49</f>
        <v>39.920900000000074</v>
      </c>
    </row>
    <row r="50" spans="1:12" x14ac:dyDescent="0.25">
      <c r="A50" s="4" t="s">
        <v>127</v>
      </c>
      <c r="B50" s="4">
        <v>1</v>
      </c>
      <c r="C50" s="4">
        <v>3300</v>
      </c>
      <c r="D50" s="4">
        <f t="shared" ref="D50:D54" si="53">B50*C50</f>
        <v>3300</v>
      </c>
      <c r="E50" s="4">
        <f t="shared" ref="E50" si="54">D50*0.05</f>
        <v>165</v>
      </c>
      <c r="F50" s="4">
        <v>0</v>
      </c>
      <c r="G50" s="4">
        <v>0.4</v>
      </c>
      <c r="H50" s="38">
        <f>G50*B50</f>
        <v>0.4</v>
      </c>
      <c r="I50" s="4">
        <f t="shared" si="37"/>
        <v>2688</v>
      </c>
      <c r="J50" s="51">
        <f t="shared" si="38"/>
        <v>178.43700000000001</v>
      </c>
      <c r="K50" s="36"/>
      <c r="L50" s="41"/>
    </row>
    <row r="51" spans="1:12" x14ac:dyDescent="0.25">
      <c r="A51" s="4" t="s">
        <v>166</v>
      </c>
      <c r="B51" s="4">
        <v>1</v>
      </c>
      <c r="C51" s="4">
        <v>10500</v>
      </c>
      <c r="D51" s="4">
        <f t="shared" si="53"/>
        <v>10500</v>
      </c>
      <c r="E51" s="4">
        <f>D51*0.05</f>
        <v>525</v>
      </c>
      <c r="F51" s="4">
        <v>2500</v>
      </c>
      <c r="G51" s="4">
        <v>0.3</v>
      </c>
      <c r="H51" s="38">
        <f>G51*B51</f>
        <v>0.3</v>
      </c>
      <c r="I51" s="4">
        <f t="shared" si="37"/>
        <v>2016</v>
      </c>
      <c r="J51" s="51">
        <f t="shared" si="38"/>
        <v>450.68900000000002</v>
      </c>
      <c r="K51" s="36"/>
      <c r="L51" s="41"/>
    </row>
    <row r="52" spans="1:12" x14ac:dyDescent="0.25">
      <c r="A52" s="62" t="s">
        <v>155</v>
      </c>
      <c r="B52" s="4">
        <v>1</v>
      </c>
      <c r="C52" s="4">
        <f>16000/2</f>
        <v>8000</v>
      </c>
      <c r="D52" s="4">
        <f t="shared" si="53"/>
        <v>8000</v>
      </c>
      <c r="E52" s="4">
        <f t="shared" ref="E52" si="55">D52*0.05</f>
        <v>400</v>
      </c>
      <c r="F52" s="4">
        <f>2500/8</f>
        <v>312.5</v>
      </c>
      <c r="G52" s="4">
        <f>0.2/2</f>
        <v>0.1</v>
      </c>
      <c r="H52" s="4">
        <f t="shared" ref="H52" si="56">G52</f>
        <v>0.1</v>
      </c>
      <c r="I52" s="4">
        <f t="shared" si="37"/>
        <v>672</v>
      </c>
      <c r="J52" s="51">
        <f t="shared" si="38"/>
        <v>272.15050000000002</v>
      </c>
      <c r="K52" s="36"/>
      <c r="L52" s="41"/>
    </row>
    <row r="53" spans="1:12" x14ac:dyDescent="0.25">
      <c r="A53" s="62" t="s">
        <v>102</v>
      </c>
      <c r="B53" s="4">
        <v>1</v>
      </c>
      <c r="C53" s="4">
        <f>11900/3</f>
        <v>3966.6666666666665</v>
      </c>
      <c r="D53" s="4">
        <f t="shared" si="53"/>
        <v>3966.6666666666665</v>
      </c>
      <c r="E53" s="4">
        <f t="shared" ref="E53" si="57">D53*0.05</f>
        <v>198.33333333333334</v>
      </c>
      <c r="F53" s="4">
        <v>0</v>
      </c>
      <c r="G53" s="4">
        <f>0.51/3</f>
        <v>0.17</v>
      </c>
      <c r="H53" s="4">
        <f t="shared" ref="H53" si="58">G53</f>
        <v>0.17</v>
      </c>
      <c r="I53" s="4">
        <f>H53*$C$2</f>
        <v>1142.4000000000001</v>
      </c>
      <c r="J53" s="51">
        <f>(D53+E53+F53+I53)*$C$4</f>
        <v>153.91460000000001</v>
      </c>
      <c r="K53" s="36"/>
      <c r="L53" s="41"/>
    </row>
    <row r="54" spans="1:12" s="35" customFormat="1" x14ac:dyDescent="0.25">
      <c r="A54" s="64" t="s">
        <v>129</v>
      </c>
      <c r="B54">
        <v>1</v>
      </c>
      <c r="C54">
        <f>16000/3</f>
        <v>5333.333333333333</v>
      </c>
      <c r="D54" s="44">
        <f t="shared" si="53"/>
        <v>5333.333333333333</v>
      </c>
      <c r="E54" s="44">
        <f t="shared" ref="E54" si="59">D54*0.05</f>
        <v>266.66666666666669</v>
      </c>
      <c r="F54" s="4">
        <v>0</v>
      </c>
      <c r="G54" s="4">
        <v>0.1</v>
      </c>
      <c r="H54" s="4">
        <f t="shared" ref="H54" si="60">G54</f>
        <v>0.1</v>
      </c>
      <c r="I54" s="4">
        <f>H54*$C$2</f>
        <v>672</v>
      </c>
      <c r="J54" s="51">
        <f>(D54+E54+F54+I54)*$C$4</f>
        <v>181.88800000000001</v>
      </c>
      <c r="K54" s="34"/>
      <c r="L54" s="41"/>
    </row>
    <row r="55" spans="1:12" ht="26.25" x14ac:dyDescent="0.4">
      <c r="A55" s="31" t="s">
        <v>2</v>
      </c>
      <c r="B55" s="31"/>
      <c r="C55" s="31"/>
      <c r="D55" s="2"/>
      <c r="E55" s="2"/>
      <c r="F55" s="2"/>
      <c r="G55" s="2"/>
      <c r="H55" s="2"/>
      <c r="I55" s="2"/>
      <c r="J55" s="10">
        <f>SUM(J56:J59)</f>
        <v>2984.7902000000004</v>
      </c>
      <c r="K55" s="32">
        <v>3070</v>
      </c>
      <c r="L55" s="10">
        <f t="shared" si="12"/>
        <v>85.209799999999632</v>
      </c>
    </row>
    <row r="56" spans="1:12" x14ac:dyDescent="0.25">
      <c r="A56" s="4" t="s">
        <v>163</v>
      </c>
      <c r="B56" s="4">
        <v>1</v>
      </c>
      <c r="C56" s="4">
        <v>5400</v>
      </c>
      <c r="D56" s="4">
        <f t="shared" ref="D56:D59" si="61">B56*C56</f>
        <v>5400</v>
      </c>
      <c r="E56" s="4">
        <f t="shared" ref="E56" si="62">D56*0.05</f>
        <v>270</v>
      </c>
      <c r="F56" s="5">
        <v>2300</v>
      </c>
      <c r="G56" s="5">
        <v>0.3</v>
      </c>
      <c r="H56" s="38">
        <f t="shared" ref="H56:H59" si="63">G56*B56</f>
        <v>0.3</v>
      </c>
      <c r="I56" s="4">
        <f t="shared" si="37"/>
        <v>2016</v>
      </c>
      <c r="J56" s="51">
        <f t="shared" si="38"/>
        <v>289.59399999999999</v>
      </c>
      <c r="K56" s="36"/>
      <c r="L56" s="41"/>
    </row>
    <row r="57" spans="1:12" x14ac:dyDescent="0.25">
      <c r="A57" s="4" t="s">
        <v>67</v>
      </c>
      <c r="B57" s="4">
        <v>1</v>
      </c>
      <c r="C57" s="4">
        <v>15000</v>
      </c>
      <c r="D57" s="4">
        <f t="shared" si="61"/>
        <v>15000</v>
      </c>
      <c r="E57" s="4">
        <f>D57*0.05</f>
        <v>750</v>
      </c>
      <c r="F57" s="5">
        <v>0</v>
      </c>
      <c r="G57" s="5">
        <v>0.31</v>
      </c>
      <c r="H57" s="38">
        <f t="shared" si="63"/>
        <v>0.31</v>
      </c>
      <c r="I57" s="4">
        <f t="shared" si="37"/>
        <v>2083.1999999999998</v>
      </c>
      <c r="J57" s="51">
        <f t="shared" si="38"/>
        <v>517.16280000000006</v>
      </c>
      <c r="K57" s="36"/>
      <c r="L57" s="41"/>
    </row>
    <row r="58" spans="1:12" x14ac:dyDescent="0.25">
      <c r="A58" s="21" t="s">
        <v>161</v>
      </c>
      <c r="B58" s="21">
        <v>3</v>
      </c>
      <c r="C58" s="21">
        <v>4900</v>
      </c>
      <c r="D58" s="4">
        <f t="shared" si="61"/>
        <v>14700</v>
      </c>
      <c r="E58" s="4">
        <f>D58*0.05</f>
        <v>735</v>
      </c>
      <c r="F58" s="5">
        <f>2500/5</f>
        <v>500</v>
      </c>
      <c r="G58" s="5">
        <v>0.3</v>
      </c>
      <c r="H58" s="38">
        <f t="shared" si="63"/>
        <v>0.89999999999999991</v>
      </c>
      <c r="I58" s="4">
        <f t="shared" si="37"/>
        <v>6047.9999999999991</v>
      </c>
      <c r="J58" s="51">
        <f t="shared" si="38"/>
        <v>637.50700000000006</v>
      </c>
      <c r="K58" s="36"/>
      <c r="L58" s="41"/>
    </row>
    <row r="59" spans="1:12" x14ac:dyDescent="0.25">
      <c r="A59" s="4" t="s">
        <v>164</v>
      </c>
      <c r="B59" s="21">
        <v>1</v>
      </c>
      <c r="C59" s="21">
        <v>45600</v>
      </c>
      <c r="D59" s="4">
        <f t="shared" si="61"/>
        <v>45600</v>
      </c>
      <c r="E59" s="4">
        <f t="shared" ref="E59" si="64">D59*0.05</f>
        <v>2280</v>
      </c>
      <c r="F59" s="5">
        <v>0</v>
      </c>
      <c r="G59" s="5">
        <v>0.78</v>
      </c>
      <c r="H59" s="38">
        <f t="shared" si="63"/>
        <v>0.78</v>
      </c>
      <c r="I59" s="4">
        <f t="shared" si="37"/>
        <v>5241.6000000000004</v>
      </c>
      <c r="J59" s="51">
        <f t="shared" si="38"/>
        <v>1540.5264</v>
      </c>
      <c r="K59" s="36"/>
      <c r="L59" s="41"/>
    </row>
    <row r="60" spans="1:12" ht="31.5" x14ac:dyDescent="0.5">
      <c r="A60" s="59" t="s">
        <v>160</v>
      </c>
      <c r="B60" s="59"/>
      <c r="C60" s="59"/>
      <c r="D60" s="2"/>
      <c r="E60" s="2"/>
      <c r="F60" s="2"/>
      <c r="G60" s="2"/>
      <c r="H60" s="2"/>
      <c r="I60" s="2"/>
      <c r="J60" s="10">
        <f>SUM(J61:J64)</f>
        <v>1741.7951000000003</v>
      </c>
      <c r="K60" s="32">
        <v>1779</v>
      </c>
      <c r="L60" s="10">
        <f t="shared" si="12"/>
        <v>37.204899999999725</v>
      </c>
    </row>
    <row r="61" spans="1:12" x14ac:dyDescent="0.25">
      <c r="A61" s="62" t="s">
        <v>155</v>
      </c>
      <c r="B61" s="4">
        <v>1</v>
      </c>
      <c r="C61" s="4">
        <f>16000/2</f>
        <v>8000</v>
      </c>
      <c r="D61" s="4">
        <f t="shared" ref="D61" si="65">B61*C61</f>
        <v>8000</v>
      </c>
      <c r="E61" s="4">
        <f t="shared" ref="E61" si="66">D61*0.05</f>
        <v>400</v>
      </c>
      <c r="F61" s="4">
        <f>2500/8</f>
        <v>312.5</v>
      </c>
      <c r="G61" s="4">
        <f>0.2/2</f>
        <v>0.1</v>
      </c>
      <c r="H61" s="4">
        <f t="shared" ref="H61" si="67">G61</f>
        <v>0.1</v>
      </c>
      <c r="I61" s="4">
        <f t="shared" ref="I61" si="68">H61*$C$2</f>
        <v>672</v>
      </c>
      <c r="J61" s="51">
        <f t="shared" ref="J61" si="69">(D61+E61+F61+I61)*$C$4</f>
        <v>272.15050000000002</v>
      </c>
      <c r="K61" s="36"/>
      <c r="L61" s="41"/>
    </row>
    <row r="62" spans="1:12" x14ac:dyDescent="0.25">
      <c r="A62" s="63" t="s">
        <v>161</v>
      </c>
      <c r="B62" s="21">
        <v>1</v>
      </c>
      <c r="C62" s="21">
        <v>4900</v>
      </c>
      <c r="D62" s="4">
        <f t="shared" ref="D62:D64" si="70">B62*C62</f>
        <v>4900</v>
      </c>
      <c r="E62" s="4">
        <f>D62*0.05</f>
        <v>245</v>
      </c>
      <c r="F62" s="5">
        <f>2500/5</f>
        <v>500</v>
      </c>
      <c r="G62" s="5">
        <v>0.3</v>
      </c>
      <c r="H62" s="37">
        <f>G62</f>
        <v>0.3</v>
      </c>
      <c r="I62" s="4">
        <f t="shared" si="37"/>
        <v>2016</v>
      </c>
      <c r="J62" s="51">
        <f t="shared" si="38"/>
        <v>222.16900000000001</v>
      </c>
      <c r="K62" s="36"/>
      <c r="L62" s="41"/>
    </row>
    <row r="63" spans="1:12" x14ac:dyDescent="0.25">
      <c r="A63" s="4" t="s">
        <v>67</v>
      </c>
      <c r="B63" s="4">
        <v>1</v>
      </c>
      <c r="C63" s="4">
        <v>15000</v>
      </c>
      <c r="D63" s="4">
        <f t="shared" si="70"/>
        <v>15000</v>
      </c>
      <c r="E63" s="4">
        <f t="shared" ref="E63:E64" si="71">D63*0.05</f>
        <v>750</v>
      </c>
      <c r="F63" s="5">
        <v>0</v>
      </c>
      <c r="G63" s="5">
        <v>0.31</v>
      </c>
      <c r="H63" s="38">
        <f>G63*B63</f>
        <v>0.31</v>
      </c>
      <c r="I63" s="4">
        <f t="shared" si="37"/>
        <v>2083.1999999999998</v>
      </c>
      <c r="J63" s="51">
        <f t="shared" si="38"/>
        <v>517.16280000000006</v>
      </c>
      <c r="K63" s="36"/>
      <c r="L63" s="41"/>
    </row>
    <row r="64" spans="1:12" x14ac:dyDescent="0.25">
      <c r="A64" s="4" t="s">
        <v>162</v>
      </c>
      <c r="B64" s="4">
        <v>1</v>
      </c>
      <c r="C64" s="4">
        <v>22000</v>
      </c>
      <c r="D64" s="4">
        <f t="shared" si="70"/>
        <v>22000</v>
      </c>
      <c r="E64" s="4">
        <f t="shared" si="71"/>
        <v>1100</v>
      </c>
      <c r="F64" s="5">
        <v>0</v>
      </c>
      <c r="G64" s="5">
        <v>0.31</v>
      </c>
      <c r="H64" s="38">
        <f t="shared" ref="H64" si="72">G64*B64</f>
        <v>0.31</v>
      </c>
      <c r="I64" s="4">
        <f t="shared" si="37"/>
        <v>2083.1999999999998</v>
      </c>
      <c r="J64" s="51">
        <f t="shared" si="38"/>
        <v>730.31280000000004</v>
      </c>
      <c r="K64" s="36"/>
      <c r="L64" s="41"/>
    </row>
    <row r="65" spans="1:13" ht="31.5" x14ac:dyDescent="0.5">
      <c r="A65" s="59" t="s">
        <v>27</v>
      </c>
      <c r="B65" s="59"/>
      <c r="C65" s="59"/>
      <c r="D65" s="2"/>
      <c r="E65" s="2"/>
      <c r="F65" s="2"/>
      <c r="G65" s="2"/>
      <c r="H65" s="2"/>
      <c r="I65" s="2"/>
      <c r="J65" s="10">
        <f>J66</f>
        <v>424.50200000000001</v>
      </c>
      <c r="K65" s="32">
        <v>439</v>
      </c>
      <c r="L65" s="10">
        <f>K65-J65</f>
        <v>14.49799999999999</v>
      </c>
    </row>
    <row r="66" spans="1:13" x14ac:dyDescent="0.25">
      <c r="A66" t="s">
        <v>159</v>
      </c>
      <c r="B66">
        <v>1</v>
      </c>
      <c r="C66">
        <v>9000</v>
      </c>
      <c r="D66" s="4">
        <f t="shared" ref="D66" si="73">B66*C66</f>
        <v>9000</v>
      </c>
      <c r="E66" s="4">
        <f t="shared" ref="E66:E90" si="74">D66*0.05</f>
        <v>450</v>
      </c>
      <c r="F66" s="4">
        <v>2500</v>
      </c>
      <c r="G66" s="4">
        <v>0.4</v>
      </c>
      <c r="H66" s="4">
        <f t="shared" ref="H66" si="75">G66</f>
        <v>0.4</v>
      </c>
      <c r="I66" s="4">
        <f t="shared" si="37"/>
        <v>2688</v>
      </c>
      <c r="J66" s="51">
        <f t="shared" si="38"/>
        <v>424.50200000000001</v>
      </c>
      <c r="K66" s="36"/>
      <c r="L66" s="41"/>
    </row>
    <row r="67" spans="1:13" ht="31.5" x14ac:dyDescent="0.5">
      <c r="A67" s="59" t="s">
        <v>158</v>
      </c>
      <c r="B67" s="2"/>
      <c r="C67" s="2"/>
      <c r="D67" s="2"/>
      <c r="E67" s="2"/>
      <c r="F67" s="2"/>
      <c r="G67" s="2"/>
      <c r="H67" s="2"/>
      <c r="I67" s="2"/>
      <c r="J67" s="10">
        <f>J68+J69</f>
        <v>335.80259999999998</v>
      </c>
      <c r="K67" s="32">
        <v>346</v>
      </c>
      <c r="L67" s="10">
        <f>K67-J67</f>
        <v>10.197400000000016</v>
      </c>
    </row>
    <row r="68" spans="1:13" x14ac:dyDescent="0.25">
      <c r="A68" s="62" t="s">
        <v>102</v>
      </c>
      <c r="B68" s="4">
        <v>1</v>
      </c>
      <c r="C68" s="4">
        <f>11900/3</f>
        <v>3966.6666666666665</v>
      </c>
      <c r="D68" s="4">
        <f t="shared" ref="D68" si="76">B68*C68</f>
        <v>3966.6666666666665</v>
      </c>
      <c r="E68" s="4">
        <f t="shared" ref="E68" si="77">D68*0.05</f>
        <v>198.33333333333334</v>
      </c>
      <c r="F68" s="4">
        <v>0</v>
      </c>
      <c r="G68" s="4">
        <f>0.51/3</f>
        <v>0.17</v>
      </c>
      <c r="H68" s="4">
        <f t="shared" ref="H68" si="78">G68</f>
        <v>0.17</v>
      </c>
      <c r="I68" s="4">
        <f>H68*$C$2</f>
        <v>1142.4000000000001</v>
      </c>
      <c r="J68" s="51">
        <f>(D68+E68+F68+I68)*$C$4</f>
        <v>153.91460000000001</v>
      </c>
      <c r="K68" s="36"/>
      <c r="L68" s="41"/>
    </row>
    <row r="69" spans="1:13" s="35" customFormat="1" x14ac:dyDescent="0.25">
      <c r="A69" s="48" t="s">
        <v>129</v>
      </c>
      <c r="B69">
        <v>1</v>
      </c>
      <c r="C69">
        <f>16000/3</f>
        <v>5333.333333333333</v>
      </c>
      <c r="D69" s="4">
        <f t="shared" ref="D69" si="79">B69*C69</f>
        <v>5333.333333333333</v>
      </c>
      <c r="E69" s="4">
        <f t="shared" ref="E69" si="80">D69*0.05</f>
        <v>266.66666666666669</v>
      </c>
      <c r="F69" s="4">
        <v>0</v>
      </c>
      <c r="G69" s="4">
        <v>0.1</v>
      </c>
      <c r="H69" s="4">
        <f t="shared" ref="H69" si="81">G69</f>
        <v>0.1</v>
      </c>
      <c r="I69" s="4">
        <f>H69*$C$2</f>
        <v>672</v>
      </c>
      <c r="J69" s="51">
        <f>(D69+E69+F69+I69)*$C$4</f>
        <v>181.88800000000001</v>
      </c>
      <c r="K69" s="34"/>
      <c r="L69" s="41"/>
    </row>
    <row r="70" spans="1:13" ht="31.5" x14ac:dyDescent="0.5">
      <c r="A70" s="59" t="s">
        <v>29</v>
      </c>
      <c r="B70" s="59"/>
      <c r="C70" s="59"/>
      <c r="D70" s="2"/>
      <c r="E70" s="2"/>
      <c r="F70" s="2"/>
      <c r="G70" s="2"/>
      <c r="H70" s="2"/>
      <c r="I70" s="2"/>
      <c r="J70" s="10">
        <f>J71</f>
        <v>218.05100000000002</v>
      </c>
      <c r="K70" s="32">
        <v>350</v>
      </c>
      <c r="L70" s="10">
        <f>K70-J70-100</f>
        <v>31.948999999999984</v>
      </c>
      <c r="M70" t="s">
        <v>190</v>
      </c>
    </row>
    <row r="71" spans="1:13" x14ac:dyDescent="0.25">
      <c r="A71" t="s">
        <v>157</v>
      </c>
      <c r="B71">
        <v>1</v>
      </c>
      <c r="C71">
        <v>3500</v>
      </c>
      <c r="D71" s="4">
        <f>B71*C71</f>
        <v>3500</v>
      </c>
      <c r="E71" s="4">
        <f t="shared" si="74"/>
        <v>175</v>
      </c>
      <c r="F71" s="4">
        <v>2500</v>
      </c>
      <c r="G71" s="4">
        <v>0.2</v>
      </c>
      <c r="H71" s="38">
        <f>G71*B71</f>
        <v>0.2</v>
      </c>
      <c r="I71" s="4">
        <f t="shared" si="37"/>
        <v>1344</v>
      </c>
      <c r="J71" s="51">
        <f t="shared" si="38"/>
        <v>218.05100000000002</v>
      </c>
      <c r="K71" s="36"/>
      <c r="L71" s="41"/>
    </row>
    <row r="72" spans="1:13" ht="31.5" x14ac:dyDescent="0.5">
      <c r="A72" s="59" t="s">
        <v>133</v>
      </c>
      <c r="B72" s="59"/>
      <c r="C72" s="59"/>
      <c r="D72" s="2"/>
      <c r="E72" s="2"/>
      <c r="F72" s="2"/>
      <c r="G72" s="2"/>
      <c r="H72" s="2"/>
      <c r="I72" s="2"/>
      <c r="J72" s="10">
        <f>SUM(J73:J76)</f>
        <v>1165.8792666666666</v>
      </c>
      <c r="K72" s="32">
        <v>1200</v>
      </c>
      <c r="L72" s="10">
        <f t="shared" si="12"/>
        <v>34.120733333333419</v>
      </c>
    </row>
    <row r="73" spans="1:13" x14ac:dyDescent="0.25">
      <c r="A73" s="41" t="s">
        <v>153</v>
      </c>
      <c r="B73">
        <v>1</v>
      </c>
      <c r="C73">
        <v>15800</v>
      </c>
      <c r="D73" s="4">
        <f>C73</f>
        <v>15800</v>
      </c>
      <c r="E73" s="4">
        <f t="shared" si="74"/>
        <v>790</v>
      </c>
      <c r="F73" s="4">
        <v>0</v>
      </c>
      <c r="G73" s="38">
        <v>0.4</v>
      </c>
      <c r="H73" s="38">
        <f>G73*B73</f>
        <v>0.4</v>
      </c>
      <c r="I73" s="4">
        <f t="shared" si="37"/>
        <v>2688</v>
      </c>
      <c r="J73" s="51">
        <f t="shared" si="38"/>
        <v>559.06200000000001</v>
      </c>
      <c r="K73" s="36"/>
      <c r="L73" s="41"/>
    </row>
    <row r="74" spans="1:13" s="35" customFormat="1" x14ac:dyDescent="0.25">
      <c r="A74" s="67" t="s">
        <v>178</v>
      </c>
      <c r="B74" s="66">
        <v>2</v>
      </c>
      <c r="C74" s="4">
        <f>9600/3</f>
        <v>3200</v>
      </c>
      <c r="D74" s="4">
        <f t="shared" ref="D74" si="82">B74*C74</f>
        <v>6400</v>
      </c>
      <c r="E74" s="4">
        <f t="shared" si="74"/>
        <v>320</v>
      </c>
      <c r="F74" s="4">
        <f>2500/3</f>
        <v>833.33333333333337</v>
      </c>
      <c r="G74" s="4">
        <f>0.4/3</f>
        <v>0.13333333333333333</v>
      </c>
      <c r="H74" s="4">
        <f>G74*B74</f>
        <v>0.26666666666666666</v>
      </c>
      <c r="I74" s="4">
        <f>H74*$C$2</f>
        <v>1792</v>
      </c>
      <c r="J74" s="51">
        <f>(D74+E74+F74+I74)*$C$4</f>
        <v>271.01466666666664</v>
      </c>
      <c r="K74" s="34"/>
      <c r="L74" s="41"/>
    </row>
    <row r="75" spans="1:13" x14ac:dyDescent="0.25">
      <c r="A75" s="62" t="s">
        <v>102</v>
      </c>
      <c r="B75" s="4">
        <v>1</v>
      </c>
      <c r="C75" s="4">
        <f>11900/3</f>
        <v>3966.6666666666665</v>
      </c>
      <c r="D75" s="4">
        <f t="shared" ref="D75:D76" si="83">B75*C75</f>
        <v>3966.6666666666665</v>
      </c>
      <c r="E75" s="4">
        <f t="shared" si="74"/>
        <v>198.33333333333334</v>
      </c>
      <c r="F75" s="4">
        <v>0</v>
      </c>
      <c r="G75" s="4">
        <f>0.51/3</f>
        <v>0.17</v>
      </c>
      <c r="H75" s="4">
        <f t="shared" ref="H75:H76" si="84">G75</f>
        <v>0.17</v>
      </c>
      <c r="I75" s="4">
        <f>H75*$C$2</f>
        <v>1142.4000000000001</v>
      </c>
      <c r="J75" s="51">
        <f>(D75+E75+F75+I75)*$C$4</f>
        <v>153.91460000000001</v>
      </c>
      <c r="K75" s="36"/>
      <c r="L75" s="41"/>
    </row>
    <row r="76" spans="1:13" s="35" customFormat="1" x14ac:dyDescent="0.25">
      <c r="A76" s="64" t="s">
        <v>129</v>
      </c>
      <c r="B76">
        <v>1</v>
      </c>
      <c r="C76">
        <f>16000/3</f>
        <v>5333.333333333333</v>
      </c>
      <c r="D76" s="44">
        <f t="shared" si="83"/>
        <v>5333.333333333333</v>
      </c>
      <c r="E76" s="44">
        <f t="shared" si="74"/>
        <v>266.66666666666669</v>
      </c>
      <c r="F76" s="4">
        <v>0</v>
      </c>
      <c r="G76" s="4">
        <v>0.1</v>
      </c>
      <c r="H76" s="4">
        <f t="shared" si="84"/>
        <v>0.1</v>
      </c>
      <c r="I76" s="4">
        <f>H76*$C$2</f>
        <v>672</v>
      </c>
      <c r="J76" s="51">
        <f>(D76+E76+F76+I76)*$C$4</f>
        <v>181.88800000000001</v>
      </c>
      <c r="K76" s="34"/>
      <c r="L76" s="41"/>
    </row>
    <row r="77" spans="1:13" ht="31.5" x14ac:dyDescent="0.5">
      <c r="A77" s="59" t="s">
        <v>104</v>
      </c>
      <c r="B77" s="59"/>
      <c r="C77" s="59"/>
      <c r="D77" s="2"/>
      <c r="E77" s="2"/>
      <c r="F77" s="2"/>
      <c r="G77" s="2"/>
      <c r="H77" s="2"/>
      <c r="I77" s="2"/>
      <c r="J77" s="10">
        <f>SUM(J78:J83)</f>
        <v>1638.1809999999998</v>
      </c>
      <c r="K77" s="32">
        <v>1705</v>
      </c>
      <c r="L77" s="10">
        <f>K77-J77</f>
        <v>66.819000000000187</v>
      </c>
    </row>
    <row r="78" spans="1:13" x14ac:dyDescent="0.25">
      <c r="A78" s="4" t="s">
        <v>154</v>
      </c>
      <c r="B78" s="4">
        <v>1</v>
      </c>
      <c r="C78" s="4">
        <v>9900</v>
      </c>
      <c r="D78" s="4">
        <f t="shared" ref="D78:D79" si="85">B78*C78</f>
        <v>9900</v>
      </c>
      <c r="E78" s="4">
        <f>D78*0.05</f>
        <v>495</v>
      </c>
      <c r="F78" s="4">
        <v>0</v>
      </c>
      <c r="G78" s="4">
        <v>1.03</v>
      </c>
      <c r="H78" s="40">
        <f t="shared" ref="H78" si="86">G78*B78</f>
        <v>1.03</v>
      </c>
      <c r="I78" s="4">
        <f>H78*$C$2</f>
        <v>6921.6</v>
      </c>
      <c r="J78" s="51">
        <f>(D78+E78+F78+I78)*$C$4</f>
        <v>502.1814</v>
      </c>
      <c r="K78" s="45"/>
      <c r="L78" s="41"/>
    </row>
    <row r="79" spans="1:13" x14ac:dyDescent="0.25">
      <c r="A79" s="62" t="s">
        <v>102</v>
      </c>
      <c r="B79" s="4">
        <v>1</v>
      </c>
      <c r="C79" s="4">
        <f>11900/3</f>
        <v>3966.6666666666665</v>
      </c>
      <c r="D79" s="4">
        <f t="shared" si="85"/>
        <v>3966.6666666666665</v>
      </c>
      <c r="E79" s="4">
        <f t="shared" ref="E79" si="87">D79*0.05</f>
        <v>198.33333333333334</v>
      </c>
      <c r="F79" s="4">
        <v>0</v>
      </c>
      <c r="G79" s="4">
        <f>0.51/3</f>
        <v>0.17</v>
      </c>
      <c r="H79" s="4">
        <f t="shared" ref="H79" si="88">G79</f>
        <v>0.17</v>
      </c>
      <c r="I79" s="4">
        <f>H79*$C$2</f>
        <v>1142.4000000000001</v>
      </c>
      <c r="J79" s="51">
        <f>(D79+E79+F79+I79)*$C$4</f>
        <v>153.91460000000001</v>
      </c>
      <c r="K79" s="36"/>
      <c r="L79" s="41"/>
    </row>
    <row r="80" spans="1:13" x14ac:dyDescent="0.25">
      <c r="A80" s="62" t="s">
        <v>155</v>
      </c>
      <c r="B80" s="4">
        <v>1</v>
      </c>
      <c r="C80" s="4">
        <f>16000/2</f>
        <v>8000</v>
      </c>
      <c r="D80" s="4">
        <f t="shared" ref="D80:D83" si="89">B80*C80</f>
        <v>8000</v>
      </c>
      <c r="E80" s="4">
        <f t="shared" ref="E80:E83" si="90">D80*0.05</f>
        <v>400</v>
      </c>
      <c r="F80" s="4">
        <f>2500/8</f>
        <v>312.5</v>
      </c>
      <c r="G80" s="4">
        <f>0.2/2</f>
        <v>0.1</v>
      </c>
      <c r="H80" s="4">
        <f t="shared" ref="H80:H83" si="91">G80</f>
        <v>0.1</v>
      </c>
      <c r="I80" s="4">
        <f t="shared" ref="I80:I83" si="92">H80*$C$2</f>
        <v>672</v>
      </c>
      <c r="J80" s="51">
        <f t="shared" ref="J80:J83" si="93">(D80+E80+F80+I80)*$C$4</f>
        <v>272.15050000000002</v>
      </c>
      <c r="K80" s="36"/>
      <c r="L80" s="41"/>
    </row>
    <row r="81" spans="1:34" s="35" customFormat="1" x14ac:dyDescent="0.25">
      <c r="A81" s="64" t="s">
        <v>129</v>
      </c>
      <c r="B81">
        <v>1</v>
      </c>
      <c r="C81">
        <f>16000/3</f>
        <v>5333.333333333333</v>
      </c>
      <c r="D81" s="44">
        <f t="shared" si="89"/>
        <v>5333.333333333333</v>
      </c>
      <c r="E81" s="44">
        <f t="shared" si="90"/>
        <v>266.66666666666669</v>
      </c>
      <c r="F81" s="4">
        <v>0</v>
      </c>
      <c r="G81" s="4">
        <v>0.1</v>
      </c>
      <c r="H81" s="4">
        <f t="shared" si="91"/>
        <v>0.1</v>
      </c>
      <c r="I81" s="4">
        <f>H81*$C$2</f>
        <v>672</v>
      </c>
      <c r="J81" s="51">
        <f>(D81+E81+F81+I81)*$C$4</f>
        <v>181.88800000000001</v>
      </c>
      <c r="K81" s="34"/>
      <c r="L81" s="41"/>
    </row>
    <row r="82" spans="1:34" x14ac:dyDescent="0.25">
      <c r="A82" s="4" t="s">
        <v>107</v>
      </c>
      <c r="B82" s="4">
        <v>1</v>
      </c>
      <c r="C82" s="4">
        <v>5990</v>
      </c>
      <c r="D82" s="4">
        <f t="shared" ref="D82" si="94">B82*C82</f>
        <v>5990</v>
      </c>
      <c r="E82" s="4">
        <f t="shared" ref="E82" si="95">D82*0.05</f>
        <v>299.5</v>
      </c>
      <c r="F82" s="4">
        <v>2500</v>
      </c>
      <c r="G82" s="4">
        <v>0.2</v>
      </c>
      <c r="H82" s="4">
        <f t="shared" ref="H82" si="96">G82</f>
        <v>0.2</v>
      </c>
      <c r="I82" s="4">
        <f t="shared" si="92"/>
        <v>1344</v>
      </c>
      <c r="J82" s="51">
        <f t="shared" ref="J82" si="97">(D82+E82+F82+I82)*$C$4</f>
        <v>293.87150000000003</v>
      </c>
      <c r="K82" s="36"/>
      <c r="L82" s="41"/>
    </row>
    <row r="83" spans="1:34" x14ac:dyDescent="0.25">
      <c r="A83" s="4" t="s">
        <v>156</v>
      </c>
      <c r="B83" s="4">
        <v>1</v>
      </c>
      <c r="C83" s="4">
        <v>5220</v>
      </c>
      <c r="D83" s="4">
        <f t="shared" si="89"/>
        <v>5220</v>
      </c>
      <c r="E83" s="4">
        <f t="shared" si="90"/>
        <v>261</v>
      </c>
      <c r="F83" s="4">
        <f>2500/2</f>
        <v>1250</v>
      </c>
      <c r="G83" s="4">
        <v>0.2</v>
      </c>
      <c r="H83" s="4">
        <f t="shared" si="91"/>
        <v>0.2</v>
      </c>
      <c r="I83" s="4">
        <f t="shared" si="92"/>
        <v>1344</v>
      </c>
      <c r="J83" s="51">
        <f t="shared" si="93"/>
        <v>234.17500000000001</v>
      </c>
      <c r="K83" s="36"/>
      <c r="L83" s="41"/>
    </row>
    <row r="84" spans="1:34" ht="31.5" x14ac:dyDescent="0.5">
      <c r="A84" s="59" t="s">
        <v>151</v>
      </c>
      <c r="B84" s="59"/>
      <c r="C84" s="59"/>
      <c r="D84" s="2"/>
      <c r="E84" s="2"/>
      <c r="F84" s="2"/>
      <c r="G84" s="2"/>
      <c r="H84" s="2"/>
      <c r="I84" s="2"/>
      <c r="J84" s="10">
        <f>J85</f>
        <v>348.95699999999999</v>
      </c>
      <c r="K84" s="32">
        <v>364</v>
      </c>
      <c r="L84" s="10">
        <f t="shared" ref="L84:L100" si="98">K84-J84</f>
        <v>15.043000000000006</v>
      </c>
    </row>
    <row r="85" spans="1:34" x14ac:dyDescent="0.25">
      <c r="A85" s="61" t="s">
        <v>152</v>
      </c>
      <c r="B85">
        <v>1</v>
      </c>
      <c r="C85">
        <v>8900</v>
      </c>
      <c r="D85" s="4">
        <f>B85*C85</f>
        <v>8900</v>
      </c>
      <c r="E85" s="4">
        <f t="shared" ref="E85" si="99">D85*0.05</f>
        <v>445</v>
      </c>
      <c r="F85" s="4">
        <v>0</v>
      </c>
      <c r="G85" s="4">
        <v>0.4</v>
      </c>
      <c r="H85" s="40">
        <f t="shared" ref="H85" si="100">G85*B85</f>
        <v>0.4</v>
      </c>
      <c r="I85" s="4">
        <f t="shared" si="37"/>
        <v>2688</v>
      </c>
      <c r="J85" s="51">
        <f t="shared" si="38"/>
        <v>348.95699999999999</v>
      </c>
      <c r="K85" s="45"/>
      <c r="L85" s="41"/>
    </row>
    <row r="86" spans="1:34" s="31" customFormat="1" ht="31.5" x14ac:dyDescent="0.5">
      <c r="A86" s="59" t="s">
        <v>28</v>
      </c>
      <c r="B86" s="59"/>
      <c r="C86" s="59"/>
      <c r="J86" s="53">
        <f>J87</f>
        <v>412.93100000000004</v>
      </c>
      <c r="K86" s="31">
        <v>421</v>
      </c>
      <c r="L86" s="10">
        <f t="shared" si="98"/>
        <v>8.06899999999996</v>
      </c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x14ac:dyDescent="0.25">
      <c r="A87" t="s">
        <v>150</v>
      </c>
      <c r="B87">
        <v>1</v>
      </c>
      <c r="C87">
        <v>9900</v>
      </c>
      <c r="D87" s="4">
        <f>B87*C87</f>
        <v>9900</v>
      </c>
      <c r="E87" s="4">
        <f t="shared" ref="E87" si="101">D87*0.05</f>
        <v>495</v>
      </c>
      <c r="F87" s="4">
        <v>2500</v>
      </c>
      <c r="G87" s="4">
        <v>0.2</v>
      </c>
      <c r="H87" s="4">
        <f>G87</f>
        <v>0.2</v>
      </c>
      <c r="I87" s="4">
        <f t="shared" si="37"/>
        <v>1344</v>
      </c>
      <c r="J87" s="51">
        <f t="shared" si="38"/>
        <v>412.93100000000004</v>
      </c>
      <c r="L87" s="41"/>
    </row>
    <row r="88" spans="1:34" s="31" customFormat="1" ht="31.5" x14ac:dyDescent="0.5">
      <c r="A88" s="59" t="s">
        <v>149</v>
      </c>
      <c r="B88" s="59"/>
      <c r="C88" s="59"/>
      <c r="J88" s="53">
        <f>J89+J90</f>
        <v>413.33699999999999</v>
      </c>
      <c r="K88" s="31">
        <v>428</v>
      </c>
      <c r="L88" s="10">
        <f t="shared" si="98"/>
        <v>14.663000000000011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x14ac:dyDescent="0.25">
      <c r="A89" t="s">
        <v>97</v>
      </c>
      <c r="B89">
        <v>1</v>
      </c>
      <c r="C89">
        <v>3300</v>
      </c>
      <c r="D89">
        <f>C89</f>
        <v>3300</v>
      </c>
      <c r="E89" s="4">
        <f t="shared" si="74"/>
        <v>165</v>
      </c>
      <c r="F89">
        <v>2500</v>
      </c>
      <c r="G89">
        <v>0.3</v>
      </c>
      <c r="H89">
        <f>G89</f>
        <v>0.3</v>
      </c>
      <c r="I89" s="4">
        <f t="shared" si="37"/>
        <v>2016</v>
      </c>
      <c r="J89" s="51">
        <f t="shared" si="38"/>
        <v>231.44900000000001</v>
      </c>
      <c r="K89" s="41"/>
      <c r="L89" s="41"/>
    </row>
    <row r="90" spans="1:34" s="35" customFormat="1" x14ac:dyDescent="0.25">
      <c r="A90" s="67" t="s">
        <v>129</v>
      </c>
      <c r="B90" s="4">
        <v>1</v>
      </c>
      <c r="C90" s="4">
        <f>16000/3</f>
        <v>5333.333333333333</v>
      </c>
      <c r="D90" s="4">
        <f t="shared" ref="D90" si="102">B90*C90</f>
        <v>5333.333333333333</v>
      </c>
      <c r="E90" s="4">
        <f t="shared" si="74"/>
        <v>266.66666666666669</v>
      </c>
      <c r="F90" s="4">
        <v>0</v>
      </c>
      <c r="G90" s="4">
        <v>0.1</v>
      </c>
      <c r="H90" s="4">
        <f t="shared" ref="H90" si="103">G90</f>
        <v>0.1</v>
      </c>
      <c r="I90" s="4">
        <f>H90*$C$2</f>
        <v>672</v>
      </c>
      <c r="J90" s="51">
        <f>(D90+E90+F90+I90)*$C$4</f>
        <v>181.88800000000001</v>
      </c>
      <c r="K90" s="34"/>
      <c r="L90" s="41"/>
    </row>
    <row r="91" spans="1:34" s="31" customFormat="1" ht="31.5" x14ac:dyDescent="0.5">
      <c r="A91" s="59" t="s">
        <v>131</v>
      </c>
      <c r="J91" s="53">
        <f>SUM(J92:J96)</f>
        <v>989.42006666666657</v>
      </c>
      <c r="K91" s="31">
        <v>1027</v>
      </c>
      <c r="L91" s="10">
        <f t="shared" si="98"/>
        <v>37.579933333333429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x14ac:dyDescent="0.25">
      <c r="A92" s="4" t="s">
        <v>148</v>
      </c>
      <c r="B92" s="4">
        <v>1</v>
      </c>
      <c r="C92" s="60">
        <f>5900/3*2</f>
        <v>3933.3333333333335</v>
      </c>
      <c r="D92" s="60">
        <f>C92</f>
        <v>3933.3333333333335</v>
      </c>
      <c r="E92" s="60">
        <f>D92*0.05</f>
        <v>196.66666666666669</v>
      </c>
      <c r="F92">
        <v>0</v>
      </c>
      <c r="G92" s="4">
        <v>0.48</v>
      </c>
      <c r="H92" s="4">
        <f>G92</f>
        <v>0.48</v>
      </c>
      <c r="I92" s="4">
        <f t="shared" si="37"/>
        <v>3225.6</v>
      </c>
      <c r="J92" s="51">
        <f t="shared" si="38"/>
        <v>213.31240000000003</v>
      </c>
      <c r="K92" s="36"/>
      <c r="L92" s="36"/>
    </row>
    <row r="93" spans="1:34" s="35" customFormat="1" x14ac:dyDescent="0.25">
      <c r="A93" s="67" t="s">
        <v>129</v>
      </c>
      <c r="B93" s="4">
        <v>1</v>
      </c>
      <c r="C93" s="4">
        <f>16000/3</f>
        <v>5333.333333333333</v>
      </c>
      <c r="D93" s="4">
        <f t="shared" ref="D93" si="104">B93*C93</f>
        <v>5333.333333333333</v>
      </c>
      <c r="E93" s="4">
        <f t="shared" ref="E93:E96" si="105">D93*0.05</f>
        <v>266.66666666666669</v>
      </c>
      <c r="F93" s="4">
        <v>0</v>
      </c>
      <c r="G93" s="4">
        <v>0.1</v>
      </c>
      <c r="H93" s="4">
        <f t="shared" ref="H93" si="106">G93</f>
        <v>0.1</v>
      </c>
      <c r="I93" s="4">
        <f>H93*$C$2</f>
        <v>672</v>
      </c>
      <c r="J93" s="51">
        <f>(D93+E93+F93+I93)*$C$4</f>
        <v>181.88800000000001</v>
      </c>
      <c r="K93" s="34"/>
      <c r="L93" s="41"/>
    </row>
    <row r="94" spans="1:34" s="35" customFormat="1" x14ac:dyDescent="0.25">
      <c r="A94" s="67" t="s">
        <v>178</v>
      </c>
      <c r="B94" s="4">
        <v>1</v>
      </c>
      <c r="C94" s="4">
        <f>9600/3</f>
        <v>3200</v>
      </c>
      <c r="D94" s="4">
        <f t="shared" ref="D94" si="107">B94*C94</f>
        <v>3200</v>
      </c>
      <c r="E94" s="4">
        <f t="shared" ref="E94" si="108">D94*0.05</f>
        <v>160</v>
      </c>
      <c r="F94" s="4">
        <f>2500/3</f>
        <v>833.33333333333337</v>
      </c>
      <c r="G94" s="4">
        <f>0.4/3</f>
        <v>0.13333333333333333</v>
      </c>
      <c r="H94" s="4">
        <f t="shared" ref="H94" si="109">G94</f>
        <v>0.13333333333333333</v>
      </c>
      <c r="I94" s="4">
        <f>H94*$C$2</f>
        <v>896</v>
      </c>
      <c r="J94" s="51">
        <f>(D94+E94+F94+I94)*$C$4</f>
        <v>147.59066666666666</v>
      </c>
      <c r="K94" s="34"/>
      <c r="L94" s="41"/>
    </row>
    <row r="95" spans="1:34" x14ac:dyDescent="0.25">
      <c r="A95" s="65" t="s">
        <v>168</v>
      </c>
      <c r="B95" s="4">
        <v>1</v>
      </c>
      <c r="C95" s="4">
        <f>8900/2</f>
        <v>4450</v>
      </c>
      <c r="D95" s="4">
        <f>B95*C95</f>
        <v>4450</v>
      </c>
      <c r="E95" s="4">
        <f t="shared" si="105"/>
        <v>222.5</v>
      </c>
      <c r="F95" s="4">
        <v>0</v>
      </c>
      <c r="G95" s="4">
        <v>0.2</v>
      </c>
      <c r="H95" s="40">
        <f t="shared" ref="H95" si="110">G95*B95</f>
        <v>0.2</v>
      </c>
      <c r="I95" s="4">
        <f t="shared" ref="I95:I96" si="111">H95*$C$2</f>
        <v>1344</v>
      </c>
      <c r="J95" s="51">
        <f t="shared" ref="J95:J96" si="112">(D95+E95+F95+I95)*$C$4</f>
        <v>174.4785</v>
      </c>
      <c r="K95" s="45"/>
      <c r="L95" s="41"/>
    </row>
    <row r="96" spans="1:34" x14ac:dyDescent="0.25">
      <c r="A96" s="62" t="s">
        <v>155</v>
      </c>
      <c r="B96" s="4">
        <v>1</v>
      </c>
      <c r="C96" s="4">
        <f>16000/2</f>
        <v>8000</v>
      </c>
      <c r="D96" s="4">
        <f t="shared" ref="D96" si="113">B96*C96</f>
        <v>8000</v>
      </c>
      <c r="E96" s="4">
        <f t="shared" si="105"/>
        <v>400</v>
      </c>
      <c r="F96" s="4">
        <f>2500/8</f>
        <v>312.5</v>
      </c>
      <c r="G96" s="4">
        <f>0.2/2</f>
        <v>0.1</v>
      </c>
      <c r="H96" s="4">
        <f t="shared" ref="H96" si="114">G96</f>
        <v>0.1</v>
      </c>
      <c r="I96" s="4">
        <f t="shared" si="111"/>
        <v>672</v>
      </c>
      <c r="J96" s="51">
        <f t="shared" si="112"/>
        <v>272.15050000000002</v>
      </c>
      <c r="K96" s="36"/>
      <c r="L96" s="41"/>
    </row>
    <row r="97" spans="1:34" s="31" customFormat="1" ht="31.5" x14ac:dyDescent="0.5">
      <c r="A97" s="57" t="s">
        <v>146</v>
      </c>
      <c r="J97" s="53">
        <f>J98+J99</f>
        <v>1077.6835000000001</v>
      </c>
      <c r="K97" s="31">
        <v>1104</v>
      </c>
      <c r="L97" s="10">
        <f>K97-J97-26</f>
        <v>0.31649999999990541</v>
      </c>
      <c r="M97" s="79" t="s">
        <v>216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x14ac:dyDescent="0.25">
      <c r="A98" s="7" t="s">
        <v>57</v>
      </c>
      <c r="B98" s="5">
        <v>1</v>
      </c>
      <c r="C98" s="5">
        <v>12350</v>
      </c>
      <c r="D98">
        <f>C98</f>
        <v>12350</v>
      </c>
      <c r="E98" s="4">
        <f>D98*0.05</f>
        <v>617.5</v>
      </c>
      <c r="F98">
        <v>2500</v>
      </c>
      <c r="G98">
        <v>0.4</v>
      </c>
      <c r="H98">
        <f>G98</f>
        <v>0.4</v>
      </c>
      <c r="I98" s="4">
        <f>H98*$C$2</f>
        <v>2688</v>
      </c>
      <c r="J98" s="51">
        <f>(D98+E98+F98+I98)*$C$4</f>
        <v>526.5095</v>
      </c>
      <c r="K98" s="36"/>
      <c r="L98" s="41"/>
    </row>
    <row r="99" spans="1:34" ht="43.15" customHeight="1" x14ac:dyDescent="0.25">
      <c r="A99" s="7" t="s">
        <v>147</v>
      </c>
      <c r="B99" s="5">
        <v>1</v>
      </c>
      <c r="C99" s="5">
        <v>13800</v>
      </c>
      <c r="D99" s="37">
        <f>B99*C99</f>
        <v>13800</v>
      </c>
      <c r="E99" s="4">
        <f>D99*0.05</f>
        <v>690</v>
      </c>
      <c r="F99" s="4">
        <v>2500</v>
      </c>
      <c r="G99" s="4">
        <v>0.3</v>
      </c>
      <c r="H99" s="4">
        <f>G99*B99</f>
        <v>0.3</v>
      </c>
      <c r="I99" s="4">
        <f>H99*$C$2</f>
        <v>2016</v>
      </c>
      <c r="J99" s="78">
        <f>(D99+E99+F99+I99)*$C$4</f>
        <v>551.17399999999998</v>
      </c>
      <c r="K99" s="79" t="s">
        <v>215</v>
      </c>
      <c r="L99" s="41"/>
    </row>
    <row r="100" spans="1:34" s="31" customFormat="1" ht="31.5" x14ac:dyDescent="0.5">
      <c r="A100" s="57" t="s">
        <v>145</v>
      </c>
      <c r="J100" s="53">
        <f>J101</f>
        <v>235.87150000000003</v>
      </c>
      <c r="K100" s="31">
        <v>243</v>
      </c>
      <c r="L100" s="10">
        <f t="shared" si="98"/>
        <v>7.1284999999999741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x14ac:dyDescent="0.25">
      <c r="A101" s="3" t="s">
        <v>107</v>
      </c>
      <c r="B101" s="21">
        <v>1</v>
      </c>
      <c r="C101" s="21">
        <v>5990</v>
      </c>
      <c r="D101" s="4">
        <f>C101</f>
        <v>5990</v>
      </c>
      <c r="E101" s="4">
        <f t="shared" ref="E101" si="115">D101*0.05</f>
        <v>299.5</v>
      </c>
      <c r="F101" s="4">
        <f>2500/5</f>
        <v>500</v>
      </c>
      <c r="G101" s="4">
        <v>0.2</v>
      </c>
      <c r="H101" s="4">
        <f t="shared" ref="H101" si="116">G101*B101</f>
        <v>0.2</v>
      </c>
      <c r="I101" s="4">
        <f t="shared" ref="I101" si="117">H101*$C$2</f>
        <v>1344</v>
      </c>
      <c r="J101" s="51">
        <f t="shared" ref="J101" si="118">(D101+E101+F101+I101)*$C$4</f>
        <v>235.87150000000003</v>
      </c>
      <c r="K101" s="6"/>
      <c r="L101" s="17"/>
    </row>
  </sheetData>
  <hyperlinks>
    <hyperlink ref="A78" r:id="rId1" display="http://item2.gmarket.co.kr/English/detailview/Item.aspx?goodscode=250825657"/>
  </hyperlinks>
  <pageMargins left="0.7" right="0.7" top="0.75" bottom="0.75" header="0.3" footer="0.3"/>
  <pageSetup paperSize="9" orientation="portrait" horizontalDpi="4294967293" verticalDpi="4294967293"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9"/>
  <sheetViews>
    <sheetView topLeftCell="A34" zoomScale="70" zoomScaleNormal="70" workbookViewId="0">
      <selection sqref="A1:XFD1048576"/>
    </sheetView>
  </sheetViews>
  <sheetFormatPr defaultRowHeight="15" x14ac:dyDescent="0.25"/>
  <cols>
    <col min="1" max="1" width="38.140625" customWidth="1"/>
    <col min="3" max="3" width="14.140625" customWidth="1"/>
    <col min="6" max="6" width="10.85546875" customWidth="1"/>
    <col min="8" max="8" width="10.5703125" customWidth="1"/>
    <col min="10" max="10" width="13.28515625" customWidth="1"/>
    <col min="11" max="11" width="11.5703125" customWidth="1"/>
    <col min="12" max="12" width="14.42578125" customWidth="1"/>
  </cols>
  <sheetData>
    <row r="1" spans="1:13" ht="21" x14ac:dyDescent="0.35">
      <c r="A1" s="55" t="s">
        <v>281</v>
      </c>
      <c r="B1" s="4"/>
      <c r="C1" s="189">
        <v>42761</v>
      </c>
      <c r="D1" s="30"/>
    </row>
    <row r="2" spans="1:13" ht="21" x14ac:dyDescent="0.35">
      <c r="A2" s="55" t="s">
        <v>239</v>
      </c>
      <c r="B2" s="4"/>
      <c r="C2" s="16">
        <v>8350</v>
      </c>
      <c r="D2" s="30"/>
    </row>
    <row r="3" spans="1:13" ht="21" x14ac:dyDescent="0.35">
      <c r="A3" s="55" t="s">
        <v>240</v>
      </c>
      <c r="B3" s="4"/>
      <c r="C3" s="170">
        <v>5.2200000000000003E-2</v>
      </c>
      <c r="D3" s="30"/>
    </row>
    <row r="4" spans="1:13" ht="15.75" thickBot="1" x14ac:dyDescent="0.3"/>
    <row r="5" spans="1:13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1002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3" ht="31.5" x14ac:dyDescent="0.5">
      <c r="A6" s="152" t="s">
        <v>967</v>
      </c>
      <c r="B6" s="152"/>
      <c r="C6" s="152"/>
      <c r="D6" s="2"/>
      <c r="E6" s="2"/>
      <c r="F6" s="152"/>
      <c r="G6" s="152"/>
      <c r="H6" s="152"/>
      <c r="I6" s="2"/>
      <c r="J6" s="52">
        <f>SUM(J7:J9)</f>
        <v>3428.0914500000003</v>
      </c>
      <c r="K6" s="10">
        <v>3428</v>
      </c>
      <c r="L6" s="10">
        <f t="shared" ref="L6" si="0">K6-J6</f>
        <v>-9.1450000000349974E-2</v>
      </c>
    </row>
    <row r="7" spans="1:13" x14ac:dyDescent="0.25">
      <c r="A7" s="4" t="s">
        <v>968</v>
      </c>
      <c r="B7" s="4">
        <v>1</v>
      </c>
      <c r="C7" s="4">
        <v>19900</v>
      </c>
      <c r="D7" s="4">
        <f t="shared" ref="D7:D9" si="1">B7*C7</f>
        <v>19900</v>
      </c>
      <c r="E7" s="4">
        <f t="shared" ref="E7:E9" si="2">D7*0.1</f>
        <v>1990</v>
      </c>
      <c r="F7" s="4">
        <v>0</v>
      </c>
      <c r="G7" s="4"/>
      <c r="H7" s="4">
        <v>0.1</v>
      </c>
      <c r="I7" s="4">
        <f t="shared" ref="I7:I9" si="3">H7*$C$2</f>
        <v>835</v>
      </c>
      <c r="J7" s="51">
        <f t="shared" ref="J7:J9" si="4">(D7+E7+F7+I7)*$C$3</f>
        <v>1186.2450000000001</v>
      </c>
      <c r="K7" s="6"/>
      <c r="L7" s="17"/>
    </row>
    <row r="8" spans="1:13" x14ac:dyDescent="0.25">
      <c r="A8" s="4" t="s">
        <v>206</v>
      </c>
      <c r="B8" s="4">
        <v>1</v>
      </c>
      <c r="C8" s="4">
        <v>13600</v>
      </c>
      <c r="D8" s="4">
        <f t="shared" si="1"/>
        <v>13600</v>
      </c>
      <c r="E8" s="4">
        <f t="shared" si="2"/>
        <v>1360</v>
      </c>
      <c r="F8" s="4">
        <v>0</v>
      </c>
      <c r="G8" s="4"/>
      <c r="H8" s="4">
        <v>0.19</v>
      </c>
      <c r="I8" s="4">
        <f t="shared" si="3"/>
        <v>1586.5</v>
      </c>
      <c r="J8" s="51">
        <f t="shared" si="4"/>
        <v>863.72730000000001</v>
      </c>
      <c r="K8" s="6"/>
      <c r="L8" s="17"/>
    </row>
    <row r="9" spans="1:13" x14ac:dyDescent="0.25">
      <c r="A9" s="4" t="s">
        <v>969</v>
      </c>
      <c r="B9" s="4">
        <v>1</v>
      </c>
      <c r="C9" s="4">
        <v>22900</v>
      </c>
      <c r="D9" s="4">
        <f t="shared" si="1"/>
        <v>22900</v>
      </c>
      <c r="E9" s="4">
        <f t="shared" si="2"/>
        <v>2290</v>
      </c>
      <c r="F9" s="4">
        <v>0</v>
      </c>
      <c r="G9" s="4"/>
      <c r="H9" s="4">
        <v>0.14499999999999999</v>
      </c>
      <c r="I9" s="4">
        <f t="shared" si="3"/>
        <v>1210.75</v>
      </c>
      <c r="J9" s="51">
        <f t="shared" si="4"/>
        <v>1378.11915</v>
      </c>
      <c r="K9" s="6"/>
      <c r="L9" s="17"/>
    </row>
    <row r="10" spans="1:13" ht="31.5" x14ac:dyDescent="0.5">
      <c r="A10" s="152" t="s">
        <v>958</v>
      </c>
      <c r="B10" s="152"/>
      <c r="C10" s="152"/>
      <c r="D10" s="2"/>
      <c r="E10" s="2"/>
      <c r="F10" s="152"/>
      <c r="G10" s="152"/>
      <c r="H10" s="152"/>
      <c r="I10" s="2"/>
      <c r="J10" s="52">
        <f>SUM(J11:J15)</f>
        <v>6277.0447800000002</v>
      </c>
      <c r="K10" s="10">
        <f>6377-357</f>
        <v>6020</v>
      </c>
      <c r="L10" s="10">
        <f t="shared" ref="L10" si="5">K10-J10</f>
        <v>-257.04478000000017</v>
      </c>
      <c r="M10" t="s">
        <v>1003</v>
      </c>
    </row>
    <row r="11" spans="1:13" x14ac:dyDescent="0.25">
      <c r="A11" s="4" t="s">
        <v>970</v>
      </c>
      <c r="B11" s="4">
        <v>3</v>
      </c>
      <c r="C11" s="4">
        <v>8000</v>
      </c>
      <c r="D11" s="4">
        <f t="shared" ref="D11:D15" si="6">B11*C11</f>
        <v>24000</v>
      </c>
      <c r="E11" s="4">
        <f t="shared" ref="E11:E15" si="7">D11*0.1</f>
        <v>2400</v>
      </c>
      <c r="F11" s="4">
        <v>0</v>
      </c>
      <c r="G11" s="4"/>
      <c r="H11" s="4">
        <v>4.3999999999999997E-2</v>
      </c>
      <c r="I11" s="4">
        <f>H11*$C$2</f>
        <v>367.4</v>
      </c>
      <c r="J11" s="51">
        <f t="shared" ref="J11:J14" si="8">(D11+E11+F11+I11)*$C$3</f>
        <v>1397.2582800000002</v>
      </c>
      <c r="K11" s="6"/>
      <c r="L11" s="17"/>
    </row>
    <row r="12" spans="1:13" x14ac:dyDescent="0.25">
      <c r="A12" s="4" t="s">
        <v>971</v>
      </c>
      <c r="B12" s="4">
        <v>1</v>
      </c>
      <c r="C12" s="4">
        <v>6000</v>
      </c>
      <c r="D12" s="4">
        <f t="shared" si="6"/>
        <v>6000</v>
      </c>
      <c r="E12" s="4">
        <f t="shared" si="7"/>
        <v>600</v>
      </c>
      <c r="F12" s="4">
        <v>0</v>
      </c>
      <c r="G12" s="4"/>
      <c r="H12" s="4">
        <v>0.08</v>
      </c>
      <c r="I12" s="4">
        <f>H12*$C$2</f>
        <v>668</v>
      </c>
      <c r="J12" s="51">
        <f t="shared" si="8"/>
        <v>379.38960000000003</v>
      </c>
      <c r="K12" s="6"/>
      <c r="L12" s="17"/>
    </row>
    <row r="13" spans="1:13" x14ac:dyDescent="0.25">
      <c r="A13" s="4" t="s">
        <v>972</v>
      </c>
      <c r="B13" s="4">
        <v>22</v>
      </c>
      <c r="C13" s="4">
        <v>2290</v>
      </c>
      <c r="D13" s="4">
        <f t="shared" si="6"/>
        <v>50380</v>
      </c>
      <c r="E13" s="4">
        <f t="shared" si="7"/>
        <v>5038</v>
      </c>
      <c r="F13" s="4">
        <v>2500</v>
      </c>
      <c r="G13" s="4"/>
      <c r="H13" s="4">
        <v>0.2</v>
      </c>
      <c r="I13" s="4">
        <f t="shared" ref="I13:I14" si="9">H13*$C$2</f>
        <v>1670</v>
      </c>
      <c r="J13" s="51">
        <f t="shared" si="8"/>
        <v>3110.4936000000002</v>
      </c>
      <c r="K13" s="6"/>
      <c r="L13" s="17"/>
    </row>
    <row r="14" spans="1:13" x14ac:dyDescent="0.25">
      <c r="A14" s="4" t="s">
        <v>903</v>
      </c>
      <c r="B14" s="4">
        <v>1</v>
      </c>
      <c r="C14" s="4">
        <v>9800</v>
      </c>
      <c r="D14" s="4">
        <f t="shared" si="6"/>
        <v>9800</v>
      </c>
      <c r="E14" s="4">
        <f t="shared" si="7"/>
        <v>980</v>
      </c>
      <c r="F14" s="4">
        <v>2500</v>
      </c>
      <c r="G14" s="4"/>
      <c r="H14" s="4">
        <v>0.1</v>
      </c>
      <c r="I14" s="4">
        <f t="shared" si="9"/>
        <v>835</v>
      </c>
      <c r="J14" s="51">
        <f t="shared" si="8"/>
        <v>736.803</v>
      </c>
      <c r="K14" s="6"/>
      <c r="L14" s="17"/>
    </row>
    <row r="15" spans="1:13" x14ac:dyDescent="0.25">
      <c r="A15" s="4" t="s">
        <v>973</v>
      </c>
      <c r="B15" s="4">
        <v>2</v>
      </c>
      <c r="C15" s="4">
        <v>4300</v>
      </c>
      <c r="D15" s="4">
        <f t="shared" si="6"/>
        <v>8600</v>
      </c>
      <c r="E15" s="4">
        <f t="shared" si="7"/>
        <v>860</v>
      </c>
      <c r="F15" s="4">
        <v>2300</v>
      </c>
      <c r="G15" s="4"/>
      <c r="H15" s="4">
        <v>0.09</v>
      </c>
      <c r="I15" s="4">
        <f>H15*$C$2</f>
        <v>751.5</v>
      </c>
      <c r="J15" s="51">
        <f>(D15+E15+F15+I15)*$C$3</f>
        <v>653.10030000000006</v>
      </c>
      <c r="K15" s="6"/>
      <c r="L15" s="17"/>
    </row>
    <row r="16" spans="1:13" ht="31.5" x14ac:dyDescent="0.5">
      <c r="A16" s="152" t="s">
        <v>974</v>
      </c>
      <c r="B16" s="152"/>
      <c r="C16" s="152"/>
      <c r="D16" s="2"/>
      <c r="E16" s="2"/>
      <c r="F16" s="152"/>
      <c r="G16" s="152"/>
      <c r="H16" s="2"/>
      <c r="I16" s="2"/>
      <c r="J16" s="52">
        <f>J17</f>
        <v>213.26310000000001</v>
      </c>
      <c r="K16" s="10">
        <v>244</v>
      </c>
      <c r="L16" s="10">
        <f t="shared" ref="L16" si="10">K16-J16</f>
        <v>30.736899999999991</v>
      </c>
    </row>
    <row r="17" spans="1:12" x14ac:dyDescent="0.25">
      <c r="A17" s="4" t="s">
        <v>478</v>
      </c>
      <c r="B17" s="4">
        <v>1</v>
      </c>
      <c r="C17" s="4">
        <v>2350</v>
      </c>
      <c r="D17" s="4">
        <f t="shared" ref="D17" si="11">B17*C17</f>
        <v>2350</v>
      </c>
      <c r="E17" s="4">
        <f>D17*0.1</f>
        <v>235</v>
      </c>
      <c r="F17" s="4">
        <v>1250</v>
      </c>
      <c r="G17" s="4"/>
      <c r="H17" s="4">
        <v>0.03</v>
      </c>
      <c r="I17" s="4">
        <f>H17*$C$2</f>
        <v>250.5</v>
      </c>
      <c r="J17" s="51">
        <f>(D17+E17+F17+I17)*$C$3</f>
        <v>213.26310000000001</v>
      </c>
      <c r="K17" s="6"/>
      <c r="L17" s="17"/>
    </row>
    <row r="18" spans="1:12" ht="31.5" x14ac:dyDescent="0.5">
      <c r="A18" s="152" t="s">
        <v>680</v>
      </c>
      <c r="B18" s="152"/>
      <c r="C18" s="152"/>
      <c r="D18" s="2"/>
      <c r="E18" s="2"/>
      <c r="F18" s="152"/>
      <c r="G18" s="152"/>
      <c r="H18" s="152"/>
      <c r="I18" s="2"/>
      <c r="J18" s="52">
        <f>SUM(J19:J19)</f>
        <v>1662.9093</v>
      </c>
      <c r="K18" s="10">
        <f>1610+47</f>
        <v>1657</v>
      </c>
      <c r="L18" s="10">
        <f t="shared" ref="L18" si="12">K18-J18</f>
        <v>-5.9093000000000302</v>
      </c>
    </row>
    <row r="19" spans="1:12" x14ac:dyDescent="0.25">
      <c r="A19" s="4" t="s">
        <v>975</v>
      </c>
      <c r="B19" s="4">
        <v>1</v>
      </c>
      <c r="C19" s="4">
        <v>26000</v>
      </c>
      <c r="D19" s="4">
        <f t="shared" ref="D19" si="13">B19*C19</f>
        <v>26000</v>
      </c>
      <c r="E19" s="4">
        <f>D19*0.1</f>
        <v>2600</v>
      </c>
      <c r="F19" s="4">
        <v>0</v>
      </c>
      <c r="G19" s="4"/>
      <c r="H19" s="4">
        <v>0.39</v>
      </c>
      <c r="I19" s="4">
        <f>H19*$C$2</f>
        <v>3256.5</v>
      </c>
      <c r="J19" s="51">
        <f>(D19+E19+F19+I19)*$C$3</f>
        <v>1662.9093</v>
      </c>
      <c r="K19" s="6"/>
      <c r="L19" s="17"/>
    </row>
    <row r="20" spans="1:12" ht="31.5" x14ac:dyDescent="0.5">
      <c r="A20" s="152" t="s">
        <v>976</v>
      </c>
      <c r="B20" s="152"/>
      <c r="C20" s="152"/>
      <c r="D20" s="2"/>
      <c r="E20" s="2"/>
      <c r="F20" s="152"/>
      <c r="G20" s="152"/>
      <c r="H20" s="152"/>
      <c r="I20" s="2"/>
      <c r="J20" s="52">
        <f>J21</f>
        <v>2546.0550000000003</v>
      </c>
      <c r="K20" s="10">
        <f>1000+1469+77</f>
        <v>2546</v>
      </c>
      <c r="L20" s="10">
        <f t="shared" ref="L20" si="14">K20-J20</f>
        <v>-5.5000000000291038E-2</v>
      </c>
    </row>
    <row r="21" spans="1:12" x14ac:dyDescent="0.25">
      <c r="A21" s="4" t="s">
        <v>977</v>
      </c>
      <c r="B21" s="4">
        <v>1</v>
      </c>
      <c r="C21" s="4">
        <v>41760</v>
      </c>
      <c r="D21" s="4">
        <f t="shared" ref="D21" si="15">B21*C21</f>
        <v>41760</v>
      </c>
      <c r="E21" s="4">
        <f>D21*0.1</f>
        <v>4176</v>
      </c>
      <c r="F21" s="4">
        <v>0</v>
      </c>
      <c r="G21" s="4"/>
      <c r="H21" s="4">
        <v>0.34</v>
      </c>
      <c r="I21" s="4">
        <f>H21*$C$2</f>
        <v>2839</v>
      </c>
      <c r="J21" s="51">
        <f>(D21+E21+F21+I21)*$C$3</f>
        <v>2546.0550000000003</v>
      </c>
      <c r="K21" s="6"/>
      <c r="L21" s="17"/>
    </row>
    <row r="22" spans="1:12" ht="31.5" x14ac:dyDescent="0.5">
      <c r="A22" s="152" t="s">
        <v>766</v>
      </c>
      <c r="B22" s="152"/>
      <c r="C22" s="152"/>
      <c r="D22" s="2"/>
      <c r="E22" s="2"/>
      <c r="F22" s="152"/>
      <c r="G22" s="152"/>
      <c r="H22" s="152"/>
      <c r="I22" s="2"/>
      <c r="J22" s="52">
        <f>SUM(J23:J23)</f>
        <v>161.5068</v>
      </c>
      <c r="K22" s="10">
        <v>205</v>
      </c>
      <c r="L22" s="10">
        <f t="shared" ref="L22" si="16">K22-J22</f>
        <v>43.493200000000002</v>
      </c>
    </row>
    <row r="23" spans="1:12" x14ac:dyDescent="0.25">
      <c r="A23" s="4" t="s">
        <v>978</v>
      </c>
      <c r="B23" s="4">
        <v>1</v>
      </c>
      <c r="C23" s="4">
        <v>1750</v>
      </c>
      <c r="D23" s="4">
        <f t="shared" ref="D23" si="17">B23*C23</f>
        <v>1750</v>
      </c>
      <c r="E23" s="4">
        <f>D23*0.1</f>
        <v>175</v>
      </c>
      <c r="F23" s="4">
        <v>0</v>
      </c>
      <c r="G23" s="4"/>
      <c r="H23" s="4">
        <v>0.14000000000000001</v>
      </c>
      <c r="I23" s="4">
        <f>H23*$C$2</f>
        <v>1169</v>
      </c>
      <c r="J23" s="51">
        <f>(D23+E23+F23+I23)*$C$3</f>
        <v>161.5068</v>
      </c>
      <c r="K23" s="6"/>
      <c r="L23" s="17"/>
    </row>
    <row r="24" spans="1:12" ht="31.5" x14ac:dyDescent="0.5">
      <c r="A24" s="152" t="s">
        <v>979</v>
      </c>
      <c r="B24" s="152"/>
      <c r="C24" s="152"/>
      <c r="D24" s="2"/>
      <c r="E24" s="2"/>
      <c r="F24" s="152"/>
      <c r="G24" s="152"/>
      <c r="H24" s="152"/>
      <c r="I24" s="2"/>
      <c r="J24" s="52">
        <f>SUM(J25:J25)</f>
        <v>832.25070000000005</v>
      </c>
      <c r="K24" s="10">
        <f>825+7</f>
        <v>832</v>
      </c>
      <c r="L24" s="10">
        <f t="shared" ref="L24" si="18">K24-J24</f>
        <v>-0.25070000000005166</v>
      </c>
    </row>
    <row r="25" spans="1:12" x14ac:dyDescent="0.25">
      <c r="A25" s="4" t="s">
        <v>980</v>
      </c>
      <c r="B25" s="4">
        <v>1</v>
      </c>
      <c r="C25" s="4">
        <v>12900</v>
      </c>
      <c r="D25" s="4">
        <f t="shared" ref="D25" si="19">B25*C25</f>
        <v>12900</v>
      </c>
      <c r="E25" s="4">
        <f>D25*0.1</f>
        <v>1290</v>
      </c>
      <c r="F25" s="4">
        <v>0</v>
      </c>
      <c r="G25" s="4"/>
      <c r="H25" s="4">
        <v>0.21</v>
      </c>
      <c r="I25" s="4">
        <f>H25*$C$2</f>
        <v>1753.5</v>
      </c>
      <c r="J25" s="51">
        <f>(D25+E25+F25+I25)*$C$3</f>
        <v>832.25070000000005</v>
      </c>
      <c r="K25" s="6"/>
      <c r="L25" s="17"/>
    </row>
    <row r="26" spans="1:12" ht="31.5" x14ac:dyDescent="0.5">
      <c r="A26" s="152" t="s">
        <v>344</v>
      </c>
      <c r="B26" s="152"/>
      <c r="C26" s="152"/>
      <c r="D26" s="2"/>
      <c r="E26" s="2"/>
      <c r="F26" s="152"/>
      <c r="G26" s="152"/>
      <c r="H26" s="152"/>
      <c r="I26" s="2"/>
      <c r="J26" s="52">
        <f>SUM(J27:J27)</f>
        <v>962.38530000000003</v>
      </c>
      <c r="K26" s="10">
        <v>966</v>
      </c>
      <c r="L26" s="10">
        <f t="shared" ref="L26" si="20">K26-J26</f>
        <v>3.6146999999999707</v>
      </c>
    </row>
    <row r="27" spans="1:12" x14ac:dyDescent="0.25">
      <c r="A27" s="4" t="s">
        <v>576</v>
      </c>
      <c r="B27" s="4">
        <v>2</v>
      </c>
      <c r="C27" s="4">
        <v>6900</v>
      </c>
      <c r="D27" s="4">
        <f t="shared" ref="D27" si="21">B27*C27</f>
        <v>13800</v>
      </c>
      <c r="E27" s="4">
        <f>D27*0.1</f>
        <v>1380</v>
      </c>
      <c r="F27" s="4">
        <v>0</v>
      </c>
      <c r="G27" s="4"/>
      <c r="H27" s="4">
        <v>0.39</v>
      </c>
      <c r="I27" s="4">
        <f>H27*$C$2</f>
        <v>3256.5</v>
      </c>
      <c r="J27" s="51">
        <f>(D27+E27+F27+I27)*$C$3</f>
        <v>962.38530000000003</v>
      </c>
      <c r="K27" s="6"/>
      <c r="L27" s="17"/>
    </row>
    <row r="28" spans="1:12" ht="31.5" x14ac:dyDescent="0.5">
      <c r="A28" s="152" t="s">
        <v>981</v>
      </c>
      <c r="B28" s="152"/>
      <c r="C28" s="152"/>
      <c r="D28" s="2"/>
      <c r="E28" s="2"/>
      <c r="F28" s="152"/>
      <c r="G28" s="152"/>
      <c r="H28" s="152"/>
      <c r="I28" s="2"/>
      <c r="J28" s="52">
        <f>J29</f>
        <v>918.12840000000017</v>
      </c>
      <c r="K28" s="10">
        <v>926</v>
      </c>
      <c r="L28" s="10">
        <f t="shared" ref="L28" si="22">K28-J28</f>
        <v>7.8715999999998303</v>
      </c>
    </row>
    <row r="29" spans="1:12" x14ac:dyDescent="0.25">
      <c r="A29" s="4" t="s">
        <v>982</v>
      </c>
      <c r="B29" s="4">
        <v>1</v>
      </c>
      <c r="C29" s="4">
        <v>14700</v>
      </c>
      <c r="D29" s="4">
        <f t="shared" ref="D29" si="23">B29*C29</f>
        <v>14700</v>
      </c>
      <c r="E29" s="4">
        <f>D29*0.1</f>
        <v>1470</v>
      </c>
      <c r="F29" s="168">
        <f>2500/6</f>
        <v>416.66666666666669</v>
      </c>
      <c r="G29" s="4"/>
      <c r="H29" s="4">
        <v>0.12</v>
      </c>
      <c r="I29" s="4">
        <f>H29*$C$2</f>
        <v>1002</v>
      </c>
      <c r="J29" s="51">
        <f>(D29+E29+F29+I29)*$C$3</f>
        <v>918.12840000000017</v>
      </c>
      <c r="K29" s="6"/>
      <c r="L29" s="17"/>
    </row>
    <row r="30" spans="1:12" ht="31.5" x14ac:dyDescent="0.5">
      <c r="A30" s="152" t="s">
        <v>707</v>
      </c>
      <c r="B30" s="152"/>
      <c r="C30" s="152"/>
      <c r="D30" s="2"/>
      <c r="E30" s="2"/>
      <c r="F30" s="152"/>
      <c r="G30" s="152"/>
      <c r="H30" s="152"/>
      <c r="I30" s="2"/>
      <c r="J30" s="52">
        <f>SUM(J31:J31)</f>
        <v>1363.21605</v>
      </c>
      <c r="K30" s="10">
        <v>1570</v>
      </c>
      <c r="L30" s="10">
        <f t="shared" ref="L30" si="24">K30-J30</f>
        <v>206.78395</v>
      </c>
    </row>
    <row r="31" spans="1:12" x14ac:dyDescent="0.25">
      <c r="A31" s="4" t="s">
        <v>983</v>
      </c>
      <c r="B31" s="4">
        <v>2</v>
      </c>
      <c r="C31" s="4">
        <v>8400</v>
      </c>
      <c r="D31" s="4">
        <f t="shared" ref="D31" si="25">B31*C31</f>
        <v>16800</v>
      </c>
      <c r="E31" s="4">
        <f>D31*0.1</f>
        <v>1680</v>
      </c>
      <c r="F31" s="4">
        <v>2500</v>
      </c>
      <c r="G31" s="4"/>
      <c r="H31" s="4">
        <v>0.61499999999999999</v>
      </c>
      <c r="I31" s="4">
        <f>H31*$C$2</f>
        <v>5135.25</v>
      </c>
      <c r="J31" s="51">
        <f>(D31+E31+F31+I31)*$C$3</f>
        <v>1363.21605</v>
      </c>
      <c r="K31" s="6"/>
      <c r="L31" s="17"/>
    </row>
    <row r="32" spans="1:12" ht="31.5" x14ac:dyDescent="0.5">
      <c r="A32" s="152" t="s">
        <v>331</v>
      </c>
      <c r="B32" s="152"/>
      <c r="C32" s="152"/>
      <c r="D32" s="2"/>
      <c r="E32" s="2"/>
      <c r="F32" s="152"/>
      <c r="G32" s="152"/>
      <c r="H32" s="152"/>
      <c r="I32" s="2"/>
      <c r="J32" s="52">
        <f>SUM(J33:J34)</f>
        <v>1997.9550000000002</v>
      </c>
      <c r="K32" s="10">
        <f>2029+97</f>
        <v>2126</v>
      </c>
      <c r="L32" s="10">
        <f t="shared" ref="L32" si="26">K32-J32</f>
        <v>128.04499999999985</v>
      </c>
    </row>
    <row r="33" spans="1:12" x14ac:dyDescent="0.25">
      <c r="A33" s="4" t="s">
        <v>984</v>
      </c>
      <c r="B33" s="4">
        <v>1</v>
      </c>
      <c r="C33" s="4">
        <v>13000</v>
      </c>
      <c r="D33" s="4">
        <f t="shared" ref="D33:D34" si="27">B33*C33</f>
        <v>13000</v>
      </c>
      <c r="E33" s="4">
        <f t="shared" ref="E33:E34" si="28">D33*0.1</f>
        <v>1300</v>
      </c>
      <c r="F33" s="4">
        <v>0</v>
      </c>
      <c r="G33" s="4"/>
      <c r="H33" s="4">
        <v>0.25</v>
      </c>
      <c r="I33" s="4">
        <f t="shared" ref="I33:I34" si="29">H33*$C$2</f>
        <v>2087.5</v>
      </c>
      <c r="J33" s="51">
        <f t="shared" ref="J33:J34" si="30">(D33+E33+F33+I33)*$C$3</f>
        <v>855.42750000000001</v>
      </c>
      <c r="K33" s="6"/>
      <c r="L33" s="17"/>
    </row>
    <row r="34" spans="1:12" x14ac:dyDescent="0.25">
      <c r="A34" s="4" t="s">
        <v>985</v>
      </c>
      <c r="B34" s="4">
        <v>1</v>
      </c>
      <c r="C34" s="4">
        <v>18000</v>
      </c>
      <c r="D34" s="4">
        <f t="shared" si="27"/>
        <v>18000</v>
      </c>
      <c r="E34" s="4">
        <f t="shared" si="28"/>
        <v>1800</v>
      </c>
      <c r="F34" s="4">
        <v>0</v>
      </c>
      <c r="G34" s="4"/>
      <c r="H34" s="4">
        <v>0.25</v>
      </c>
      <c r="I34" s="4">
        <f t="shared" si="29"/>
        <v>2087.5</v>
      </c>
      <c r="J34" s="51">
        <f t="shared" si="30"/>
        <v>1142.5275000000001</v>
      </c>
      <c r="K34" s="6"/>
      <c r="L34" s="17"/>
    </row>
    <row r="35" spans="1:12" ht="31.5" x14ac:dyDescent="0.5">
      <c r="A35" s="152" t="s">
        <v>986</v>
      </c>
      <c r="B35" s="152"/>
      <c r="C35" s="152"/>
      <c r="D35" s="2"/>
      <c r="E35" s="2"/>
      <c r="F35" s="152"/>
      <c r="G35" s="152"/>
      <c r="H35" s="152"/>
      <c r="I35" s="2"/>
      <c r="J35" s="52">
        <f>SUM(J36:J37)</f>
        <v>2085.1289999999999</v>
      </c>
      <c r="K35" s="10">
        <f>1946+139</f>
        <v>2085</v>
      </c>
      <c r="L35" s="10">
        <f t="shared" ref="L35" si="31">K35-J35</f>
        <v>-0.12899999999990541</v>
      </c>
    </row>
    <row r="36" spans="1:12" x14ac:dyDescent="0.25">
      <c r="A36" s="4" t="s">
        <v>987</v>
      </c>
      <c r="B36" s="4">
        <v>1</v>
      </c>
      <c r="C36" s="4">
        <v>16000</v>
      </c>
      <c r="D36" s="4">
        <f t="shared" ref="D36:D37" si="32">B36*C36</f>
        <v>16000</v>
      </c>
      <c r="E36" s="4">
        <f t="shared" ref="E36:E37" si="33">D36*0.1</f>
        <v>1600</v>
      </c>
      <c r="F36" s="4">
        <v>0</v>
      </c>
      <c r="G36" s="4"/>
      <c r="H36" s="4">
        <v>0.28999999999999998</v>
      </c>
      <c r="I36" s="4">
        <f t="shared" ref="I36:I37" si="34">H36*$C$2</f>
        <v>2421.5</v>
      </c>
      <c r="J36" s="51">
        <f t="shared" ref="J36:J37" si="35">(D36+E36+F36+I36)*$C$3</f>
        <v>1045.1223</v>
      </c>
      <c r="K36" s="6"/>
      <c r="L36" s="17"/>
    </row>
    <row r="37" spans="1:12" x14ac:dyDescent="0.25">
      <c r="A37" s="4" t="s">
        <v>988</v>
      </c>
      <c r="B37" s="4">
        <v>1</v>
      </c>
      <c r="C37" s="4">
        <v>15000</v>
      </c>
      <c r="D37" s="4">
        <f t="shared" si="32"/>
        <v>15000</v>
      </c>
      <c r="E37" s="4">
        <f t="shared" si="33"/>
        <v>1500</v>
      </c>
      <c r="F37" s="4">
        <v>0</v>
      </c>
      <c r="G37" s="4"/>
      <c r="H37" s="4">
        <v>0.41</v>
      </c>
      <c r="I37" s="4">
        <f t="shared" si="34"/>
        <v>3423.5</v>
      </c>
      <c r="J37" s="51">
        <f t="shared" si="35"/>
        <v>1040.0067000000001</v>
      </c>
      <c r="K37" s="6"/>
      <c r="L37" s="17"/>
    </row>
    <row r="38" spans="1:12" ht="31.5" x14ac:dyDescent="0.5">
      <c r="A38" s="152" t="s">
        <v>763</v>
      </c>
      <c r="B38" s="152"/>
      <c r="C38" s="152"/>
      <c r="D38" s="2"/>
      <c r="E38" s="2"/>
      <c r="F38" s="152"/>
      <c r="G38" s="152"/>
      <c r="H38" s="152"/>
      <c r="I38" s="2"/>
      <c r="J38" s="52">
        <f>SUM(J39:J41)</f>
        <v>1366.6351500000001</v>
      </c>
      <c r="K38" s="10">
        <v>1371</v>
      </c>
      <c r="L38" s="10">
        <f t="shared" ref="L38" si="36">K38-J38</f>
        <v>4.3648499999999331</v>
      </c>
    </row>
    <row r="39" spans="1:12" x14ac:dyDescent="0.25">
      <c r="A39" s="4" t="s">
        <v>989</v>
      </c>
      <c r="B39" s="4">
        <v>1</v>
      </c>
      <c r="C39" s="4">
        <v>7900</v>
      </c>
      <c r="D39" s="4">
        <f t="shared" ref="D39:D41" si="37">B39*C39</f>
        <v>7900</v>
      </c>
      <c r="E39" s="4">
        <f t="shared" ref="E39:E41" si="38">D39*0.1</f>
        <v>790</v>
      </c>
      <c r="F39" s="4">
        <v>0</v>
      </c>
      <c r="G39" s="4"/>
      <c r="H39" s="4">
        <v>0.05</v>
      </c>
      <c r="I39" s="4">
        <f t="shared" ref="I39:I41" si="39">H39*$C$2</f>
        <v>417.5</v>
      </c>
      <c r="J39" s="51">
        <f t="shared" ref="J39:J41" si="40">(D39+E39+F39+I39)*$C$3</f>
        <v>475.41150000000005</v>
      </c>
      <c r="K39" s="6"/>
      <c r="L39" s="17"/>
    </row>
    <row r="40" spans="1:12" x14ac:dyDescent="0.25">
      <c r="A40" s="4" t="s">
        <v>990</v>
      </c>
      <c r="B40" s="4">
        <v>1</v>
      </c>
      <c r="C40" s="4">
        <v>6900</v>
      </c>
      <c r="D40" s="4">
        <f t="shared" si="37"/>
        <v>6900</v>
      </c>
      <c r="E40" s="4">
        <f t="shared" si="38"/>
        <v>690</v>
      </c>
      <c r="F40" s="4">
        <v>0</v>
      </c>
      <c r="G40" s="4"/>
      <c r="H40" s="4">
        <v>0.04</v>
      </c>
      <c r="I40" s="4">
        <f t="shared" si="39"/>
        <v>334</v>
      </c>
      <c r="J40" s="51">
        <f t="shared" si="40"/>
        <v>413.63280000000003</v>
      </c>
      <c r="K40" s="6"/>
      <c r="L40" s="17"/>
    </row>
    <row r="41" spans="1:12" x14ac:dyDescent="0.25">
      <c r="A41" s="4" t="s">
        <v>991</v>
      </c>
      <c r="B41" s="4">
        <v>1</v>
      </c>
      <c r="C41" s="4">
        <v>7900</v>
      </c>
      <c r="D41" s="4">
        <f t="shared" si="37"/>
        <v>7900</v>
      </c>
      <c r="E41" s="4">
        <f t="shared" si="38"/>
        <v>790</v>
      </c>
      <c r="F41" s="4">
        <v>0</v>
      </c>
      <c r="G41" s="4"/>
      <c r="H41" s="4">
        <v>5.5E-2</v>
      </c>
      <c r="I41" s="4">
        <f t="shared" si="39"/>
        <v>459.25</v>
      </c>
      <c r="J41" s="51">
        <f t="shared" si="40"/>
        <v>477.59085000000005</v>
      </c>
      <c r="K41" s="6"/>
      <c r="L41" s="17"/>
    </row>
    <row r="42" spans="1:12" ht="31.5" x14ac:dyDescent="0.5">
      <c r="A42" s="152" t="s">
        <v>992</v>
      </c>
      <c r="B42" s="152"/>
      <c r="C42" s="152"/>
      <c r="D42" s="2"/>
      <c r="E42" s="2"/>
      <c r="F42" s="152"/>
      <c r="G42" s="152"/>
      <c r="H42" s="152"/>
      <c r="I42" s="2"/>
      <c r="J42" s="52">
        <f>SUM(J43:J45)</f>
        <v>2168.0617499999998</v>
      </c>
      <c r="K42" s="10">
        <f>1000+1118+50</f>
        <v>2168</v>
      </c>
      <c r="L42" s="10">
        <f t="shared" ref="L42" si="41">K42-J42</f>
        <v>-6.1749999999847205E-2</v>
      </c>
    </row>
    <row r="43" spans="1:12" x14ac:dyDescent="0.25">
      <c r="A43" s="4" t="s">
        <v>57</v>
      </c>
      <c r="B43" s="4">
        <v>1</v>
      </c>
      <c r="C43" s="4">
        <v>6400</v>
      </c>
      <c r="D43" s="4">
        <f t="shared" ref="D43:D45" si="42">B43*C43</f>
        <v>6400</v>
      </c>
      <c r="E43" s="4">
        <f t="shared" ref="E43:E45" si="43">D43*0.1</f>
        <v>640</v>
      </c>
      <c r="F43" s="168">
        <f>2500/3</f>
        <v>833.33333333333337</v>
      </c>
      <c r="G43" s="4"/>
      <c r="H43" s="4">
        <f>1.15+0.085</f>
        <v>1.2349999999999999</v>
      </c>
      <c r="I43" s="4">
        <f t="shared" ref="I43:I45" si="44">H43*$C$2</f>
        <v>10312.249999999998</v>
      </c>
      <c r="J43" s="51">
        <f t="shared" ref="J43:J45" si="45">(D43+E43+F43+I43)*$C$3</f>
        <v>949.28745000000004</v>
      </c>
      <c r="K43" s="6"/>
      <c r="L43" s="17"/>
    </row>
    <row r="44" spans="1:12" x14ac:dyDescent="0.25">
      <c r="A44" s="4" t="s">
        <v>157</v>
      </c>
      <c r="B44" s="4">
        <v>1</v>
      </c>
      <c r="C44" s="4">
        <v>4500</v>
      </c>
      <c r="D44" s="4">
        <f t="shared" si="42"/>
        <v>4500</v>
      </c>
      <c r="E44" s="4">
        <f t="shared" si="43"/>
        <v>450</v>
      </c>
      <c r="F44" s="168">
        <f>2500/3</f>
        <v>833.33333333333337</v>
      </c>
      <c r="G44" s="4"/>
      <c r="H44" s="4">
        <f>0.58+0.085</f>
        <v>0.66499999999999992</v>
      </c>
      <c r="I44" s="4">
        <f t="shared" si="44"/>
        <v>5552.7499999999991</v>
      </c>
      <c r="J44" s="51">
        <f t="shared" si="45"/>
        <v>591.74355000000003</v>
      </c>
      <c r="K44" s="6"/>
      <c r="L44" s="17"/>
    </row>
    <row r="45" spans="1:12" x14ac:dyDescent="0.25">
      <c r="A45" s="4" t="s">
        <v>327</v>
      </c>
      <c r="B45" s="4">
        <v>1</v>
      </c>
      <c r="C45" s="4">
        <v>3900</v>
      </c>
      <c r="D45" s="4">
        <f t="shared" si="42"/>
        <v>3900</v>
      </c>
      <c r="E45" s="4">
        <f t="shared" si="43"/>
        <v>390</v>
      </c>
      <c r="F45" s="168">
        <f>2500/3</f>
        <v>833.33333333333337</v>
      </c>
      <c r="G45" s="4"/>
      <c r="H45" s="4">
        <f>0.74+0.085</f>
        <v>0.82499999999999996</v>
      </c>
      <c r="I45" s="4">
        <f t="shared" si="44"/>
        <v>6888.75</v>
      </c>
      <c r="J45" s="51">
        <f t="shared" si="45"/>
        <v>627.03075000000001</v>
      </c>
      <c r="K45" s="6"/>
      <c r="L45" s="17"/>
    </row>
    <row r="46" spans="1:12" ht="31.5" x14ac:dyDescent="0.5">
      <c r="A46" s="152" t="s">
        <v>868</v>
      </c>
      <c r="B46" s="152"/>
      <c r="C46" s="152"/>
      <c r="D46" s="2"/>
      <c r="E46" s="2"/>
      <c r="F46" s="152"/>
      <c r="G46" s="152"/>
      <c r="H46" s="152"/>
      <c r="I46" s="2"/>
      <c r="J46" s="52">
        <f>SUM(J47:J49)</f>
        <v>2617.7125500000002</v>
      </c>
      <c r="K46" s="10">
        <v>2670</v>
      </c>
      <c r="L46" s="10">
        <f t="shared" ref="L46" si="46">K46-J46</f>
        <v>52.287449999999808</v>
      </c>
    </row>
    <row r="47" spans="1:12" x14ac:dyDescent="0.25">
      <c r="A47" s="4" t="s">
        <v>993</v>
      </c>
      <c r="B47" s="4">
        <v>1</v>
      </c>
      <c r="C47" s="4">
        <v>12200</v>
      </c>
      <c r="D47" s="4">
        <f t="shared" ref="D47:D49" si="47">B47*C47</f>
        <v>12200</v>
      </c>
      <c r="E47" s="4">
        <f t="shared" ref="E47:E49" si="48">D47*0.1</f>
        <v>1220</v>
      </c>
      <c r="F47" s="4">
        <v>1250</v>
      </c>
      <c r="G47" s="4"/>
      <c r="H47" s="4">
        <v>0.11</v>
      </c>
      <c r="I47" s="4">
        <f t="shared" ref="I47:I49" si="49">H47*$C$2</f>
        <v>918.5</v>
      </c>
      <c r="J47" s="51">
        <f t="shared" ref="J47:J49" si="50">(D47+E47+F47+I47)*$C$3</f>
        <v>813.7197000000001</v>
      </c>
      <c r="K47" s="6"/>
      <c r="L47" s="17"/>
    </row>
    <row r="48" spans="1:12" x14ac:dyDescent="0.25">
      <c r="A48" s="4" t="s">
        <v>994</v>
      </c>
      <c r="B48" s="4">
        <v>1</v>
      </c>
      <c r="C48" s="4">
        <v>21500</v>
      </c>
      <c r="D48" s="4">
        <f t="shared" si="47"/>
        <v>21500</v>
      </c>
      <c r="E48" s="4">
        <f t="shared" si="48"/>
        <v>2150</v>
      </c>
      <c r="F48" s="4">
        <v>1250</v>
      </c>
      <c r="G48" s="4"/>
      <c r="H48" s="4">
        <v>0.315</v>
      </c>
      <c r="I48" s="4">
        <f t="shared" si="49"/>
        <v>2630.25</v>
      </c>
      <c r="J48" s="51">
        <f t="shared" si="50"/>
        <v>1437.0790500000001</v>
      </c>
      <c r="K48" s="6"/>
      <c r="L48" s="17"/>
    </row>
    <row r="49" spans="1:12" x14ac:dyDescent="0.25">
      <c r="A49" s="4" t="s">
        <v>995</v>
      </c>
      <c r="B49" s="4">
        <v>1</v>
      </c>
      <c r="C49" s="4">
        <v>5480</v>
      </c>
      <c r="D49" s="4">
        <f t="shared" si="47"/>
        <v>5480</v>
      </c>
      <c r="E49" s="4">
        <f t="shared" si="48"/>
        <v>548</v>
      </c>
      <c r="F49" s="4">
        <v>500</v>
      </c>
      <c r="G49" s="4"/>
      <c r="H49" s="4">
        <v>0.06</v>
      </c>
      <c r="I49" s="4">
        <f t="shared" si="49"/>
        <v>501</v>
      </c>
      <c r="J49" s="51">
        <f t="shared" si="50"/>
        <v>366.91380000000004</v>
      </c>
      <c r="K49" s="6"/>
      <c r="L49" s="17"/>
    </row>
  </sheetData>
  <hyperlinks>
    <hyperlink ref="A30" r:id="rId1" display="http://forum.sibmama.ru/viewtopic.php?t=715424&amp;start=29325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="80" zoomScaleNormal="80" workbookViewId="0">
      <selection activeCell="L6" sqref="L6"/>
    </sheetView>
  </sheetViews>
  <sheetFormatPr defaultRowHeight="15" x14ac:dyDescent="0.25"/>
  <cols>
    <col min="1" max="1" width="38.140625" customWidth="1"/>
    <col min="3" max="3" width="14.140625" customWidth="1"/>
    <col min="6" max="6" width="10.85546875" customWidth="1"/>
    <col min="8" max="8" width="10.5703125" customWidth="1"/>
    <col min="10" max="10" width="13.28515625" customWidth="1"/>
    <col min="11" max="11" width="11.5703125" customWidth="1"/>
    <col min="12" max="12" width="14.42578125" customWidth="1"/>
  </cols>
  <sheetData>
    <row r="1" spans="1:13" ht="21" x14ac:dyDescent="0.35">
      <c r="A1" s="55" t="s">
        <v>281</v>
      </c>
      <c r="B1" s="4"/>
      <c r="C1" s="189">
        <v>42791</v>
      </c>
      <c r="D1" s="30"/>
    </row>
    <row r="2" spans="1:13" ht="21" x14ac:dyDescent="0.35">
      <c r="A2" s="55" t="s">
        <v>239</v>
      </c>
      <c r="B2" s="4"/>
      <c r="C2" s="16">
        <v>8260</v>
      </c>
      <c r="D2" s="30"/>
    </row>
    <row r="3" spans="1:13" ht="21" x14ac:dyDescent="0.35">
      <c r="A3" s="55" t="s">
        <v>240</v>
      </c>
      <c r="B3" s="4"/>
      <c r="C3" s="170">
        <v>5.2200000000000003E-2</v>
      </c>
      <c r="D3" s="30"/>
    </row>
    <row r="4" spans="1:13" ht="15.75" thickBot="1" x14ac:dyDescent="0.3"/>
    <row r="5" spans="1:13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1002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3" ht="31.5" x14ac:dyDescent="0.5">
      <c r="A6" s="152" t="s">
        <v>1004</v>
      </c>
      <c r="B6" s="152"/>
      <c r="C6" s="152"/>
      <c r="D6" s="2"/>
      <c r="E6" s="2"/>
      <c r="F6" s="152"/>
      <c r="G6" s="152"/>
      <c r="H6" s="2"/>
      <c r="I6" s="2"/>
      <c r="J6" s="52">
        <f>J7</f>
        <v>321.82791428571431</v>
      </c>
      <c r="K6" s="10">
        <v>344</v>
      </c>
      <c r="L6" s="10">
        <f t="shared" ref="L6" si="0">K6-J6</f>
        <v>22.172085714285686</v>
      </c>
    </row>
    <row r="7" spans="1:13" x14ac:dyDescent="0.25">
      <c r="A7" s="4" t="s">
        <v>1012</v>
      </c>
      <c r="B7" s="4">
        <v>2</v>
      </c>
      <c r="C7" s="4">
        <v>2290</v>
      </c>
      <c r="D7" s="4">
        <f t="shared" ref="D7" si="1">B7*C7</f>
        <v>4580</v>
      </c>
      <c r="E7" s="4">
        <f>D7*0.1</f>
        <v>458</v>
      </c>
      <c r="F7" s="4">
        <f>2500/7*B7</f>
        <v>714.28571428571433</v>
      </c>
      <c r="G7">
        <v>0.05</v>
      </c>
      <c r="H7">
        <v>0.05</v>
      </c>
      <c r="I7" s="4">
        <f>H7*$C$2</f>
        <v>413</v>
      </c>
      <c r="J7" s="51">
        <f>(D7+E7+F7+I7)*$C$3</f>
        <v>321.82791428571431</v>
      </c>
      <c r="K7" s="6"/>
      <c r="L7" s="17"/>
    </row>
    <row r="8" spans="1:13" ht="31.5" x14ac:dyDescent="0.5">
      <c r="A8" s="152" t="s">
        <v>619</v>
      </c>
      <c r="B8" s="152"/>
      <c r="C8" s="152"/>
      <c r="D8" s="2"/>
      <c r="E8" s="2"/>
      <c r="F8" s="152"/>
      <c r="G8" s="152"/>
      <c r="H8" s="152"/>
      <c r="I8" s="2"/>
      <c r="J8" s="52">
        <f>SUM(J9:J9)</f>
        <v>321.82791428571431</v>
      </c>
      <c r="K8" s="10">
        <f>344-23</f>
        <v>321</v>
      </c>
      <c r="L8" s="10">
        <f t="shared" ref="L8" si="2">K8-J8</f>
        <v>-0.82791428571431425</v>
      </c>
      <c r="M8" t="s">
        <v>1017</v>
      </c>
    </row>
    <row r="9" spans="1:13" x14ac:dyDescent="0.25">
      <c r="A9" s="4" t="s">
        <v>1005</v>
      </c>
      <c r="B9" s="4">
        <v>2</v>
      </c>
      <c r="C9" s="4">
        <v>2290</v>
      </c>
      <c r="D9" s="4">
        <f t="shared" ref="D9" si="3">B9*C9</f>
        <v>4580</v>
      </c>
      <c r="E9" s="4">
        <f>D9*0.1</f>
        <v>458</v>
      </c>
      <c r="F9" s="4">
        <f>2500/7*B9</f>
        <v>714.28571428571433</v>
      </c>
      <c r="G9">
        <v>0.05</v>
      </c>
      <c r="H9">
        <v>0.05</v>
      </c>
      <c r="I9" s="4">
        <f>H9*$C$2</f>
        <v>413</v>
      </c>
      <c r="J9" s="51">
        <f>(D9+E9+F9+I9)*$C$3</f>
        <v>321.82791428571431</v>
      </c>
      <c r="K9" s="6"/>
      <c r="L9" s="17"/>
    </row>
    <row r="10" spans="1:13" ht="31.5" x14ac:dyDescent="0.5">
      <c r="A10" s="152" t="s">
        <v>1006</v>
      </c>
      <c r="B10" s="152"/>
      <c r="C10" s="152"/>
      <c r="D10" s="2"/>
      <c r="E10" s="2"/>
      <c r="F10" s="152"/>
      <c r="G10" s="152"/>
      <c r="H10" s="152"/>
      <c r="I10" s="2"/>
      <c r="J10" s="52">
        <f>J11</f>
        <v>493.21170000000001</v>
      </c>
      <c r="K10" s="10">
        <v>483</v>
      </c>
      <c r="L10" s="10">
        <f t="shared" ref="L10" si="4">K10-J10</f>
        <v>-10.211700000000008</v>
      </c>
    </row>
    <row r="11" spans="1:13" x14ac:dyDescent="0.25">
      <c r="A11" s="4" t="s">
        <v>576</v>
      </c>
      <c r="B11" s="4">
        <v>1</v>
      </c>
      <c r="C11" s="4">
        <v>6900</v>
      </c>
      <c r="D11" s="4">
        <f t="shared" ref="D11" si="5">B11*C11</f>
        <v>6900</v>
      </c>
      <c r="E11" s="4">
        <f>D11*0.1</f>
        <v>690</v>
      </c>
      <c r="F11" s="4">
        <v>0</v>
      </c>
      <c r="G11" s="4">
        <v>0.2</v>
      </c>
      <c r="H11" s="4">
        <v>0.22500000000000001</v>
      </c>
      <c r="I11" s="4">
        <f>H11*$C$2</f>
        <v>1858.5</v>
      </c>
      <c r="J11" s="51">
        <f>(D11+E11+F11+I11)*$C$3</f>
        <v>493.21170000000001</v>
      </c>
      <c r="K11" s="6"/>
      <c r="L11" s="17"/>
    </row>
    <row r="12" spans="1:13" ht="31.5" x14ac:dyDescent="0.5">
      <c r="A12" s="152" t="s">
        <v>1007</v>
      </c>
      <c r="B12" s="152"/>
      <c r="C12" s="152"/>
      <c r="D12" s="2"/>
      <c r="E12" s="2"/>
      <c r="F12" s="152"/>
      <c r="G12" s="152"/>
      <c r="H12" s="152"/>
      <c r="I12" s="2"/>
      <c r="J12" s="52">
        <f>SUM(J13:J13)</f>
        <v>425.42652000000004</v>
      </c>
      <c r="K12" s="10">
        <f>422+3</f>
        <v>425</v>
      </c>
      <c r="L12" s="10">
        <f t="shared" ref="L12" si="6">K12-J12</f>
        <v>-0.42652000000003909</v>
      </c>
    </row>
    <row r="13" spans="1:13" x14ac:dyDescent="0.25">
      <c r="A13" s="4" t="s">
        <v>437</v>
      </c>
      <c r="B13" s="4">
        <v>1</v>
      </c>
      <c r="C13" s="4">
        <v>5450</v>
      </c>
      <c r="D13" s="4">
        <f t="shared" ref="D13" si="7">B13*C13</f>
        <v>5450</v>
      </c>
      <c r="E13" s="4">
        <f>D13*0.1</f>
        <v>545</v>
      </c>
      <c r="F13">
        <f>2500/3</f>
        <v>833.33333333333337</v>
      </c>
      <c r="G13">
        <v>0.15</v>
      </c>
      <c r="H13">
        <v>0.16</v>
      </c>
      <c r="I13" s="4">
        <f>H13*$C$2</f>
        <v>1321.6000000000001</v>
      </c>
      <c r="J13" s="51">
        <f>(D13+E13+F13+I13)*$C$3</f>
        <v>425.42652000000004</v>
      </c>
      <c r="K13" s="6"/>
      <c r="L13" s="17"/>
    </row>
    <row r="14" spans="1:13" ht="31.5" x14ac:dyDescent="0.5">
      <c r="A14" s="152" t="s">
        <v>1008</v>
      </c>
      <c r="B14" s="152"/>
      <c r="C14" s="152"/>
      <c r="D14" s="2"/>
      <c r="E14" s="2"/>
      <c r="F14" s="152"/>
      <c r="G14" s="152"/>
      <c r="H14" s="152"/>
      <c r="I14" s="2"/>
      <c r="J14" s="52">
        <f>SUM(J15:J15)</f>
        <v>425.42652000000004</v>
      </c>
      <c r="K14" s="10">
        <v>422</v>
      </c>
      <c r="L14" s="10">
        <f t="shared" ref="L14" si="8">K14-J14</f>
        <v>-3.4265200000000391</v>
      </c>
    </row>
    <row r="15" spans="1:13" x14ac:dyDescent="0.25">
      <c r="A15" s="4" t="s">
        <v>437</v>
      </c>
      <c r="B15" s="4">
        <v>1</v>
      </c>
      <c r="C15" s="4">
        <v>5450</v>
      </c>
      <c r="D15" s="4">
        <f t="shared" ref="D15" si="9">B15*C15</f>
        <v>5450</v>
      </c>
      <c r="E15" s="4">
        <f>D15*0.1</f>
        <v>545</v>
      </c>
      <c r="F15">
        <f>2500/3</f>
        <v>833.33333333333337</v>
      </c>
      <c r="G15">
        <v>0.15</v>
      </c>
      <c r="H15">
        <v>0.16</v>
      </c>
      <c r="I15" s="4">
        <f>H15*$C$2</f>
        <v>1321.6000000000001</v>
      </c>
      <c r="J15" s="51">
        <f>(D15+E15+F15+I15)*$C$3</f>
        <v>425.42652000000004</v>
      </c>
      <c r="K15" s="6"/>
      <c r="L15" s="17"/>
    </row>
    <row r="16" spans="1:13" ht="31.5" x14ac:dyDescent="0.5">
      <c r="A16" s="152" t="s">
        <v>22</v>
      </c>
      <c r="B16" s="152"/>
      <c r="C16" s="152"/>
      <c r="D16" s="2"/>
      <c r="E16" s="2"/>
      <c r="F16" s="152"/>
      <c r="G16" s="152"/>
      <c r="H16" s="152"/>
      <c r="I16" s="2"/>
      <c r="J16" s="52">
        <f>SUM(J17:J17)</f>
        <v>2652.9292800000003</v>
      </c>
      <c r="K16" s="10">
        <f>2595+58</f>
        <v>2653</v>
      </c>
      <c r="L16" s="10">
        <f t="shared" ref="L16" si="10">K16-J16</f>
        <v>7.0719999999710126E-2</v>
      </c>
    </row>
    <row r="17" spans="1:12" x14ac:dyDescent="0.25">
      <c r="A17" s="4" t="s">
        <v>67</v>
      </c>
      <c r="B17" s="4">
        <v>3</v>
      </c>
      <c r="C17" s="4">
        <v>14800</v>
      </c>
      <c r="D17" s="4">
        <f t="shared" ref="D17" si="11">B17*C17</f>
        <v>44400</v>
      </c>
      <c r="E17" s="4">
        <f>D17*0.1</f>
        <v>4440</v>
      </c>
      <c r="F17">
        <v>0</v>
      </c>
      <c r="G17">
        <v>0.11</v>
      </c>
      <c r="H17">
        <v>0.24</v>
      </c>
      <c r="I17" s="4">
        <f>H17*$C$2</f>
        <v>1982.3999999999999</v>
      </c>
      <c r="J17" s="51">
        <f>(D17+E17+F17+I17)*$C$3</f>
        <v>2652.9292800000003</v>
      </c>
      <c r="K17" s="6"/>
      <c r="L17" s="17"/>
    </row>
    <row r="18" spans="1:12" ht="31.5" x14ac:dyDescent="0.5">
      <c r="A18" s="152" t="s">
        <v>992</v>
      </c>
      <c r="B18" s="152"/>
      <c r="C18" s="152"/>
      <c r="D18" s="2"/>
      <c r="E18" s="2"/>
      <c r="F18" s="152"/>
      <c r="G18" s="152"/>
      <c r="H18" s="152"/>
      <c r="I18" s="2"/>
      <c r="J18" s="52">
        <f>J19</f>
        <v>977.99832000000004</v>
      </c>
      <c r="K18" s="10">
        <f>922+56</f>
        <v>978</v>
      </c>
      <c r="L18" s="10">
        <f t="shared" ref="L18" si="12">K18-J18</f>
        <v>1.6799999999648207E-3</v>
      </c>
    </row>
    <row r="19" spans="1:12" x14ac:dyDescent="0.25">
      <c r="A19" s="4" t="s">
        <v>57</v>
      </c>
      <c r="B19" s="4">
        <v>1</v>
      </c>
      <c r="C19" s="4">
        <v>6800</v>
      </c>
      <c r="D19" s="4">
        <f t="shared" ref="D19" si="13">B19*C19</f>
        <v>6800</v>
      </c>
      <c r="E19" s="4">
        <f>D19*0.1</f>
        <v>680</v>
      </c>
      <c r="F19">
        <v>2500</v>
      </c>
      <c r="G19">
        <v>0.92</v>
      </c>
      <c r="H19">
        <v>1.06</v>
      </c>
      <c r="I19" s="4">
        <f>H19*$C$2</f>
        <v>8755.6</v>
      </c>
      <c r="J19" s="51">
        <f>(D19+E19+F19+I19)*$C$3</f>
        <v>977.99832000000004</v>
      </c>
      <c r="K19" s="6"/>
      <c r="L19" s="17"/>
    </row>
    <row r="20" spans="1:12" ht="31.5" x14ac:dyDescent="0.5">
      <c r="A20" s="152" t="s">
        <v>1009</v>
      </c>
      <c r="B20" s="152"/>
      <c r="C20" s="152"/>
      <c r="D20" s="2"/>
      <c r="E20" s="2"/>
      <c r="F20" s="152"/>
      <c r="G20" s="152"/>
      <c r="H20" s="152"/>
      <c r="I20" s="2"/>
      <c r="J20" s="52">
        <f>SUM(J21:J21)</f>
        <v>1848.5586000000001</v>
      </c>
      <c r="K20" s="10">
        <f>1749+100</f>
        <v>1849</v>
      </c>
      <c r="L20" s="10">
        <f t="shared" ref="L20" si="14">K20-J20</f>
        <v>0.44139999999993051</v>
      </c>
    </row>
    <row r="21" spans="1:12" x14ac:dyDescent="0.25">
      <c r="A21" s="4" t="s">
        <v>1010</v>
      </c>
      <c r="B21" s="4">
        <v>1</v>
      </c>
      <c r="C21" s="4">
        <v>16800</v>
      </c>
      <c r="D21" s="4">
        <f t="shared" ref="D21" si="15">B21*C21</f>
        <v>16800</v>
      </c>
      <c r="E21" s="4">
        <f>D21*0.1</f>
        <v>1680</v>
      </c>
      <c r="F21">
        <v>0</v>
      </c>
      <c r="G21">
        <v>1.8</v>
      </c>
      <c r="H21">
        <v>2.0499999999999998</v>
      </c>
      <c r="I21" s="4">
        <f>H21*$C$2</f>
        <v>16933</v>
      </c>
      <c r="J21" s="51">
        <f>(D21+E21+F21+I21)*$C$3</f>
        <v>1848.5586000000001</v>
      </c>
      <c r="K21" s="6"/>
      <c r="L21" s="17"/>
    </row>
    <row r="22" spans="1:12" ht="31.5" x14ac:dyDescent="0.5">
      <c r="A22" s="152" t="s">
        <v>1011</v>
      </c>
      <c r="B22" s="152"/>
      <c r="C22" s="152"/>
      <c r="D22" s="2"/>
      <c r="E22" s="2"/>
      <c r="F22" s="152"/>
      <c r="G22" s="152"/>
      <c r="H22" s="152"/>
      <c r="I22" s="2"/>
      <c r="J22" s="52">
        <f>SUM(J23:J23)</f>
        <v>393.08339999999998</v>
      </c>
      <c r="K22" s="10">
        <v>400</v>
      </c>
      <c r="L22" s="10">
        <f t="shared" ref="L22" si="16">K22-J22</f>
        <v>6.9166000000000167</v>
      </c>
    </row>
    <row r="23" spans="1:12" x14ac:dyDescent="0.25">
      <c r="A23" s="4" t="s">
        <v>97</v>
      </c>
      <c r="B23" s="4">
        <v>1</v>
      </c>
      <c r="C23" s="4">
        <f>10400/3</f>
        <v>3466.6666666666665</v>
      </c>
      <c r="D23" s="4">
        <f t="shared" ref="D23" si="17">B23*C23</f>
        <v>3466.6666666666665</v>
      </c>
      <c r="E23" s="4">
        <f>D23*0.1</f>
        <v>346.66666666666669</v>
      </c>
      <c r="F23">
        <v>0</v>
      </c>
      <c r="G23">
        <v>0.38</v>
      </c>
      <c r="H23">
        <v>0.45</v>
      </c>
      <c r="I23" s="4">
        <f>H23*$C$2</f>
        <v>3717</v>
      </c>
      <c r="J23" s="51">
        <f>(D23+E23+F23+I23)*$C$3</f>
        <v>393.08339999999998</v>
      </c>
      <c r="K23" s="6"/>
      <c r="L23" s="17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3"/>
  <sheetViews>
    <sheetView zoomScale="80" zoomScaleNormal="80" workbookViewId="0">
      <selection activeCell="A11" sqref="A1:XFD1048576"/>
    </sheetView>
  </sheetViews>
  <sheetFormatPr defaultRowHeight="15" x14ac:dyDescent="0.25"/>
  <cols>
    <col min="1" max="1" width="36.42578125" customWidth="1"/>
    <col min="3" max="3" width="20" customWidth="1"/>
    <col min="6" max="6" width="11.42578125" customWidth="1"/>
    <col min="9" max="9" width="13.5703125" customWidth="1"/>
    <col min="10" max="10" width="10.85546875" customWidth="1"/>
    <col min="11" max="11" width="12.140625" customWidth="1"/>
    <col min="12" max="12" width="13.140625" customWidth="1"/>
  </cols>
  <sheetData>
    <row r="1" spans="1:12" ht="21" x14ac:dyDescent="0.35">
      <c r="A1" s="55" t="s">
        <v>281</v>
      </c>
      <c r="B1" s="4"/>
      <c r="C1" s="189">
        <v>42831</v>
      </c>
      <c r="D1" s="30"/>
    </row>
    <row r="2" spans="1:12" ht="21" x14ac:dyDescent="0.35">
      <c r="A2" s="55" t="s">
        <v>239</v>
      </c>
      <c r="B2" s="4"/>
      <c r="C2" s="16">
        <v>10320</v>
      </c>
      <c r="D2" s="30"/>
    </row>
    <row r="3" spans="1:12" ht="21" x14ac:dyDescent="0.35">
      <c r="A3" s="55" t="s">
        <v>240</v>
      </c>
      <c r="B3" s="4"/>
      <c r="C3" s="170">
        <v>5.1159999999999997E-2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1002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967</v>
      </c>
      <c r="B6" s="203"/>
      <c r="C6" s="152"/>
      <c r="D6" s="152"/>
      <c r="E6" s="152"/>
      <c r="F6" s="152"/>
      <c r="G6" s="152"/>
      <c r="H6" s="152"/>
      <c r="I6" s="152"/>
      <c r="J6" s="152">
        <f>SUM(J7:J11)</f>
        <v>7255.1019199999992</v>
      </c>
      <c r="K6" s="152">
        <v>7255</v>
      </c>
      <c r="L6" s="243">
        <f>K6-J6</f>
        <v>-0.10191999999915424</v>
      </c>
    </row>
    <row r="7" spans="1:12" x14ac:dyDescent="0.25">
      <c r="A7" s="234" t="s">
        <v>1031</v>
      </c>
      <c r="B7" s="4">
        <v>1</v>
      </c>
      <c r="C7" s="5">
        <v>22900</v>
      </c>
      <c r="D7" s="4">
        <f>B7*C7</f>
        <v>22900</v>
      </c>
      <c r="E7" s="4">
        <f>D7*0.1</f>
        <v>2290</v>
      </c>
      <c r="F7" s="4">
        <v>0</v>
      </c>
      <c r="G7" s="71">
        <v>1.1000000000000001</v>
      </c>
      <c r="H7" s="4">
        <f>G7*B7</f>
        <v>1.1000000000000001</v>
      </c>
      <c r="I7" s="4">
        <f>H7*$C$2</f>
        <v>11352.000000000002</v>
      </c>
      <c r="J7" s="4">
        <f>(D7+E7+F7+I7)*$C$3</f>
        <v>1869.4887199999998</v>
      </c>
      <c r="K7" s="4"/>
      <c r="L7" s="9"/>
    </row>
    <row r="8" spans="1:12" x14ac:dyDescent="0.25">
      <c r="A8" s="234" t="s">
        <v>1032</v>
      </c>
      <c r="B8" s="4">
        <v>1</v>
      </c>
      <c r="C8" s="5">
        <v>22900</v>
      </c>
      <c r="D8" s="4">
        <f>B8*C8</f>
        <v>22900</v>
      </c>
      <c r="E8" s="4">
        <f>D8*0.1</f>
        <v>2290</v>
      </c>
      <c r="F8" s="4">
        <v>0</v>
      </c>
      <c r="G8" s="71"/>
      <c r="H8" s="4">
        <f>G8*B8</f>
        <v>0</v>
      </c>
      <c r="I8" s="4">
        <f>H8*$C$2</f>
        <v>0</v>
      </c>
      <c r="J8" s="4">
        <f>(D8+E8+F8+I8)*$C$3</f>
        <v>1288.7203999999999</v>
      </c>
      <c r="K8" s="4"/>
      <c r="L8" s="9"/>
    </row>
    <row r="9" spans="1:12" x14ac:dyDescent="0.25">
      <c r="A9" s="234" t="s">
        <v>1033</v>
      </c>
      <c r="B9" s="4">
        <v>1</v>
      </c>
      <c r="C9" s="5">
        <v>18900</v>
      </c>
      <c r="D9" s="4">
        <f>B9*C9</f>
        <v>18900</v>
      </c>
      <c r="E9" s="4">
        <f>D9*0.1</f>
        <v>1890</v>
      </c>
      <c r="F9" s="4">
        <v>0</v>
      </c>
      <c r="G9" s="71"/>
      <c r="H9" s="4">
        <f>G9*B9</f>
        <v>0</v>
      </c>
      <c r="I9" s="4">
        <f>H9*$C$2</f>
        <v>0</v>
      </c>
      <c r="J9" s="4">
        <f>(D9+E9+F9+I9)*$C$3</f>
        <v>1063.6163999999999</v>
      </c>
      <c r="K9" s="4"/>
      <c r="L9" s="9"/>
    </row>
    <row r="10" spans="1:12" x14ac:dyDescent="0.25">
      <c r="A10" s="234" t="s">
        <v>1034</v>
      </c>
      <c r="B10" s="4">
        <v>1</v>
      </c>
      <c r="C10" s="5">
        <v>19900</v>
      </c>
      <c r="D10" s="4">
        <f>B10*C10</f>
        <v>19900</v>
      </c>
      <c r="E10" s="4">
        <f>D10*0.1</f>
        <v>1990</v>
      </c>
      <c r="F10" s="4">
        <v>0</v>
      </c>
      <c r="G10" s="71"/>
      <c r="H10" s="4">
        <f>G10*B10</f>
        <v>0</v>
      </c>
      <c r="I10" s="4">
        <f>H10*$C$2</f>
        <v>0</v>
      </c>
      <c r="J10" s="4">
        <f>(D10+E10+F10+I10)*$C$3</f>
        <v>1119.8924</v>
      </c>
      <c r="K10" s="4"/>
      <c r="L10" s="9"/>
    </row>
    <row r="11" spans="1:12" x14ac:dyDescent="0.25">
      <c r="A11" s="234" t="s">
        <v>1035</v>
      </c>
      <c r="B11" s="4">
        <v>1</v>
      </c>
      <c r="C11" s="5">
        <v>34000</v>
      </c>
      <c r="D11" s="4">
        <f>B11*C11</f>
        <v>34000</v>
      </c>
      <c r="E11" s="4">
        <f>D11*0.1</f>
        <v>3400</v>
      </c>
      <c r="F11" s="4">
        <v>0</v>
      </c>
      <c r="G11" s="71"/>
      <c r="H11" s="4">
        <f>G11*B11</f>
        <v>0</v>
      </c>
      <c r="I11" s="4">
        <f>H11*$C$2</f>
        <v>0</v>
      </c>
      <c r="J11" s="4">
        <f>(D11+E11+F11+I11)*$C$3</f>
        <v>1913.3839999999998</v>
      </c>
      <c r="K11" s="4"/>
      <c r="L11" s="9"/>
    </row>
    <row r="12" spans="1:12" ht="31.5" x14ac:dyDescent="0.5">
      <c r="A12" s="152" t="s">
        <v>892</v>
      </c>
      <c r="B12" s="152"/>
      <c r="C12" s="152"/>
      <c r="D12" s="152"/>
      <c r="E12" s="152"/>
      <c r="F12" s="152"/>
      <c r="G12" s="152"/>
      <c r="H12" s="152"/>
      <c r="I12" s="152"/>
      <c r="J12" s="152">
        <f>SUM(J13:J14)</f>
        <v>1720.45964</v>
      </c>
      <c r="K12" s="152">
        <f>1656+64</f>
        <v>1720</v>
      </c>
      <c r="L12" s="243">
        <f>K12-J12</f>
        <v>-0.4596400000000358</v>
      </c>
    </row>
    <row r="13" spans="1:12" x14ac:dyDescent="0.25">
      <c r="A13" s="234" t="s">
        <v>1018</v>
      </c>
      <c r="B13" s="4">
        <v>1</v>
      </c>
      <c r="C13" s="4">
        <v>16770</v>
      </c>
      <c r="D13" s="4">
        <f>B13*C13</f>
        <v>16770</v>
      </c>
      <c r="E13" s="4">
        <f>D13*0.1</f>
        <v>1677</v>
      </c>
      <c r="F13" s="4">
        <v>2500</v>
      </c>
      <c r="G13" s="4">
        <v>0.3</v>
      </c>
      <c r="H13" s="4">
        <v>0.3</v>
      </c>
      <c r="I13" s="4">
        <f>H13*$C$2</f>
        <v>3096</v>
      </c>
      <c r="J13" s="4">
        <f>(D13+E13+F13+I13)*$C$3</f>
        <v>1230.03988</v>
      </c>
      <c r="K13" s="4"/>
      <c r="L13" s="9"/>
    </row>
    <row r="14" spans="1:12" x14ac:dyDescent="0.25">
      <c r="A14" s="5" t="s">
        <v>1019</v>
      </c>
      <c r="B14" s="4">
        <v>1</v>
      </c>
      <c r="C14" s="4">
        <v>5900</v>
      </c>
      <c r="D14" s="4">
        <f>B14*C14</f>
        <v>5900</v>
      </c>
      <c r="E14" s="4">
        <f>D14*0.1</f>
        <v>590</v>
      </c>
      <c r="F14" s="4">
        <v>0</v>
      </c>
      <c r="G14" s="4">
        <v>0.22</v>
      </c>
      <c r="H14" s="4">
        <v>0.3</v>
      </c>
      <c r="I14" s="4">
        <f>H14*$C$2</f>
        <v>3096</v>
      </c>
      <c r="J14" s="4">
        <f>(D14+E14+F14+I14)*$C$3</f>
        <v>490.41976</v>
      </c>
      <c r="K14" s="4"/>
      <c r="L14" s="9"/>
    </row>
    <row r="15" spans="1:12" ht="31.5" x14ac:dyDescent="0.5">
      <c r="A15" s="152" t="s">
        <v>29</v>
      </c>
      <c r="B15" s="152"/>
      <c r="C15" s="152"/>
      <c r="D15" s="152"/>
      <c r="E15" s="152"/>
      <c r="F15" s="152"/>
      <c r="G15" s="152"/>
      <c r="H15" s="152"/>
      <c r="I15" s="152"/>
      <c r="J15" s="152">
        <f>J16</f>
        <v>503.36323999999996</v>
      </c>
      <c r="K15" s="152">
        <v>495</v>
      </c>
      <c r="L15" s="243">
        <f>K15-J15</f>
        <v>-8.363239999999962</v>
      </c>
    </row>
    <row r="16" spans="1:12" x14ac:dyDescent="0.25">
      <c r="A16" s="4" t="s">
        <v>1020</v>
      </c>
      <c r="B16" s="4">
        <v>1</v>
      </c>
      <c r="C16" s="4">
        <v>6500</v>
      </c>
      <c r="D16" s="4">
        <f>B16*C16</f>
        <v>6500</v>
      </c>
      <c r="E16" s="4">
        <f>D16*0.1</f>
        <v>650</v>
      </c>
      <c r="F16" s="4">
        <f>2500/4</f>
        <v>625</v>
      </c>
      <c r="G16" s="4">
        <v>0.2</v>
      </c>
      <c r="H16" s="4">
        <v>0.2</v>
      </c>
      <c r="I16" s="4">
        <f>H16*$C$2</f>
        <v>2064</v>
      </c>
      <c r="J16" s="4">
        <f>(D16+E16+F16+I16)*$C$3</f>
        <v>503.36323999999996</v>
      </c>
      <c r="K16" s="4"/>
      <c r="L16" s="9"/>
    </row>
    <row r="17" spans="1:12" ht="31.5" x14ac:dyDescent="0.5">
      <c r="A17" s="152" t="s">
        <v>935</v>
      </c>
      <c r="B17" s="152"/>
      <c r="C17" s="152"/>
      <c r="D17" s="152"/>
      <c r="E17" s="152"/>
      <c r="F17" s="152"/>
      <c r="G17" s="152"/>
      <c r="H17" s="152"/>
      <c r="I17" s="152"/>
      <c r="J17" s="152">
        <f>J18</f>
        <v>459.600976</v>
      </c>
      <c r="K17" s="152">
        <f>427+33</f>
        <v>460</v>
      </c>
      <c r="L17" s="243">
        <f>K17-J17</f>
        <v>0.39902399999999716</v>
      </c>
    </row>
    <row r="18" spans="1:12" x14ac:dyDescent="0.25">
      <c r="A18" s="4" t="s">
        <v>67</v>
      </c>
      <c r="B18" s="4">
        <v>2</v>
      </c>
      <c r="C18" s="4">
        <v>930</v>
      </c>
      <c r="D18" s="4">
        <f t="shared" ref="D18:D32" si="0">B18*C18</f>
        <v>1860</v>
      </c>
      <c r="E18" s="4">
        <f t="shared" ref="E18:E32" si="1">D18*0.1</f>
        <v>186</v>
      </c>
      <c r="F18" s="4">
        <v>2500</v>
      </c>
      <c r="G18" s="4">
        <v>0.2</v>
      </c>
      <c r="H18" s="4">
        <v>0.43</v>
      </c>
      <c r="I18" s="4">
        <f>H18*$C$2</f>
        <v>4437.6000000000004</v>
      </c>
      <c r="J18" s="4">
        <f t="shared" ref="J18:J32" si="2">(D18+E18+F18+I18)*$C$3</f>
        <v>459.600976</v>
      </c>
      <c r="K18" s="4"/>
      <c r="L18" s="9"/>
    </row>
    <row r="19" spans="1:12" ht="31.5" x14ac:dyDescent="0.5">
      <c r="A19" s="152" t="s">
        <v>1021</v>
      </c>
      <c r="B19" s="152"/>
      <c r="C19" s="152"/>
      <c r="D19" s="152"/>
      <c r="E19" s="152"/>
      <c r="F19" s="152"/>
      <c r="G19" s="152"/>
      <c r="H19" s="152"/>
      <c r="I19" s="152"/>
      <c r="J19" s="152">
        <f>SUM(J20:J22)</f>
        <v>2325.3379626666665</v>
      </c>
      <c r="K19" s="152">
        <f>2214+111</f>
        <v>2325</v>
      </c>
      <c r="L19" s="243">
        <f>K19-J19</f>
        <v>-0.33796266666649899</v>
      </c>
    </row>
    <row r="20" spans="1:12" x14ac:dyDescent="0.25">
      <c r="A20" s="5" t="s">
        <v>1022</v>
      </c>
      <c r="B20" s="5">
        <v>1</v>
      </c>
      <c r="C20" s="5">
        <v>5300</v>
      </c>
      <c r="D20" s="4">
        <f t="shared" si="0"/>
        <v>5300</v>
      </c>
      <c r="E20" s="4">
        <f t="shared" si="1"/>
        <v>530</v>
      </c>
      <c r="F20" s="4">
        <f>2500</f>
        <v>2500</v>
      </c>
      <c r="G20" s="4">
        <v>0.1</v>
      </c>
      <c r="H20" s="4">
        <v>0.18</v>
      </c>
      <c r="I20" s="4">
        <f t="shared" ref="I20:I32" si="3">H20*$C$2</f>
        <v>1857.6</v>
      </c>
      <c r="J20" s="4">
        <f t="shared" si="2"/>
        <v>521.19761600000004</v>
      </c>
      <c r="K20" s="4"/>
      <c r="L20" s="9"/>
    </row>
    <row r="21" spans="1:12" x14ac:dyDescent="0.25">
      <c r="A21" s="5" t="s">
        <v>494</v>
      </c>
      <c r="B21" s="4">
        <v>1</v>
      </c>
      <c r="C21" s="4">
        <v>18900</v>
      </c>
      <c r="D21" s="4">
        <f t="shared" si="0"/>
        <v>18900</v>
      </c>
      <c r="E21" s="4">
        <f t="shared" si="1"/>
        <v>1890</v>
      </c>
      <c r="F21" s="5">
        <f>2500/6</f>
        <v>416.66666666666669</v>
      </c>
      <c r="G21" s="4">
        <v>0.2</v>
      </c>
      <c r="H21" s="4">
        <v>0.2</v>
      </c>
      <c r="I21" s="4">
        <f t="shared" si="3"/>
        <v>2064</v>
      </c>
      <c r="J21" s="4">
        <f t="shared" si="2"/>
        <v>1190.5273066666666</v>
      </c>
      <c r="K21" s="4"/>
      <c r="L21" s="9"/>
    </row>
    <row r="22" spans="1:12" x14ac:dyDescent="0.25">
      <c r="A22" s="4" t="s">
        <v>1023</v>
      </c>
      <c r="B22" s="4">
        <v>1</v>
      </c>
      <c r="C22" s="4">
        <v>8800</v>
      </c>
      <c r="D22" s="4">
        <f t="shared" si="0"/>
        <v>8800</v>
      </c>
      <c r="E22" s="4">
        <f t="shared" si="1"/>
        <v>880</v>
      </c>
      <c r="F22" s="5">
        <v>250</v>
      </c>
      <c r="G22" s="4">
        <v>0.1</v>
      </c>
      <c r="H22" s="4">
        <v>0.2</v>
      </c>
      <c r="I22" s="4">
        <f t="shared" si="3"/>
        <v>2064</v>
      </c>
      <c r="J22" s="4">
        <f t="shared" si="2"/>
        <v>613.61303999999996</v>
      </c>
      <c r="K22" s="4"/>
      <c r="L22" s="9"/>
    </row>
    <row r="23" spans="1:12" ht="31.5" x14ac:dyDescent="0.5">
      <c r="A23" s="152" t="s">
        <v>480</v>
      </c>
      <c r="B23" s="152"/>
      <c r="C23" s="152"/>
      <c r="D23" s="152"/>
      <c r="E23" s="152"/>
      <c r="F23" s="152"/>
      <c r="G23" s="152"/>
      <c r="H23" s="152"/>
      <c r="I23" s="152"/>
      <c r="J23" s="152">
        <f>J24</f>
        <v>1167.532592</v>
      </c>
      <c r="K23" s="152">
        <f>1145+23</f>
        <v>1168</v>
      </c>
      <c r="L23" s="243">
        <f>K23-J23</f>
        <v>0.46740799999997762</v>
      </c>
    </row>
    <row r="24" spans="1:12" x14ac:dyDescent="0.25">
      <c r="A24" s="4" t="s">
        <v>1024</v>
      </c>
      <c r="B24" s="4">
        <v>1</v>
      </c>
      <c r="C24" s="4">
        <v>16900</v>
      </c>
      <c r="D24" s="4">
        <f t="shared" si="0"/>
        <v>16900</v>
      </c>
      <c r="E24" s="4">
        <f t="shared" si="1"/>
        <v>1690</v>
      </c>
      <c r="F24" s="4">
        <v>0</v>
      </c>
      <c r="G24" s="4">
        <v>0.4</v>
      </c>
      <c r="H24" s="4">
        <v>0.41</v>
      </c>
      <c r="I24" s="4">
        <f t="shared" si="3"/>
        <v>4231.2</v>
      </c>
      <c r="J24" s="4">
        <f t="shared" si="2"/>
        <v>1167.532592</v>
      </c>
      <c r="K24" s="4"/>
      <c r="L24" s="9"/>
    </row>
    <row r="25" spans="1:12" ht="31.5" x14ac:dyDescent="0.5">
      <c r="A25" s="152" t="s">
        <v>1025</v>
      </c>
      <c r="B25" s="152"/>
      <c r="C25" s="152"/>
      <c r="D25" s="152"/>
      <c r="E25" s="152"/>
      <c r="F25" s="152"/>
      <c r="G25" s="152"/>
      <c r="H25" s="152"/>
      <c r="I25" s="152"/>
      <c r="J25" s="152">
        <f>J26</f>
        <v>489.406792</v>
      </c>
      <c r="K25" s="152">
        <f>419+70</f>
        <v>489</v>
      </c>
      <c r="L25" s="243">
        <f>K25-J25</f>
        <v>-0.40679199999999582</v>
      </c>
    </row>
    <row r="26" spans="1:12" x14ac:dyDescent="0.25">
      <c r="A26" s="4" t="s">
        <v>1026</v>
      </c>
      <c r="B26" s="4">
        <v>1</v>
      </c>
      <c r="C26" s="4">
        <f>9700/2</f>
        <v>4850</v>
      </c>
      <c r="D26" s="4">
        <f t="shared" si="0"/>
        <v>4850</v>
      </c>
      <c r="E26" s="4">
        <f t="shared" si="1"/>
        <v>485</v>
      </c>
      <c r="F26" s="4">
        <v>0</v>
      </c>
      <c r="G26" s="4">
        <v>0.3</v>
      </c>
      <c r="H26" s="4">
        <v>0.41</v>
      </c>
      <c r="I26" s="4">
        <f t="shared" si="3"/>
        <v>4231.2</v>
      </c>
      <c r="J26" s="4">
        <f t="shared" si="2"/>
        <v>489.406792</v>
      </c>
      <c r="K26" s="4"/>
      <c r="L26" s="9"/>
    </row>
    <row r="27" spans="1:12" ht="31.5" x14ac:dyDescent="0.5">
      <c r="A27" s="152" t="s">
        <v>1027</v>
      </c>
      <c r="B27" s="203"/>
      <c r="C27" s="152"/>
      <c r="D27" s="152"/>
      <c r="E27" s="152"/>
      <c r="F27" s="152"/>
      <c r="G27" s="152"/>
      <c r="H27" s="152"/>
      <c r="I27" s="152"/>
      <c r="J27" s="152">
        <f>J28</f>
        <v>489.406792</v>
      </c>
      <c r="K27" s="152">
        <f>419+70</f>
        <v>489</v>
      </c>
      <c r="L27" s="243">
        <f>K27-J27</f>
        <v>-0.40679199999999582</v>
      </c>
    </row>
    <row r="28" spans="1:12" x14ac:dyDescent="0.25">
      <c r="A28" s="4" t="s">
        <v>1026</v>
      </c>
      <c r="B28" s="4">
        <v>1</v>
      </c>
      <c r="C28" s="4">
        <f>9700/2</f>
        <v>4850</v>
      </c>
      <c r="D28" s="4">
        <f t="shared" si="0"/>
        <v>4850</v>
      </c>
      <c r="E28" s="4">
        <f t="shared" si="1"/>
        <v>485</v>
      </c>
      <c r="F28" s="4">
        <v>0</v>
      </c>
      <c r="G28" s="4">
        <v>0.3</v>
      </c>
      <c r="H28" s="4">
        <v>0.41</v>
      </c>
      <c r="I28" s="4">
        <f t="shared" si="3"/>
        <v>4231.2</v>
      </c>
      <c r="J28" s="4">
        <f t="shared" si="2"/>
        <v>489.406792</v>
      </c>
      <c r="K28" s="4"/>
      <c r="L28" s="9"/>
    </row>
    <row r="29" spans="1:12" ht="31.5" x14ac:dyDescent="0.5">
      <c r="A29" s="152" t="s">
        <v>1028</v>
      </c>
      <c r="B29" s="203"/>
      <c r="C29" s="152"/>
      <c r="D29" s="152"/>
      <c r="E29" s="152"/>
      <c r="F29" s="152"/>
      <c r="G29" s="152"/>
      <c r="H29" s="152"/>
      <c r="I29" s="152"/>
      <c r="J29" s="152">
        <f>J30</f>
        <v>489.406792</v>
      </c>
      <c r="K29" s="152">
        <f>419+70</f>
        <v>489</v>
      </c>
      <c r="L29" s="243">
        <f>K29-J29</f>
        <v>-0.40679199999999582</v>
      </c>
    </row>
    <row r="30" spans="1:12" x14ac:dyDescent="0.25">
      <c r="A30" s="4" t="s">
        <v>1026</v>
      </c>
      <c r="B30" s="4">
        <v>1</v>
      </c>
      <c r="C30" s="4">
        <f>9700/2</f>
        <v>4850</v>
      </c>
      <c r="D30" s="4">
        <f t="shared" si="0"/>
        <v>4850</v>
      </c>
      <c r="E30" s="4">
        <f t="shared" si="1"/>
        <v>485</v>
      </c>
      <c r="F30" s="4">
        <v>0</v>
      </c>
      <c r="G30" s="4">
        <v>0.3</v>
      </c>
      <c r="H30" s="4">
        <v>0.41</v>
      </c>
      <c r="I30" s="4">
        <f t="shared" si="3"/>
        <v>4231.2</v>
      </c>
      <c r="J30" s="4">
        <f t="shared" si="2"/>
        <v>489.406792</v>
      </c>
      <c r="K30" s="4"/>
      <c r="L30" s="9"/>
    </row>
    <row r="31" spans="1:12" ht="31.5" x14ac:dyDescent="0.5">
      <c r="A31" s="152" t="s">
        <v>1029</v>
      </c>
      <c r="B31" s="203"/>
      <c r="C31" s="152"/>
      <c r="D31" s="152"/>
      <c r="E31" s="152"/>
      <c r="F31" s="152"/>
      <c r="G31" s="152"/>
      <c r="H31" s="152"/>
      <c r="I31" s="152"/>
      <c r="J31" s="152">
        <f>J32</f>
        <v>957.91983999999991</v>
      </c>
      <c r="K31" s="152">
        <f>915+43</f>
        <v>958</v>
      </c>
      <c r="L31" s="243">
        <f>K31-J31</f>
        <v>8.0160000000091713E-2</v>
      </c>
    </row>
    <row r="32" spans="1:12" x14ac:dyDescent="0.25">
      <c r="A32" s="4" t="s">
        <v>1030</v>
      </c>
      <c r="B32" s="4">
        <v>1</v>
      </c>
      <c r="C32" s="4">
        <v>12800</v>
      </c>
      <c r="D32" s="4">
        <f t="shared" si="0"/>
        <v>12800</v>
      </c>
      <c r="E32" s="4">
        <f t="shared" si="1"/>
        <v>1280</v>
      </c>
      <c r="F32" s="4">
        <v>0</v>
      </c>
      <c r="G32" s="4">
        <v>0.4</v>
      </c>
      <c r="H32" s="4">
        <v>0.45</v>
      </c>
      <c r="I32" s="4">
        <f t="shared" si="3"/>
        <v>4644</v>
      </c>
      <c r="J32" s="4">
        <f t="shared" si="2"/>
        <v>957.91983999999991</v>
      </c>
      <c r="K32" s="4"/>
      <c r="L32" s="9"/>
    </row>
    <row r="33" spans="1:13" ht="31.5" x14ac:dyDescent="0.5">
      <c r="A33" s="152" t="s">
        <v>1036</v>
      </c>
      <c r="B33" s="152"/>
      <c r="C33" s="152"/>
      <c r="D33" s="152"/>
      <c r="E33" s="152"/>
      <c r="F33" s="152"/>
      <c r="G33" s="152"/>
      <c r="H33" s="152"/>
      <c r="I33" s="152"/>
      <c r="J33" s="152">
        <f>J34</f>
        <v>506.93420799999996</v>
      </c>
      <c r="K33" s="152">
        <f>473+34</f>
        <v>507</v>
      </c>
      <c r="L33" s="243">
        <f>K33-J33</f>
        <v>6.5792000000044482E-2</v>
      </c>
    </row>
    <row r="34" spans="1:13" x14ac:dyDescent="0.25">
      <c r="A34" s="4" t="s">
        <v>1037</v>
      </c>
      <c r="B34" s="4">
        <v>1</v>
      </c>
      <c r="C34" s="4">
        <f>10500/2</f>
        <v>5250</v>
      </c>
      <c r="D34" s="4">
        <f t="shared" ref="D34" si="4">B34*C34</f>
        <v>5250</v>
      </c>
      <c r="E34" s="4">
        <f t="shared" ref="E34" si="5">D34*0.1</f>
        <v>525</v>
      </c>
      <c r="F34" s="5">
        <f>2500/4</f>
        <v>625</v>
      </c>
      <c r="G34" s="4">
        <v>0.3</v>
      </c>
      <c r="H34" s="4">
        <v>0.34</v>
      </c>
      <c r="I34" s="4">
        <f t="shared" ref="I34" si="6">H34*$C$2</f>
        <v>3508.8</v>
      </c>
      <c r="J34" s="4">
        <f t="shared" ref="J34" si="7">(D34+E34+F34+I34)*$C$3</f>
        <v>506.93420799999996</v>
      </c>
      <c r="K34" s="4"/>
      <c r="L34" s="9"/>
    </row>
    <row r="35" spans="1:13" ht="31.5" x14ac:dyDescent="0.5">
      <c r="A35" s="152" t="s">
        <v>766</v>
      </c>
      <c r="B35" s="152"/>
      <c r="C35" s="152"/>
      <c r="D35" s="152"/>
      <c r="E35" s="152"/>
      <c r="F35" s="152"/>
      <c r="G35" s="152"/>
      <c r="H35" s="152"/>
      <c r="I35" s="152"/>
      <c r="J35" s="152">
        <f>J36+J37</f>
        <v>1060.0590746666667</v>
      </c>
      <c r="K35" s="152">
        <v>1022</v>
      </c>
      <c r="L35" s="243">
        <f>K35-J35</f>
        <v>-38.059074666666675</v>
      </c>
    </row>
    <row r="36" spans="1:13" x14ac:dyDescent="0.25">
      <c r="A36" s="4" t="s">
        <v>1038</v>
      </c>
      <c r="B36" s="4">
        <v>1</v>
      </c>
      <c r="C36" s="4">
        <v>5880</v>
      </c>
      <c r="D36" s="4">
        <f t="shared" ref="D36:D37" si="8">B36*C36</f>
        <v>5880</v>
      </c>
      <c r="E36" s="4">
        <f t="shared" ref="E36:E37" si="9">D36*0.1</f>
        <v>588</v>
      </c>
      <c r="F36" s="5">
        <f>2500/6</f>
        <v>416.66666666666669</v>
      </c>
      <c r="G36" s="4">
        <v>0.2</v>
      </c>
      <c r="H36" s="4">
        <v>0.2</v>
      </c>
      <c r="I36" s="4">
        <f t="shared" ref="I36:I37" si="10">H36*$C$2</f>
        <v>2064</v>
      </c>
      <c r="J36" s="4">
        <f t="shared" ref="J36:J37" si="11">(D36+E36+F36+I36)*$C$3</f>
        <v>457.81378666666672</v>
      </c>
      <c r="K36" s="4"/>
      <c r="L36" s="9"/>
    </row>
    <row r="37" spans="1:13" x14ac:dyDescent="0.25">
      <c r="A37" s="4" t="s">
        <v>1039</v>
      </c>
      <c r="B37" s="4">
        <v>1</v>
      </c>
      <c r="C37" s="4">
        <f>16900/2</f>
        <v>8450</v>
      </c>
      <c r="D37" s="4">
        <f t="shared" si="8"/>
        <v>8450</v>
      </c>
      <c r="E37" s="4">
        <f t="shared" si="9"/>
        <v>845</v>
      </c>
      <c r="F37" s="4">
        <v>0</v>
      </c>
      <c r="G37" s="4">
        <v>0.2</v>
      </c>
      <c r="H37" s="4">
        <v>0.24</v>
      </c>
      <c r="I37" s="4">
        <f t="shared" si="10"/>
        <v>2476.7999999999997</v>
      </c>
      <c r="J37" s="4">
        <f t="shared" si="11"/>
        <v>602.24528799999996</v>
      </c>
      <c r="K37" s="4"/>
      <c r="L37" s="9"/>
    </row>
    <row r="38" spans="1:13" ht="31.5" x14ac:dyDescent="0.5">
      <c r="A38" s="152" t="s">
        <v>1040</v>
      </c>
      <c r="B38" s="152"/>
      <c r="C38" s="152"/>
      <c r="D38" s="152"/>
      <c r="E38" s="152"/>
      <c r="F38" s="152"/>
      <c r="G38" s="152"/>
      <c r="H38" s="152"/>
      <c r="I38" s="152"/>
      <c r="J38" s="152">
        <f>J39+J40</f>
        <v>3070.0092799999998</v>
      </c>
      <c r="K38" s="152">
        <f>3060+10</f>
        <v>3070</v>
      </c>
      <c r="L38" s="243">
        <f>K38-J38</f>
        <v>-9.2799999997623672E-3</v>
      </c>
      <c r="M38" t="s">
        <v>1048</v>
      </c>
    </row>
    <row r="39" spans="1:13" x14ac:dyDescent="0.25">
      <c r="A39" s="4" t="s">
        <v>576</v>
      </c>
      <c r="B39" s="4">
        <v>1</v>
      </c>
      <c r="C39" s="4">
        <v>13800</v>
      </c>
      <c r="D39" s="4">
        <f t="shared" ref="D39:D40" si="12">B39*C39</f>
        <v>13800</v>
      </c>
      <c r="E39" s="4">
        <f t="shared" ref="E39:E40" si="13">D39*0.1</f>
        <v>1380</v>
      </c>
      <c r="F39" s="4">
        <v>0</v>
      </c>
      <c r="G39" s="4">
        <v>0.2</v>
      </c>
      <c r="H39" s="4">
        <v>0.2</v>
      </c>
      <c r="I39" s="4">
        <f t="shared" ref="I39:I40" si="14">H39*$C$2</f>
        <v>2064</v>
      </c>
      <c r="J39" s="4">
        <f t="shared" ref="J39:J40" si="15">(D39+E39+F39+I39)*$C$3</f>
        <v>882.20303999999999</v>
      </c>
      <c r="K39" s="4"/>
      <c r="L39" s="9"/>
    </row>
    <row r="40" spans="1:13" x14ac:dyDescent="0.25">
      <c r="A40" s="4" t="s">
        <v>576</v>
      </c>
      <c r="B40" s="4">
        <v>1</v>
      </c>
      <c r="C40" s="4">
        <v>37000</v>
      </c>
      <c r="D40" s="4">
        <f t="shared" si="12"/>
        <v>37000</v>
      </c>
      <c r="E40" s="4">
        <f t="shared" si="13"/>
        <v>3700</v>
      </c>
      <c r="F40" s="4">
        <v>0</v>
      </c>
      <c r="G40" s="4">
        <v>0.2</v>
      </c>
      <c r="H40" s="4">
        <v>0.2</v>
      </c>
      <c r="I40" s="4">
        <f t="shared" si="14"/>
        <v>2064</v>
      </c>
      <c r="J40" s="4">
        <f t="shared" si="15"/>
        <v>2187.8062399999999</v>
      </c>
      <c r="K40" s="4"/>
      <c r="L40" s="9"/>
    </row>
    <row r="41" spans="1:13" ht="31.5" x14ac:dyDescent="0.5">
      <c r="A41" s="152" t="s">
        <v>958</v>
      </c>
      <c r="B41" s="152"/>
      <c r="C41" s="152"/>
      <c r="D41" s="152"/>
      <c r="E41" s="152"/>
      <c r="F41" s="152"/>
      <c r="G41" s="152"/>
      <c r="H41" s="152"/>
      <c r="I41" s="152"/>
      <c r="J41" s="152">
        <f>J42+J43</f>
        <v>787.50587999999993</v>
      </c>
      <c r="K41" s="152">
        <f>1997-550</f>
        <v>1447</v>
      </c>
      <c r="L41" s="243">
        <f>K41-J41</f>
        <v>659.49412000000007</v>
      </c>
      <c r="M41" t="s">
        <v>1049</v>
      </c>
    </row>
    <row r="42" spans="1:13" x14ac:dyDescent="0.25">
      <c r="A42" s="4" t="s">
        <v>1041</v>
      </c>
      <c r="B42" s="5">
        <v>5</v>
      </c>
      <c r="C42" s="5">
        <v>2290</v>
      </c>
      <c r="D42" s="4">
        <f t="shared" ref="D42" si="16">B42*C42</f>
        <v>11450</v>
      </c>
      <c r="E42" s="4">
        <f t="shared" ref="E42" si="17">D42*0.1</f>
        <v>1145</v>
      </c>
      <c r="F42" s="5">
        <v>1250</v>
      </c>
      <c r="G42" s="4"/>
      <c r="H42" s="4">
        <v>0.15</v>
      </c>
      <c r="I42" s="4">
        <f>H42*$C$2</f>
        <v>1548</v>
      </c>
      <c r="J42" s="4">
        <f>(D42+E42+F42+I42)*$C$3</f>
        <v>787.50587999999993</v>
      </c>
      <c r="K42" s="4"/>
      <c r="L42" s="9"/>
    </row>
    <row r="43" spans="1:13" x14ac:dyDescent="0.25">
      <c r="A43" s="4" t="s">
        <v>1042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9"/>
    </row>
  </sheetData>
  <hyperlinks>
    <hyperlink ref="A25" r:id="rId1" display="http://forum.sibmama.ru/viewtopic.php?t=715424&amp;start=30090"/>
    <hyperlink ref="A31" r:id="rId2" display="http://forum.sibmama.ru/viewtopic.php?p=85624875"/>
    <hyperlink ref="A35" r:id="rId3" display="http://forum.sibmama.ru/viewtopic.php?t=715424&amp;start=30195"/>
    <hyperlink ref="A41" r:id="rId4" display="http://forum.sibmama.ru/viewtopic.php?p=86111005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80" zoomScaleNormal="80" workbookViewId="0">
      <selection activeCell="D25" sqref="D25"/>
    </sheetView>
  </sheetViews>
  <sheetFormatPr defaultRowHeight="15" x14ac:dyDescent="0.25"/>
  <cols>
    <col min="1" max="1" width="36.42578125" customWidth="1"/>
    <col min="3" max="3" width="20" customWidth="1"/>
    <col min="6" max="6" width="11.42578125" customWidth="1"/>
    <col min="9" max="9" width="13.5703125" customWidth="1"/>
    <col min="10" max="10" width="10.85546875" customWidth="1"/>
    <col min="11" max="11" width="12.140625" customWidth="1"/>
    <col min="12" max="12" width="13.140625" customWidth="1"/>
  </cols>
  <sheetData>
    <row r="1" spans="1:12" ht="21" x14ac:dyDescent="0.35">
      <c r="A1" s="55" t="s">
        <v>281</v>
      </c>
      <c r="B1" s="4"/>
      <c r="C1" s="189">
        <v>42886</v>
      </c>
      <c r="D1" s="30"/>
    </row>
    <row r="2" spans="1:12" ht="21" x14ac:dyDescent="0.35">
      <c r="A2" s="55" t="s">
        <v>239</v>
      </c>
      <c r="B2" s="4"/>
      <c r="C2" s="16">
        <v>9350</v>
      </c>
      <c r="D2" s="30"/>
    </row>
    <row r="3" spans="1:12" ht="21" x14ac:dyDescent="0.35">
      <c r="A3" s="55" t="s">
        <v>240</v>
      </c>
      <c r="B3" s="4"/>
      <c r="C3" s="170">
        <v>5.1139999999999998E-2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1002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967</v>
      </c>
      <c r="B6" s="203"/>
      <c r="C6" s="152"/>
      <c r="D6" s="152"/>
      <c r="E6" s="152"/>
      <c r="F6" s="152"/>
      <c r="G6" s="152"/>
      <c r="H6" s="152"/>
      <c r="I6" s="152"/>
      <c r="J6" s="152">
        <f>SUM(J7:J10)</f>
        <v>4529.8533500000003</v>
      </c>
      <c r="K6" s="152"/>
      <c r="L6" s="243">
        <f>K6-J6</f>
        <v>-4529.8533500000003</v>
      </c>
    </row>
    <row r="7" spans="1:12" x14ac:dyDescent="0.25">
      <c r="A7" s="234" t="s">
        <v>1032</v>
      </c>
      <c r="B7" s="4">
        <v>1</v>
      </c>
      <c r="C7" s="5">
        <v>19900</v>
      </c>
      <c r="D7" s="4">
        <f>B7*C7</f>
        <v>19900</v>
      </c>
      <c r="E7" s="4">
        <f>D7*0.1</f>
        <v>1990</v>
      </c>
      <c r="F7" s="4">
        <v>0</v>
      </c>
      <c r="G7" s="71"/>
      <c r="H7" s="4">
        <v>1.05</v>
      </c>
      <c r="I7" s="4">
        <f>H7*$C$2</f>
        <v>9817.5</v>
      </c>
      <c r="J7" s="4">
        <f>(D7+E7+F7+I7)*$C$3</f>
        <v>1621.5215499999999</v>
      </c>
      <c r="K7" s="4"/>
      <c r="L7" s="9"/>
    </row>
    <row r="8" spans="1:12" x14ac:dyDescent="0.25">
      <c r="A8" s="234" t="s">
        <v>1033</v>
      </c>
      <c r="B8" s="4">
        <v>1</v>
      </c>
      <c r="C8" s="5">
        <v>15900</v>
      </c>
      <c r="D8" s="4">
        <f>B8*C8</f>
        <v>15900</v>
      </c>
      <c r="E8" s="4">
        <f>D8*0.1</f>
        <v>1590</v>
      </c>
      <c r="F8" s="4">
        <v>0</v>
      </c>
      <c r="G8" s="71"/>
      <c r="H8" s="4">
        <f>G8*B8</f>
        <v>0</v>
      </c>
      <c r="I8" s="4">
        <f>H8*$C$2</f>
        <v>0</v>
      </c>
      <c r="J8" s="4">
        <f>(D8+E8+F8+I8)*$C$3</f>
        <v>894.43859999999995</v>
      </c>
      <c r="K8" s="4"/>
      <c r="L8" s="9"/>
    </row>
    <row r="9" spans="1:12" x14ac:dyDescent="0.25">
      <c r="A9" s="234" t="s">
        <v>1034</v>
      </c>
      <c r="B9" s="4">
        <v>1</v>
      </c>
      <c r="C9" s="4">
        <v>23400</v>
      </c>
      <c r="D9" s="4">
        <f>B9*C9</f>
        <v>23400</v>
      </c>
      <c r="E9" s="4">
        <f>D9*0.1</f>
        <v>2340</v>
      </c>
      <c r="F9" s="4">
        <v>0</v>
      </c>
      <c r="G9" s="71"/>
      <c r="H9" s="4">
        <f>G9*B9</f>
        <v>0</v>
      </c>
      <c r="I9" s="4">
        <f>H9*$C$2</f>
        <v>0</v>
      </c>
      <c r="J9" s="4">
        <f>(D9+E9+F9+I9)*$C$3</f>
        <v>1316.3435999999999</v>
      </c>
      <c r="K9" s="4"/>
      <c r="L9" s="9"/>
    </row>
    <row r="10" spans="1:12" x14ac:dyDescent="0.25">
      <c r="A10" s="234" t="s">
        <v>1035</v>
      </c>
      <c r="B10" s="4">
        <v>1</v>
      </c>
      <c r="C10" s="4">
        <v>12400</v>
      </c>
      <c r="D10" s="4">
        <f>B10*C10</f>
        <v>12400</v>
      </c>
      <c r="E10" s="4">
        <f>D10*0.1</f>
        <v>1240</v>
      </c>
      <c r="F10" s="4">
        <v>0</v>
      </c>
      <c r="G10" s="71"/>
      <c r="H10" s="4">
        <f>G10*B10</f>
        <v>0</v>
      </c>
      <c r="I10" s="4">
        <f>H10*$C$2</f>
        <v>0</v>
      </c>
      <c r="J10" s="4">
        <f>(D10+E10+F10+I10)*$C$3</f>
        <v>697.54959999999994</v>
      </c>
      <c r="K10" s="4"/>
      <c r="L10" s="9"/>
    </row>
    <row r="11" spans="1:12" ht="31.5" x14ac:dyDescent="0.5">
      <c r="A11" s="152" t="s">
        <v>1050</v>
      </c>
      <c r="B11" s="152"/>
      <c r="C11" s="152"/>
      <c r="D11" s="152"/>
      <c r="E11" s="152"/>
      <c r="F11" s="152"/>
      <c r="G11" s="152"/>
      <c r="H11" s="152"/>
      <c r="I11" s="152"/>
      <c r="J11" s="152">
        <f>J12</f>
        <v>573.79079999999999</v>
      </c>
      <c r="K11" s="152">
        <v>580</v>
      </c>
      <c r="L11" s="243">
        <f>K11-J11</f>
        <v>6.2092000000000098</v>
      </c>
    </row>
    <row r="12" spans="1:12" x14ac:dyDescent="0.25">
      <c r="A12" s="4" t="s">
        <v>1051</v>
      </c>
      <c r="B12" s="4">
        <v>1</v>
      </c>
      <c r="C12" s="4">
        <v>8500</v>
      </c>
      <c r="D12" s="4">
        <f>B12*C12</f>
        <v>8500</v>
      </c>
      <c r="E12" s="4">
        <f>D12*0.1</f>
        <v>850</v>
      </c>
      <c r="F12" s="4">
        <v>0</v>
      </c>
      <c r="G12" s="4">
        <v>0.2</v>
      </c>
      <c r="H12" s="4">
        <v>0.2</v>
      </c>
      <c r="I12" s="4">
        <f>H12*$C$2</f>
        <v>1870</v>
      </c>
      <c r="J12" s="4">
        <f>(D12+E12+F12+I12)*$C$3</f>
        <v>573.79079999999999</v>
      </c>
      <c r="K12" s="4"/>
      <c r="L12" s="9"/>
    </row>
    <row r="13" spans="1:12" ht="31.5" x14ac:dyDescent="0.5">
      <c r="A13" s="152" t="s">
        <v>870</v>
      </c>
      <c r="B13" s="152"/>
      <c r="C13" s="152"/>
      <c r="D13" s="152"/>
      <c r="E13" s="152"/>
      <c r="F13" s="152"/>
      <c r="G13" s="152"/>
      <c r="H13" s="152"/>
      <c r="I13" s="152"/>
      <c r="J13" s="152">
        <f>J14</f>
        <v>2094.4898399999997</v>
      </c>
      <c r="K13" s="152">
        <v>2058</v>
      </c>
      <c r="L13" s="243">
        <f>K13-J13</f>
        <v>-36.489839999999731</v>
      </c>
    </row>
    <row r="14" spans="1:12" x14ac:dyDescent="0.25">
      <c r="A14" s="4" t="s">
        <v>952</v>
      </c>
      <c r="B14" s="4">
        <v>1</v>
      </c>
      <c r="C14" s="4">
        <v>33600</v>
      </c>
      <c r="D14" s="4">
        <f>B14*C14</f>
        <v>33600</v>
      </c>
      <c r="E14" s="4">
        <f>D14*0.1</f>
        <v>3360</v>
      </c>
      <c r="F14" s="4">
        <v>2500</v>
      </c>
      <c r="G14" s="4">
        <v>0.16</v>
      </c>
      <c r="H14" s="4">
        <v>0.16</v>
      </c>
      <c r="I14" s="4">
        <f>H14*$C$2</f>
        <v>1496</v>
      </c>
      <c r="J14" s="4">
        <f>(D14+E14+F14+I14)*$C$3</f>
        <v>2094.4898399999997</v>
      </c>
      <c r="K14" s="4"/>
      <c r="L14" s="9"/>
    </row>
    <row r="15" spans="1:12" ht="31.5" x14ac:dyDescent="0.5">
      <c r="A15" s="152" t="s">
        <v>1052</v>
      </c>
      <c r="B15" s="152"/>
      <c r="C15" s="152"/>
      <c r="D15" s="152"/>
      <c r="E15" s="152"/>
      <c r="F15" s="152"/>
      <c r="G15" s="152"/>
      <c r="H15" s="152"/>
      <c r="I15" s="152"/>
      <c r="J15" s="152">
        <f>J16</f>
        <v>482.53146999999996</v>
      </c>
      <c r="K15" s="152">
        <v>462</v>
      </c>
      <c r="L15" s="243">
        <f>K15-J15</f>
        <v>-20.531469999999956</v>
      </c>
    </row>
    <row r="16" spans="1:12" x14ac:dyDescent="0.25">
      <c r="A16" s="4" t="s">
        <v>1053</v>
      </c>
      <c r="B16" s="4">
        <v>1</v>
      </c>
      <c r="C16" s="4">
        <v>5030</v>
      </c>
      <c r="D16" s="4">
        <f t="shared" ref="D16:D20" si="0">B16*C16</f>
        <v>5030</v>
      </c>
      <c r="E16" s="4">
        <f t="shared" ref="E16:E20" si="1">D16*0.1</f>
        <v>503</v>
      </c>
      <c r="F16" s="4">
        <v>2500</v>
      </c>
      <c r="G16" s="4">
        <v>0.15</v>
      </c>
      <c r="H16" s="4">
        <v>0.15</v>
      </c>
      <c r="I16" s="4">
        <f>H16*$C$2</f>
        <v>1402.5</v>
      </c>
      <c r="J16" s="4">
        <f t="shared" ref="J16:J20" si="2">(D16+E16+F16+I16)*$C$3</f>
        <v>482.53146999999996</v>
      </c>
      <c r="K16" s="4"/>
      <c r="L16" s="9"/>
    </row>
    <row r="17" spans="1:12" ht="31.5" x14ac:dyDescent="0.5">
      <c r="A17" s="152" t="s">
        <v>1054</v>
      </c>
      <c r="B17" s="152"/>
      <c r="C17" s="152"/>
      <c r="D17" s="152"/>
      <c r="E17" s="152"/>
      <c r="F17" s="152"/>
      <c r="G17" s="152"/>
      <c r="H17" s="152"/>
      <c r="I17" s="152">
        <v>5277</v>
      </c>
      <c r="J17" s="152">
        <f>SUM(J18:J20)</f>
        <v>5287.8760000000002</v>
      </c>
      <c r="K17" s="152">
        <v>5277</v>
      </c>
      <c r="L17" s="243">
        <f>K17-J17</f>
        <v>-10.876000000000204</v>
      </c>
    </row>
    <row r="18" spans="1:12" x14ac:dyDescent="0.25">
      <c r="A18" s="5" t="s">
        <v>1055</v>
      </c>
      <c r="B18" s="5">
        <v>1</v>
      </c>
      <c r="C18" s="5">
        <v>28900</v>
      </c>
      <c r="D18" s="4">
        <f t="shared" si="0"/>
        <v>28900</v>
      </c>
      <c r="E18" s="4">
        <f t="shared" si="1"/>
        <v>2890</v>
      </c>
      <c r="F18" s="4">
        <v>0</v>
      </c>
      <c r="G18" s="4">
        <v>0.2</v>
      </c>
      <c r="H18" s="4">
        <v>0.2</v>
      </c>
      <c r="I18" s="4">
        <f t="shared" ref="I18:I20" si="3">H18*$C$2</f>
        <v>1870</v>
      </c>
      <c r="J18" s="4">
        <f t="shared" si="2"/>
        <v>1721.3724</v>
      </c>
      <c r="K18" s="4"/>
      <c r="L18" s="9"/>
    </row>
    <row r="19" spans="1:12" x14ac:dyDescent="0.25">
      <c r="A19" s="5" t="s">
        <v>327</v>
      </c>
      <c r="B19" s="4">
        <v>1</v>
      </c>
      <c r="C19" s="4">
        <v>28900</v>
      </c>
      <c r="D19" s="4">
        <f t="shared" si="0"/>
        <v>28900</v>
      </c>
      <c r="E19" s="4">
        <f t="shared" si="1"/>
        <v>2890</v>
      </c>
      <c r="F19" s="4">
        <v>0</v>
      </c>
      <c r="G19" s="4">
        <v>0.7</v>
      </c>
      <c r="H19" s="4">
        <v>0.7</v>
      </c>
      <c r="I19" s="4">
        <f t="shared" si="3"/>
        <v>6545</v>
      </c>
      <c r="J19" s="4">
        <f t="shared" si="2"/>
        <v>1960.4519</v>
      </c>
      <c r="K19" s="4"/>
      <c r="L19" s="9"/>
    </row>
    <row r="20" spans="1:12" x14ac:dyDescent="0.25">
      <c r="A20" s="4" t="s">
        <v>1056</v>
      </c>
      <c r="B20" s="4">
        <v>1</v>
      </c>
      <c r="C20" s="4">
        <v>26000</v>
      </c>
      <c r="D20" s="4">
        <f t="shared" si="0"/>
        <v>26000</v>
      </c>
      <c r="E20" s="4">
        <f t="shared" si="1"/>
        <v>2600</v>
      </c>
      <c r="F20" s="4">
        <v>0</v>
      </c>
      <c r="G20" s="4">
        <v>0.3</v>
      </c>
      <c r="H20" s="4">
        <v>0.3</v>
      </c>
      <c r="I20" s="4">
        <f t="shared" si="3"/>
        <v>2805</v>
      </c>
      <c r="J20" s="4">
        <f t="shared" si="2"/>
        <v>1606.0517</v>
      </c>
      <c r="K20" s="4"/>
      <c r="L20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H73"/>
  <sheetViews>
    <sheetView zoomScale="71" zoomScaleNormal="71" workbookViewId="0">
      <selection activeCell="M10" sqref="M10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 x14ac:dyDescent="0.35">
      <c r="A1" s="55" t="s">
        <v>219</v>
      </c>
      <c r="B1" s="4"/>
      <c r="C1" s="15">
        <v>41478</v>
      </c>
      <c r="D1" s="30"/>
    </row>
    <row r="2" spans="1:13" ht="21" x14ac:dyDescent="0.35">
      <c r="A2" s="55" t="s">
        <v>218</v>
      </c>
      <c r="B2" s="4"/>
      <c r="C2" s="16">
        <v>6840</v>
      </c>
      <c r="D2" s="30"/>
    </row>
    <row r="3" spans="1:13" ht="21" x14ac:dyDescent="0.35">
      <c r="A3" s="55"/>
      <c r="B3" s="4"/>
      <c r="C3" s="16"/>
      <c r="D3" s="30"/>
    </row>
    <row r="4" spans="1:13" ht="18.75" x14ac:dyDescent="0.3">
      <c r="A4" s="55" t="s">
        <v>217</v>
      </c>
      <c r="B4" s="4"/>
      <c r="C4" s="16">
        <v>2.9530000000000001E-2</v>
      </c>
    </row>
    <row r="5" spans="1:13" ht="28.5" x14ac:dyDescent="0.45">
      <c r="A5" s="55"/>
      <c r="B5" s="4"/>
      <c r="C5" s="13"/>
    </row>
    <row r="6" spans="1:13" ht="37.5" x14ac:dyDescent="0.3">
      <c r="A6" s="56" t="s">
        <v>18</v>
      </c>
      <c r="C6" s="19"/>
    </row>
    <row r="7" spans="1:13" ht="45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3" ht="26.25" x14ac:dyDescent="0.4">
      <c r="A8" s="1" t="s">
        <v>191</v>
      </c>
      <c r="B8" s="2"/>
      <c r="C8" s="2"/>
      <c r="D8" s="2"/>
      <c r="E8" s="2"/>
      <c r="F8" s="2"/>
      <c r="G8" s="2"/>
      <c r="H8" s="2"/>
      <c r="I8" s="2"/>
      <c r="J8" s="52">
        <f>J9</f>
        <v>115.78713</v>
      </c>
      <c r="K8" s="10">
        <v>113</v>
      </c>
      <c r="L8" s="10">
        <f t="shared" ref="L8:L12" si="0">K8-J8</f>
        <v>-2.7871300000000048</v>
      </c>
    </row>
    <row r="9" spans="1:13" x14ac:dyDescent="0.25">
      <c r="A9" s="67" t="s">
        <v>128</v>
      </c>
      <c r="B9" s="4">
        <v>1</v>
      </c>
      <c r="C9" s="4">
        <f>9900/3*B9</f>
        <v>3300</v>
      </c>
      <c r="D9" s="4">
        <f t="shared" ref="D9" si="1">B9*C9</f>
        <v>3300</v>
      </c>
      <c r="E9" s="4">
        <f>D9*0.05</f>
        <v>165</v>
      </c>
      <c r="F9" s="4">
        <v>0</v>
      </c>
      <c r="G9" s="4">
        <f>0.2/3</f>
        <v>6.6666666666666666E-2</v>
      </c>
      <c r="H9" s="4">
        <f>G9</f>
        <v>6.6666666666666666E-2</v>
      </c>
      <c r="I9" s="4">
        <f>H9*$C$2</f>
        <v>456</v>
      </c>
      <c r="J9" s="51">
        <f>(D9+E9+F9+I9)*$C$4</f>
        <v>115.78713</v>
      </c>
      <c r="K9" s="36"/>
      <c r="L9" s="41"/>
    </row>
    <row r="10" spans="1:13" ht="26.25" x14ac:dyDescent="0.4">
      <c r="A10" s="1" t="s">
        <v>29</v>
      </c>
      <c r="B10" s="2"/>
      <c r="C10" s="2"/>
      <c r="D10" s="2"/>
      <c r="E10" s="2"/>
      <c r="F10" s="2"/>
      <c r="G10" s="2"/>
      <c r="H10" s="2"/>
      <c r="I10" s="2"/>
      <c r="J10" s="52">
        <f>J11</f>
        <v>438.28426000000002</v>
      </c>
      <c r="K10" s="10">
        <v>429</v>
      </c>
      <c r="L10" s="10">
        <f>K10-J10-22</f>
        <v>-31.284260000000017</v>
      </c>
      <c r="M10" s="82" t="s">
        <v>235</v>
      </c>
    </row>
    <row r="11" spans="1:13" x14ac:dyDescent="0.25">
      <c r="A11" s="3" t="s">
        <v>57</v>
      </c>
      <c r="B11" s="4">
        <v>1</v>
      </c>
      <c r="C11" s="4">
        <v>9800</v>
      </c>
      <c r="D11" s="4">
        <f t="shared" ref="D11" si="2">B11*C11</f>
        <v>9800</v>
      </c>
      <c r="E11" s="4">
        <f t="shared" ref="E11" si="3">D11*0.05</f>
        <v>490</v>
      </c>
      <c r="F11" s="4">
        <v>2500</v>
      </c>
      <c r="G11" s="4">
        <v>0.3</v>
      </c>
      <c r="H11" s="4">
        <f t="shared" ref="H11:H53" si="4">G11</f>
        <v>0.3</v>
      </c>
      <c r="I11" s="4">
        <f t="shared" ref="I11" si="5">H11*$C$2</f>
        <v>2052</v>
      </c>
      <c r="J11" s="51">
        <f t="shared" ref="J11" si="6">(D11+E11+F11+I11)*$C$4</f>
        <v>438.28426000000002</v>
      </c>
      <c r="K11" s="36"/>
      <c r="L11" s="41"/>
    </row>
    <row r="12" spans="1:13" ht="26.25" x14ac:dyDescent="0.4">
      <c r="A12" s="1" t="s">
        <v>192</v>
      </c>
      <c r="B12" s="2"/>
      <c r="C12" s="2"/>
      <c r="D12" s="2"/>
      <c r="E12" s="2"/>
      <c r="F12" s="2"/>
      <c r="G12" s="2"/>
      <c r="H12" s="2"/>
      <c r="I12" s="2"/>
      <c r="J12" s="52">
        <f>J13</f>
        <v>115.78713</v>
      </c>
      <c r="K12" s="10">
        <v>113</v>
      </c>
      <c r="L12" s="10">
        <f t="shared" si="0"/>
        <v>-2.7871300000000048</v>
      </c>
    </row>
    <row r="13" spans="1:13" x14ac:dyDescent="0.25">
      <c r="A13" s="67" t="s">
        <v>128</v>
      </c>
      <c r="B13" s="4">
        <v>1</v>
      </c>
      <c r="C13" s="4">
        <f>9900/3*B13</f>
        <v>3300</v>
      </c>
      <c r="D13" s="4">
        <f t="shared" ref="D13" si="7">B13*C13</f>
        <v>3300</v>
      </c>
      <c r="E13" s="4">
        <f t="shared" ref="E13" si="8">D13*0.05</f>
        <v>165</v>
      </c>
      <c r="F13" s="4">
        <v>0</v>
      </c>
      <c r="G13" s="4">
        <f>0.2/3</f>
        <v>6.6666666666666666E-2</v>
      </c>
      <c r="H13" s="4">
        <f t="shared" si="4"/>
        <v>6.6666666666666666E-2</v>
      </c>
      <c r="I13" s="4">
        <f>H13*$C$2</f>
        <v>456</v>
      </c>
      <c r="J13" s="51">
        <f>(D13+E13+F13+I13)*$C$4</f>
        <v>115.78713</v>
      </c>
      <c r="K13" s="36"/>
      <c r="L13" s="41"/>
    </row>
    <row r="14" spans="1:13" ht="26.25" x14ac:dyDescent="0.4">
      <c r="A14" s="1" t="s">
        <v>193</v>
      </c>
      <c r="B14" s="2"/>
      <c r="C14" s="2"/>
      <c r="D14" s="2"/>
      <c r="E14" s="2"/>
      <c r="F14" s="2"/>
      <c r="G14" s="2"/>
      <c r="H14" s="2"/>
      <c r="I14" s="2"/>
      <c r="J14" s="52">
        <v>0</v>
      </c>
      <c r="K14" s="10">
        <v>416</v>
      </c>
      <c r="L14" s="10">
        <f>K14-J14-416-66</f>
        <v>-66</v>
      </c>
      <c r="M14" s="82" t="s">
        <v>220</v>
      </c>
    </row>
    <row r="15" spans="1:13" x14ac:dyDescent="0.25">
      <c r="A15" s="80" t="s">
        <v>194</v>
      </c>
      <c r="B15" s="18">
        <v>1</v>
      </c>
      <c r="C15" s="18">
        <v>9900</v>
      </c>
      <c r="D15" s="18">
        <f t="shared" ref="D15" si="9">B15*C15</f>
        <v>9900</v>
      </c>
      <c r="E15" s="18">
        <f t="shared" ref="E15" si="10">D15*0.05</f>
        <v>495</v>
      </c>
      <c r="F15" s="18">
        <f>2500/2</f>
        <v>1250</v>
      </c>
      <c r="G15" s="18">
        <v>0.4</v>
      </c>
      <c r="H15" s="18">
        <f t="shared" si="4"/>
        <v>0.4</v>
      </c>
      <c r="I15" s="18">
        <f>H15*$C$2</f>
        <v>2736</v>
      </c>
      <c r="J15" s="78">
        <f>(D15+E15+F15+I15)*$C$4</f>
        <v>424.67093</v>
      </c>
      <c r="K15" s="36"/>
      <c r="L15" s="41"/>
    </row>
    <row r="16" spans="1:13" ht="26.25" x14ac:dyDescent="0.4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959.37063999999998</v>
      </c>
      <c r="K16" s="10">
        <v>940</v>
      </c>
      <c r="L16" s="10">
        <f t="shared" ref="L16:L51" si="11">K16-J16</f>
        <v>-19.37063999999998</v>
      </c>
    </row>
    <row r="17" spans="1:34" s="35" customFormat="1" ht="30" x14ac:dyDescent="0.25">
      <c r="A17" s="3" t="s">
        <v>196</v>
      </c>
      <c r="B17" s="71">
        <v>2</v>
      </c>
      <c r="C17" s="4">
        <v>12000</v>
      </c>
      <c r="D17" s="44">
        <f t="shared" ref="D17" si="12">B17*C17</f>
        <v>24000</v>
      </c>
      <c r="E17" s="44">
        <f t="shared" ref="E17" si="13">D17*0.05</f>
        <v>1200</v>
      </c>
      <c r="F17" s="4">
        <v>2500</v>
      </c>
      <c r="G17" s="4">
        <f>0.35*B17</f>
        <v>0.7</v>
      </c>
      <c r="H17" s="4">
        <f t="shared" si="4"/>
        <v>0.7</v>
      </c>
      <c r="I17" s="4">
        <f>H17*$C$2</f>
        <v>4788</v>
      </c>
      <c r="J17" s="51">
        <f>(D17+E17+F17+I17)*$C$4</f>
        <v>959.37063999999998</v>
      </c>
      <c r="K17" s="34"/>
      <c r="L17" s="41"/>
    </row>
    <row r="18" spans="1:34" ht="26.25" x14ac:dyDescent="0.4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J19</f>
        <v>334.36819000000003</v>
      </c>
      <c r="K18" s="10">
        <v>291</v>
      </c>
      <c r="L18" s="10">
        <f t="shared" si="11"/>
        <v>-43.368190000000027</v>
      </c>
    </row>
    <row r="19" spans="1:34" s="35" customFormat="1" x14ac:dyDescent="0.25">
      <c r="A19" s="3" t="s">
        <v>197</v>
      </c>
      <c r="B19" s="4">
        <v>1</v>
      </c>
      <c r="C19" s="4">
        <v>7100</v>
      </c>
      <c r="D19" s="44">
        <f t="shared" ref="D19" si="14">B19*C19</f>
        <v>7100</v>
      </c>
      <c r="E19" s="44">
        <f t="shared" ref="E19" si="15">D19*0.05</f>
        <v>355</v>
      </c>
      <c r="F19" s="4">
        <v>2500</v>
      </c>
      <c r="G19" s="4">
        <v>0.2</v>
      </c>
      <c r="H19" s="4">
        <f t="shared" si="4"/>
        <v>0.2</v>
      </c>
      <c r="I19" s="4">
        <f>H19*$C$2</f>
        <v>1368</v>
      </c>
      <c r="J19" s="51">
        <f>(D19+E19+F19+I19)*$C$4</f>
        <v>334.36819000000003</v>
      </c>
      <c r="K19" s="34"/>
      <c r="L19" s="41"/>
    </row>
    <row r="20" spans="1:34" ht="26.25" x14ac:dyDescent="0.4">
      <c r="A20" s="1" t="s">
        <v>198</v>
      </c>
      <c r="B20" s="2"/>
      <c r="C20" s="2"/>
      <c r="D20" s="2"/>
      <c r="E20" s="2"/>
      <c r="F20" s="2"/>
      <c r="G20" s="2"/>
      <c r="H20" s="2"/>
      <c r="I20" s="2"/>
      <c r="J20" s="52">
        <f>J21</f>
        <v>393.87114000000003</v>
      </c>
      <c r="K20" s="10">
        <f>386+8</f>
        <v>394</v>
      </c>
      <c r="L20" s="10">
        <f>K20-J20</f>
        <v>0.12885999999997466</v>
      </c>
    </row>
    <row r="21" spans="1:34" x14ac:dyDescent="0.25">
      <c r="A21" s="3" t="s">
        <v>199</v>
      </c>
      <c r="B21" s="4">
        <v>1</v>
      </c>
      <c r="C21" s="4">
        <v>11400</v>
      </c>
      <c r="D21" s="4">
        <f t="shared" ref="D21" si="16">B21*C21</f>
        <v>11400</v>
      </c>
      <c r="E21" s="4">
        <f t="shared" ref="E21" si="17">D21*0.05</f>
        <v>570</v>
      </c>
      <c r="F21" s="4">
        <v>0</v>
      </c>
      <c r="G21" s="4">
        <v>0.2</v>
      </c>
      <c r="H21" s="4">
        <f t="shared" si="4"/>
        <v>0.2</v>
      </c>
      <c r="I21" s="4">
        <f>H21*$C$2</f>
        <v>1368</v>
      </c>
      <c r="J21" s="51">
        <f>(D21+E21+F21+I21)*$C$4</f>
        <v>393.87114000000003</v>
      </c>
      <c r="K21" s="36"/>
      <c r="L21" s="41"/>
    </row>
    <row r="22" spans="1:34" s="31" customFormat="1" ht="26.25" x14ac:dyDescent="0.4">
      <c r="A22" s="1" t="s">
        <v>175</v>
      </c>
      <c r="B22" s="2"/>
      <c r="C22" s="2"/>
      <c r="F22" s="2"/>
      <c r="G22" s="2"/>
      <c r="H22" s="2"/>
      <c r="J22" s="72">
        <f>J23</f>
        <v>529.42565200000001</v>
      </c>
      <c r="K22" s="31">
        <f>508+21</f>
        <v>529</v>
      </c>
      <c r="L22" s="10">
        <f>K22-J22</f>
        <v>-0.42565200000001369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45" x14ac:dyDescent="0.25">
      <c r="A23" s="3" t="s">
        <v>200</v>
      </c>
      <c r="B23" s="71">
        <v>2</v>
      </c>
      <c r="C23" s="4">
        <v>6500</v>
      </c>
      <c r="D23" s="4">
        <f t="shared" ref="D23" si="18">B23*C23</f>
        <v>13000</v>
      </c>
      <c r="E23" s="4">
        <f t="shared" ref="E23" si="19">D23*0.05</f>
        <v>650</v>
      </c>
      <c r="F23" s="4">
        <v>2500</v>
      </c>
      <c r="G23" s="4">
        <v>0.26</v>
      </c>
      <c r="H23" s="4">
        <f t="shared" si="4"/>
        <v>0.26</v>
      </c>
      <c r="I23" s="4">
        <f>H23*$C$2</f>
        <v>1778.4</v>
      </c>
      <c r="J23" s="51">
        <f>(D23+E23+F23+I23)*$C$4</f>
        <v>529.42565200000001</v>
      </c>
      <c r="K23" s="36"/>
      <c r="L23" s="41"/>
    </row>
    <row r="24" spans="1:34" ht="26.25" x14ac:dyDescent="0.4">
      <c r="A24" s="1" t="s">
        <v>26</v>
      </c>
      <c r="B24" s="2"/>
      <c r="C24" s="2"/>
      <c r="D24" s="2"/>
      <c r="E24" s="2"/>
      <c r="F24" s="2"/>
      <c r="G24" s="2"/>
      <c r="H24" s="2"/>
      <c r="I24" s="2"/>
      <c r="J24" s="52">
        <f>SUM(J25:J26)</f>
        <v>697.23283000000004</v>
      </c>
      <c r="K24" s="10">
        <f>680+16</f>
        <v>696</v>
      </c>
      <c r="L24" s="10">
        <f t="shared" si="11"/>
        <v>-1.2328300000000354</v>
      </c>
    </row>
    <row r="25" spans="1:34" x14ac:dyDescent="0.25">
      <c r="A25" s="3" t="s">
        <v>162</v>
      </c>
      <c r="B25" s="4">
        <v>1</v>
      </c>
      <c r="C25" s="4">
        <v>12000</v>
      </c>
      <c r="D25" s="4">
        <f>B25*C25</f>
        <v>12000</v>
      </c>
      <c r="E25" s="4">
        <f t="shared" ref="E25:E26" si="20">D25*0.05</f>
        <v>600</v>
      </c>
      <c r="F25" s="4">
        <v>0</v>
      </c>
      <c r="G25" s="4">
        <v>0.2</v>
      </c>
      <c r="H25" s="4">
        <f t="shared" si="4"/>
        <v>0.2</v>
      </c>
      <c r="I25" s="4">
        <f t="shared" ref="I25" si="21">H25*$C$2</f>
        <v>1368</v>
      </c>
      <c r="J25" s="51">
        <f t="shared" ref="J25" si="22">(D25+E25+F25+I25)*$C$4</f>
        <v>412.47504000000004</v>
      </c>
      <c r="K25" s="45"/>
      <c r="L25" s="41"/>
    </row>
    <row r="26" spans="1:34" x14ac:dyDescent="0.25">
      <c r="A26" s="3" t="s">
        <v>49</v>
      </c>
      <c r="B26" s="4">
        <v>1</v>
      </c>
      <c r="C26" s="4">
        <v>5500</v>
      </c>
      <c r="D26" s="4">
        <f t="shared" ref="D26" si="23">B26*C26</f>
        <v>5500</v>
      </c>
      <c r="E26" s="4">
        <f t="shared" si="20"/>
        <v>275</v>
      </c>
      <c r="F26" s="4">
        <v>2500</v>
      </c>
      <c r="G26" s="4">
        <v>0.2</v>
      </c>
      <c r="H26" s="4">
        <f t="shared" si="4"/>
        <v>0.2</v>
      </c>
      <c r="I26" s="4">
        <f>H26*$C$2</f>
        <v>1368</v>
      </c>
      <c r="J26" s="51">
        <f>(D26+E26+F26+I26)*$C$4</f>
        <v>284.75779</v>
      </c>
      <c r="K26" s="36"/>
      <c r="L26" s="41"/>
    </row>
    <row r="27" spans="1:34" ht="26.25" x14ac:dyDescent="0.4">
      <c r="A27" s="1" t="s">
        <v>201</v>
      </c>
      <c r="B27" s="2"/>
      <c r="C27" s="2"/>
      <c r="D27" s="2"/>
      <c r="E27" s="2"/>
      <c r="F27" s="2"/>
      <c r="G27" s="2"/>
      <c r="H27" s="2"/>
      <c r="I27" s="2"/>
      <c r="J27" s="10">
        <f>SUM(J28:J29)</f>
        <v>231.57426000000001</v>
      </c>
      <c r="K27" s="32">
        <v>642</v>
      </c>
      <c r="L27" s="10">
        <f>K27-J27-410</f>
        <v>0.42574000000001888</v>
      </c>
      <c r="M27" s="54" t="s">
        <v>222</v>
      </c>
    </row>
    <row r="28" spans="1:34" s="35" customFormat="1" x14ac:dyDescent="0.25">
      <c r="A28" s="80" t="s">
        <v>194</v>
      </c>
      <c r="B28" s="18">
        <v>1</v>
      </c>
      <c r="C28" s="18">
        <v>9900</v>
      </c>
      <c r="D28" s="18">
        <f t="shared" ref="D28" si="24">B28*C28</f>
        <v>9900</v>
      </c>
      <c r="E28" s="18">
        <f>D28*0.05</f>
        <v>495</v>
      </c>
      <c r="F28" s="18">
        <f>2500/2</f>
        <v>1250</v>
      </c>
      <c r="G28" s="18">
        <v>0.4</v>
      </c>
      <c r="H28" s="18">
        <f>G28</f>
        <v>0.4</v>
      </c>
      <c r="I28" s="18">
        <f>H28*$C$2</f>
        <v>2736</v>
      </c>
      <c r="J28" s="78">
        <v>0</v>
      </c>
      <c r="K28" s="36"/>
      <c r="L28" s="36"/>
    </row>
    <row r="29" spans="1:34" x14ac:dyDescent="0.25">
      <c r="A29" s="67" t="s">
        <v>128</v>
      </c>
      <c r="B29" s="71">
        <v>2</v>
      </c>
      <c r="C29" s="4">
        <f>9900/3*B29</f>
        <v>6600</v>
      </c>
      <c r="D29" s="4">
        <f>C29</f>
        <v>6600</v>
      </c>
      <c r="E29" s="4">
        <f t="shared" ref="E29" si="25">D29*0.05</f>
        <v>330</v>
      </c>
      <c r="F29" s="4">
        <v>0</v>
      </c>
      <c r="G29" s="4">
        <f>0.2/3*B29</f>
        <v>0.13333333333333333</v>
      </c>
      <c r="H29" s="4">
        <f>G29</f>
        <v>0.13333333333333333</v>
      </c>
      <c r="I29" s="4">
        <f>H29*$C$2</f>
        <v>912</v>
      </c>
      <c r="J29" s="51">
        <f>(D29+E29+F29+I29)*$C$4</f>
        <v>231.57426000000001</v>
      </c>
      <c r="K29" s="36"/>
      <c r="L29" s="41"/>
    </row>
    <row r="30" spans="1:34" ht="26.25" x14ac:dyDescent="0.4">
      <c r="A30" s="1" t="s">
        <v>124</v>
      </c>
      <c r="B30" s="2"/>
      <c r="C30" s="2"/>
      <c r="D30" s="2"/>
      <c r="E30" s="2"/>
      <c r="F30" s="2"/>
      <c r="G30" s="2"/>
      <c r="H30" s="2"/>
      <c r="I30" s="2"/>
      <c r="J30" s="52">
        <f>SUM(J31:J33)</f>
        <v>713.82869000000005</v>
      </c>
      <c r="K30" s="32">
        <v>700</v>
      </c>
      <c r="L30" s="10">
        <f t="shared" si="11"/>
        <v>-13.828690000000051</v>
      </c>
      <c r="AA30" t="s">
        <v>90</v>
      </c>
    </row>
    <row r="31" spans="1:34" s="35" customFormat="1" x14ac:dyDescent="0.25">
      <c r="A31" s="3" t="s">
        <v>113</v>
      </c>
      <c r="B31" s="4">
        <v>1</v>
      </c>
      <c r="C31" s="4">
        <v>12000</v>
      </c>
      <c r="D31" s="4">
        <f t="shared" ref="D31:D33" si="26">B31*C31</f>
        <v>12000</v>
      </c>
      <c r="E31" s="4">
        <f>D31*0.05</f>
        <v>600</v>
      </c>
      <c r="F31" s="4">
        <v>0</v>
      </c>
      <c r="G31" s="4">
        <v>0.2</v>
      </c>
      <c r="H31" s="4">
        <f t="shared" si="4"/>
        <v>0.2</v>
      </c>
      <c r="I31" s="4">
        <f t="shared" ref="I31:I61" si="27">H31*$C$2</f>
        <v>1368</v>
      </c>
      <c r="J31" s="51">
        <f t="shared" ref="J31:J61" si="28">(D31+E31+F31+I31)*$C$4</f>
        <v>412.47504000000004</v>
      </c>
      <c r="K31" s="34"/>
      <c r="L31" s="41"/>
      <c r="M31"/>
    </row>
    <row r="32" spans="1:34" s="35" customFormat="1" x14ac:dyDescent="0.25">
      <c r="A32" s="67" t="s">
        <v>128</v>
      </c>
      <c r="B32" s="4">
        <v>1</v>
      </c>
      <c r="C32" s="4">
        <f>9900/3*B32</f>
        <v>3300</v>
      </c>
      <c r="D32" s="4">
        <f t="shared" si="26"/>
        <v>3300</v>
      </c>
      <c r="E32" s="4">
        <f t="shared" ref="E32:E33" si="29">D32*0.05</f>
        <v>165</v>
      </c>
      <c r="F32" s="4">
        <v>0</v>
      </c>
      <c r="G32" s="4">
        <f>0.2/3</f>
        <v>6.6666666666666666E-2</v>
      </c>
      <c r="H32" s="4">
        <f t="shared" si="4"/>
        <v>6.6666666666666666E-2</v>
      </c>
      <c r="I32" s="4">
        <f t="shared" si="27"/>
        <v>456</v>
      </c>
      <c r="J32" s="51">
        <f t="shared" si="28"/>
        <v>115.78713</v>
      </c>
      <c r="K32" s="34"/>
      <c r="L32" s="41"/>
      <c r="M32"/>
    </row>
    <row r="33" spans="1:13" s="35" customFormat="1" ht="13.9" customHeight="1" x14ac:dyDescent="0.25">
      <c r="A33" s="48" t="s">
        <v>129</v>
      </c>
      <c r="B33" s="4">
        <v>1</v>
      </c>
      <c r="C33" s="4">
        <f>16000/3</f>
        <v>5333.333333333333</v>
      </c>
      <c r="D33" s="4">
        <f t="shared" si="26"/>
        <v>5333.333333333333</v>
      </c>
      <c r="E33" s="4">
        <f t="shared" si="29"/>
        <v>266.66666666666669</v>
      </c>
      <c r="F33" s="4">
        <v>0</v>
      </c>
      <c r="G33" s="4">
        <f>0.3/3</f>
        <v>9.9999999999999992E-2</v>
      </c>
      <c r="H33" s="4">
        <f t="shared" si="4"/>
        <v>9.9999999999999992E-2</v>
      </c>
      <c r="I33" s="4">
        <f t="shared" si="27"/>
        <v>683.99999999999989</v>
      </c>
      <c r="J33" s="51">
        <f t="shared" si="28"/>
        <v>185.56652</v>
      </c>
      <c r="K33" s="34"/>
      <c r="L33" s="41"/>
      <c r="M33"/>
    </row>
    <row r="34" spans="1:13" ht="26.25" x14ac:dyDescent="0.4">
      <c r="A34" s="1" t="s">
        <v>202</v>
      </c>
      <c r="B34" s="2"/>
      <c r="C34" s="2"/>
      <c r="D34" s="2"/>
      <c r="E34" s="2"/>
      <c r="F34" s="2"/>
      <c r="G34" s="2"/>
      <c r="H34" s="2"/>
      <c r="I34" s="2"/>
      <c r="J34" s="10">
        <f>SUM(J35:J37)</f>
        <v>886.46107000000006</v>
      </c>
      <c r="K34" s="32">
        <f>1007-127</f>
        <v>880</v>
      </c>
      <c r="L34" s="10">
        <f t="shared" si="11"/>
        <v>-6.4610700000000634</v>
      </c>
      <c r="M34" s="54" t="s">
        <v>221</v>
      </c>
    </row>
    <row r="35" spans="1:13" x14ac:dyDescent="0.25">
      <c r="A35" s="3" t="s">
        <v>203</v>
      </c>
      <c r="B35" s="4">
        <v>1</v>
      </c>
      <c r="C35" s="4">
        <v>8500</v>
      </c>
      <c r="D35" s="4">
        <f t="shared" ref="D35:D36" si="30">B35*C35</f>
        <v>8500</v>
      </c>
      <c r="E35" s="4">
        <f t="shared" ref="E35:E37" si="31">D35*0.05</f>
        <v>425</v>
      </c>
      <c r="F35" s="71">
        <v>2500</v>
      </c>
      <c r="G35" s="4">
        <v>0.2</v>
      </c>
      <c r="H35" s="4">
        <f t="shared" si="4"/>
        <v>0.2</v>
      </c>
      <c r="I35" s="4">
        <f t="shared" si="27"/>
        <v>1368</v>
      </c>
      <c r="J35" s="51">
        <f t="shared" si="28"/>
        <v>377.77728999999999</v>
      </c>
      <c r="K35" s="36"/>
      <c r="L35" s="41"/>
    </row>
    <row r="36" spans="1:13" s="35" customFormat="1" x14ac:dyDescent="0.25">
      <c r="A36" s="3" t="s">
        <v>49</v>
      </c>
      <c r="B36" s="4">
        <v>1</v>
      </c>
      <c r="C36" s="4">
        <v>8400</v>
      </c>
      <c r="D36" s="44">
        <f t="shared" si="30"/>
        <v>8400</v>
      </c>
      <c r="E36" s="44">
        <f t="shared" si="31"/>
        <v>420</v>
      </c>
      <c r="F36" s="81">
        <v>0</v>
      </c>
      <c r="G36" s="4">
        <v>0.2</v>
      </c>
      <c r="H36" s="4">
        <f t="shared" si="4"/>
        <v>0.2</v>
      </c>
      <c r="I36" s="4">
        <f>H36*$C$2</f>
        <v>1368</v>
      </c>
      <c r="J36" s="51">
        <f>(D36+E36+F36+I36)*$C$4</f>
        <v>300.85164000000003</v>
      </c>
      <c r="K36" s="34"/>
      <c r="L36" s="41"/>
    </row>
    <row r="37" spans="1:13" x14ac:dyDescent="0.25">
      <c r="A37" s="3" t="s">
        <v>203</v>
      </c>
      <c r="B37" s="4">
        <v>1</v>
      </c>
      <c r="C37" s="4">
        <v>5400</v>
      </c>
      <c r="D37" s="4">
        <f>B37*C37</f>
        <v>5400</v>
      </c>
      <c r="E37" s="4">
        <f t="shared" si="31"/>
        <v>270</v>
      </c>
      <c r="F37" s="81">
        <v>0</v>
      </c>
      <c r="G37" s="4">
        <v>0.2</v>
      </c>
      <c r="H37" s="4">
        <f t="shared" si="4"/>
        <v>0.2</v>
      </c>
      <c r="I37" s="4">
        <f t="shared" ref="I37" si="32">H37*$C$2</f>
        <v>1368</v>
      </c>
      <c r="J37" s="51">
        <f t="shared" ref="J37" si="33">(D37+E37+F37+I37)*$C$4</f>
        <v>207.83214000000001</v>
      </c>
      <c r="K37" s="45"/>
      <c r="L37" s="41"/>
    </row>
    <row r="38" spans="1:13" ht="26.25" x14ac:dyDescent="0.4">
      <c r="A38" s="1" t="s">
        <v>204</v>
      </c>
      <c r="B38" s="2"/>
      <c r="C38" s="2"/>
      <c r="D38" s="2"/>
      <c r="E38" s="2"/>
      <c r="F38" s="2"/>
      <c r="G38" s="2"/>
      <c r="H38" s="2"/>
      <c r="I38" s="2"/>
      <c r="J38" s="10">
        <f>SUM(J39:J43)</f>
        <v>1784.1583050000002</v>
      </c>
      <c r="K38" s="32">
        <f>1748+36</f>
        <v>1784</v>
      </c>
      <c r="L38" s="10">
        <f>K38-J38</f>
        <v>-0.15830500000015491</v>
      </c>
    </row>
    <row r="39" spans="1:13" x14ac:dyDescent="0.25">
      <c r="A39" s="3" t="s">
        <v>205</v>
      </c>
      <c r="B39" s="71">
        <v>2</v>
      </c>
      <c r="C39" s="4">
        <v>11640</v>
      </c>
      <c r="D39" s="4">
        <f t="shared" ref="D39:D43" si="34">B39*C39</f>
        <v>23280</v>
      </c>
      <c r="E39" s="4">
        <f t="shared" ref="E39" si="35">D39*0.05</f>
        <v>1164</v>
      </c>
      <c r="F39" s="4">
        <v>2500</v>
      </c>
      <c r="G39" s="4">
        <v>0.3</v>
      </c>
      <c r="H39" s="4">
        <f>G39*B39</f>
        <v>0.6</v>
      </c>
      <c r="I39" s="4">
        <f t="shared" si="27"/>
        <v>4104</v>
      </c>
      <c r="J39" s="51">
        <f t="shared" si="28"/>
        <v>916.84744000000001</v>
      </c>
      <c r="K39" s="36"/>
      <c r="L39" s="41"/>
    </row>
    <row r="40" spans="1:13" x14ac:dyDescent="0.25">
      <c r="A40" s="3" t="s">
        <v>67</v>
      </c>
      <c r="B40" s="4">
        <v>1</v>
      </c>
      <c r="C40" s="4">
        <v>6800</v>
      </c>
      <c r="D40" s="4">
        <f t="shared" si="34"/>
        <v>6800</v>
      </c>
      <c r="E40" s="4">
        <f>D40*0.05</f>
        <v>340</v>
      </c>
      <c r="F40" s="4">
        <v>2500</v>
      </c>
      <c r="G40" s="4">
        <v>0.2</v>
      </c>
      <c r="H40" s="4">
        <f t="shared" si="4"/>
        <v>0.2</v>
      </c>
      <c r="I40" s="4">
        <f t="shared" si="27"/>
        <v>1368</v>
      </c>
      <c r="J40" s="51">
        <f t="shared" si="28"/>
        <v>325.06623999999999</v>
      </c>
      <c r="K40" s="36"/>
      <c r="L40" s="41"/>
    </row>
    <row r="41" spans="1:13" x14ac:dyDescent="0.25">
      <c r="A41" s="3" t="s">
        <v>107</v>
      </c>
      <c r="B41" s="4">
        <v>1</v>
      </c>
      <c r="C41" s="4">
        <v>5990</v>
      </c>
      <c r="D41" s="4">
        <f t="shared" si="34"/>
        <v>5990</v>
      </c>
      <c r="E41" s="4">
        <f t="shared" ref="E41:E43" si="36">D41*0.05</f>
        <v>299.5</v>
      </c>
      <c r="F41" s="4">
        <f>2500/5</f>
        <v>500</v>
      </c>
      <c r="G41" s="4">
        <v>0.2</v>
      </c>
      <c r="H41" s="4">
        <f t="shared" si="4"/>
        <v>0.2</v>
      </c>
      <c r="I41" s="4">
        <f t="shared" si="27"/>
        <v>1368</v>
      </c>
      <c r="J41" s="51">
        <f t="shared" si="28"/>
        <v>240.890975</v>
      </c>
      <c r="K41" s="36"/>
      <c r="L41" s="41"/>
    </row>
    <row r="42" spans="1:13" x14ac:dyDescent="0.25">
      <c r="A42" s="67" t="s">
        <v>128</v>
      </c>
      <c r="B42" s="4">
        <v>1</v>
      </c>
      <c r="C42" s="4">
        <f>9900/3*B42</f>
        <v>3300</v>
      </c>
      <c r="D42" s="4">
        <f t="shared" si="34"/>
        <v>3300</v>
      </c>
      <c r="E42" s="4">
        <f t="shared" si="36"/>
        <v>165</v>
      </c>
      <c r="F42" s="4">
        <v>0</v>
      </c>
      <c r="G42" s="4">
        <f>0.2/3</f>
        <v>6.6666666666666666E-2</v>
      </c>
      <c r="H42" s="4">
        <f t="shared" si="4"/>
        <v>6.6666666666666666E-2</v>
      </c>
      <c r="I42" s="4">
        <f>H42*$C$2</f>
        <v>456</v>
      </c>
      <c r="J42" s="51">
        <f>(D42+E42+F42+I42)*$C$4</f>
        <v>115.78713</v>
      </c>
      <c r="K42" s="36"/>
      <c r="L42" s="41"/>
    </row>
    <row r="43" spans="1:13" s="35" customFormat="1" x14ac:dyDescent="0.25">
      <c r="A43" s="48" t="s">
        <v>129</v>
      </c>
      <c r="B43" s="4">
        <v>1</v>
      </c>
      <c r="C43" s="4">
        <f>16000/3</f>
        <v>5333.333333333333</v>
      </c>
      <c r="D43" s="44">
        <f t="shared" si="34"/>
        <v>5333.333333333333</v>
      </c>
      <c r="E43" s="44">
        <f t="shared" si="36"/>
        <v>266.66666666666669</v>
      </c>
      <c r="F43" s="4">
        <v>0</v>
      </c>
      <c r="G43" s="4">
        <f>0.3/3</f>
        <v>9.9999999999999992E-2</v>
      </c>
      <c r="H43" s="4">
        <f t="shared" si="4"/>
        <v>9.9999999999999992E-2</v>
      </c>
      <c r="I43" s="4">
        <f>H43*$C$2</f>
        <v>683.99999999999989</v>
      </c>
      <c r="J43" s="51">
        <f>(D43+E43+F43+I43)*$C$4</f>
        <v>185.56652</v>
      </c>
      <c r="K43" s="34"/>
      <c r="L43" s="41"/>
    </row>
    <row r="44" spans="1:13" ht="26.25" x14ac:dyDescent="0.4">
      <c r="A44" s="1" t="s">
        <v>2</v>
      </c>
      <c r="B44" s="2"/>
      <c r="C44" s="2"/>
      <c r="D44" s="2"/>
      <c r="E44" s="2"/>
      <c r="F44" s="2"/>
      <c r="G44" s="2"/>
      <c r="H44" s="2"/>
      <c r="I44" s="2"/>
      <c r="J44" s="10">
        <f>SUM(J45:J47)</f>
        <v>619.62208399999997</v>
      </c>
      <c r="K44" s="32">
        <v>606</v>
      </c>
      <c r="L44" s="10">
        <f t="shared" si="11"/>
        <v>-13.622083999999973</v>
      </c>
    </row>
    <row r="45" spans="1:13" x14ac:dyDescent="0.25">
      <c r="A45" s="3" t="s">
        <v>172</v>
      </c>
      <c r="B45" s="71">
        <v>2</v>
      </c>
      <c r="C45" s="4">
        <v>2310</v>
      </c>
      <c r="D45" s="4">
        <f t="shared" ref="D45:D47" si="37">B45*C45</f>
        <v>4620</v>
      </c>
      <c r="E45" s="4">
        <f t="shared" ref="E45" si="38">D45*0.05</f>
        <v>231</v>
      </c>
      <c r="F45" s="4">
        <v>0</v>
      </c>
      <c r="G45" s="4">
        <v>0.2</v>
      </c>
      <c r="H45" s="4">
        <f>G45*B45</f>
        <v>0.4</v>
      </c>
      <c r="I45" s="4">
        <f t="shared" si="27"/>
        <v>2736</v>
      </c>
      <c r="J45" s="51">
        <f t="shared" si="28"/>
        <v>224.04411000000002</v>
      </c>
      <c r="K45" s="36"/>
      <c r="L45" s="41"/>
    </row>
    <row r="46" spans="1:13" x14ac:dyDescent="0.25">
      <c r="A46" s="3" t="s">
        <v>172</v>
      </c>
      <c r="B46" s="4">
        <v>1</v>
      </c>
      <c r="C46" s="4">
        <v>4000</v>
      </c>
      <c r="D46" s="4">
        <f t="shared" si="37"/>
        <v>4000</v>
      </c>
      <c r="E46" s="4">
        <f>D46*0.05</f>
        <v>200</v>
      </c>
      <c r="F46" s="4">
        <v>2500</v>
      </c>
      <c r="G46" s="4">
        <v>0.2</v>
      </c>
      <c r="H46" s="4">
        <f t="shared" si="4"/>
        <v>0.2</v>
      </c>
      <c r="I46" s="4">
        <f t="shared" si="27"/>
        <v>1368</v>
      </c>
      <c r="J46" s="51">
        <f t="shared" si="28"/>
        <v>238.24804</v>
      </c>
      <c r="K46" s="36"/>
      <c r="L46" s="41"/>
    </row>
    <row r="47" spans="1:13" x14ac:dyDescent="0.25">
      <c r="A47" s="48" t="s">
        <v>102</v>
      </c>
      <c r="B47" s="4">
        <v>1</v>
      </c>
      <c r="C47" s="4">
        <f>11900/3</f>
        <v>3966.6666666666665</v>
      </c>
      <c r="D47" s="4">
        <f t="shared" si="37"/>
        <v>3966.6666666666665</v>
      </c>
      <c r="E47" s="4">
        <f>D47*0.05</f>
        <v>198.33333333333334</v>
      </c>
      <c r="F47" s="4">
        <v>0</v>
      </c>
      <c r="G47" s="4">
        <f>0.51/3</f>
        <v>0.17</v>
      </c>
      <c r="H47" s="4">
        <f t="shared" si="4"/>
        <v>0.17</v>
      </c>
      <c r="I47" s="4">
        <f t="shared" si="27"/>
        <v>1162.8000000000002</v>
      </c>
      <c r="J47" s="51">
        <f t="shared" si="28"/>
        <v>157.32993400000001</v>
      </c>
      <c r="K47" s="36"/>
      <c r="L47" s="41"/>
    </row>
    <row r="48" spans="1:13" ht="26.25" x14ac:dyDescent="0.4">
      <c r="A48" s="1" t="s">
        <v>39</v>
      </c>
      <c r="B48" s="2"/>
      <c r="C48" s="2"/>
      <c r="D48" s="2"/>
      <c r="E48" s="2"/>
      <c r="F48" s="2"/>
      <c r="G48" s="2"/>
      <c r="H48" s="2"/>
      <c r="I48" s="2"/>
      <c r="J48" s="10">
        <f>SUM(J49:J50)</f>
        <v>356.67810500000002</v>
      </c>
      <c r="K48" s="32">
        <v>349</v>
      </c>
      <c r="L48" s="10">
        <f t="shared" si="11"/>
        <v>-7.6781050000000164</v>
      </c>
    </row>
    <row r="49" spans="1:34" x14ac:dyDescent="0.25">
      <c r="A49" s="3" t="s">
        <v>107</v>
      </c>
      <c r="B49" s="4">
        <v>1</v>
      </c>
      <c r="C49" s="4">
        <v>5990</v>
      </c>
      <c r="D49" s="4">
        <f t="shared" ref="D49:D50" si="39">B49*C49</f>
        <v>5990</v>
      </c>
      <c r="E49" s="4">
        <f t="shared" ref="E49" si="40">D49*0.05</f>
        <v>299.5</v>
      </c>
      <c r="F49" s="4">
        <f>2500/5</f>
        <v>500</v>
      </c>
      <c r="G49" s="4">
        <v>0.2</v>
      </c>
      <c r="H49" s="4">
        <f t="shared" si="4"/>
        <v>0.2</v>
      </c>
      <c r="I49" s="4">
        <f t="shared" ref="I49" si="41">H49*$C$2</f>
        <v>1368</v>
      </c>
      <c r="J49" s="51">
        <f t="shared" ref="J49" si="42">(D49+E49+F49+I49)*$C$4</f>
        <v>240.890975</v>
      </c>
      <c r="K49" s="36"/>
      <c r="L49" s="41"/>
    </row>
    <row r="50" spans="1:34" x14ac:dyDescent="0.25">
      <c r="A50" s="67" t="s">
        <v>128</v>
      </c>
      <c r="B50" s="4">
        <v>1</v>
      </c>
      <c r="C50" s="4">
        <f>9900/3*B50</f>
        <v>3300</v>
      </c>
      <c r="D50" s="4">
        <f t="shared" si="39"/>
        <v>3300</v>
      </c>
      <c r="E50" s="4">
        <f>D50*0.05</f>
        <v>165</v>
      </c>
      <c r="F50" s="4">
        <v>0</v>
      </c>
      <c r="G50" s="4">
        <f>0.2/3</f>
        <v>6.6666666666666666E-2</v>
      </c>
      <c r="H50" s="4">
        <f t="shared" si="4"/>
        <v>6.6666666666666666E-2</v>
      </c>
      <c r="I50" s="4">
        <f t="shared" si="27"/>
        <v>456</v>
      </c>
      <c r="J50" s="51">
        <f t="shared" si="28"/>
        <v>115.78713</v>
      </c>
      <c r="K50" s="36"/>
      <c r="L50" s="41"/>
    </row>
    <row r="51" spans="1:34" ht="26.25" x14ac:dyDescent="0.4">
      <c r="A51" s="1" t="s">
        <v>32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1118.8621699999999</v>
      </c>
      <c r="K51" s="32">
        <f>993+26</f>
        <v>1019</v>
      </c>
      <c r="L51" s="10">
        <f t="shared" si="11"/>
        <v>-99.862169999999878</v>
      </c>
    </row>
    <row r="52" spans="1:34" x14ac:dyDescent="0.25">
      <c r="A52" s="3" t="s">
        <v>57</v>
      </c>
      <c r="B52" s="4">
        <v>1</v>
      </c>
      <c r="C52" s="4">
        <v>10000</v>
      </c>
      <c r="D52" s="4">
        <f>C52</f>
        <v>10000</v>
      </c>
      <c r="E52" s="4">
        <f t="shared" ref="E52:E54" si="43">D52*0.05</f>
        <v>500</v>
      </c>
      <c r="F52" s="4">
        <v>2500</v>
      </c>
      <c r="G52" s="4">
        <v>0.4</v>
      </c>
      <c r="H52" s="4">
        <f t="shared" si="4"/>
        <v>0.4</v>
      </c>
      <c r="I52" s="4">
        <f t="shared" si="27"/>
        <v>2736</v>
      </c>
      <c r="J52" s="51">
        <f t="shared" si="28"/>
        <v>464.68407999999999</v>
      </c>
      <c r="K52" s="36"/>
      <c r="L52" s="41"/>
    </row>
    <row r="53" spans="1:34" s="35" customFormat="1" x14ac:dyDescent="0.25">
      <c r="A53" s="3" t="s">
        <v>57</v>
      </c>
      <c r="B53" s="4">
        <v>1</v>
      </c>
      <c r="C53" s="4">
        <v>9510</v>
      </c>
      <c r="D53" s="4">
        <f t="shared" ref="D53:D54" si="44">B53*C53</f>
        <v>9510</v>
      </c>
      <c r="E53" s="4">
        <f t="shared" si="43"/>
        <v>475.5</v>
      </c>
      <c r="F53" s="4">
        <v>2500</v>
      </c>
      <c r="G53" s="4">
        <v>0.3</v>
      </c>
      <c r="H53" s="4">
        <f t="shared" si="4"/>
        <v>0.3</v>
      </c>
      <c r="I53" s="4">
        <f>H53*$C$2</f>
        <v>2052</v>
      </c>
      <c r="J53" s="51">
        <f>(D53+E53+F53+I53)*$C$4</f>
        <v>429.29237499999999</v>
      </c>
      <c r="K53" s="34"/>
      <c r="L53" s="41"/>
    </row>
    <row r="54" spans="1:34" x14ac:dyDescent="0.25">
      <c r="A54" s="3" t="s">
        <v>206</v>
      </c>
      <c r="B54" s="4">
        <v>1</v>
      </c>
      <c r="C54" s="4">
        <v>5950</v>
      </c>
      <c r="D54" s="4">
        <f t="shared" si="44"/>
        <v>5950</v>
      </c>
      <c r="E54" s="4">
        <f t="shared" si="43"/>
        <v>297.5</v>
      </c>
      <c r="F54" s="4">
        <v>0</v>
      </c>
      <c r="G54" s="4">
        <v>0.2</v>
      </c>
      <c r="H54" s="4">
        <f t="shared" ref="H54:H70" si="45">G54</f>
        <v>0.2</v>
      </c>
      <c r="I54" s="4">
        <f>H54*$C$2</f>
        <v>1368</v>
      </c>
      <c r="J54" s="51">
        <f>(D54+E54+F54+I54)*$C$4</f>
        <v>224.885715</v>
      </c>
      <c r="K54" s="36"/>
      <c r="L54" s="41"/>
    </row>
    <row r="55" spans="1:34" ht="26.25" x14ac:dyDescent="0.4">
      <c r="A55" s="1" t="s">
        <v>177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1170.4215499999998</v>
      </c>
      <c r="K55" s="32">
        <v>1146</v>
      </c>
      <c r="L55" s="10">
        <f>K55-J55</f>
        <v>-24.421549999999797</v>
      </c>
    </row>
    <row r="56" spans="1:34" x14ac:dyDescent="0.25">
      <c r="A56" s="3" t="s">
        <v>207</v>
      </c>
      <c r="B56" s="4">
        <v>1</v>
      </c>
      <c r="C56" s="4">
        <v>10500</v>
      </c>
      <c r="D56" s="4">
        <f t="shared" ref="D56:D59" si="46">B56*C56</f>
        <v>10500</v>
      </c>
      <c r="E56" s="4">
        <f t="shared" ref="E56:E59" si="47">D56*0.05</f>
        <v>525</v>
      </c>
      <c r="F56" s="4">
        <v>0</v>
      </c>
      <c r="G56" s="4">
        <v>0.2</v>
      </c>
      <c r="H56" s="4">
        <f t="shared" si="45"/>
        <v>0.2</v>
      </c>
      <c r="I56" s="4">
        <f>H56*$C$2</f>
        <v>1368</v>
      </c>
      <c r="J56" s="51">
        <f>(D56+E56+F56+I56)*$C$4</f>
        <v>365.96528999999998</v>
      </c>
      <c r="K56" s="36"/>
      <c r="L56" s="41"/>
    </row>
    <row r="57" spans="1:34" x14ac:dyDescent="0.25">
      <c r="A57" s="3" t="s">
        <v>208</v>
      </c>
      <c r="B57" s="4">
        <v>1</v>
      </c>
      <c r="C57" s="4">
        <v>6000</v>
      </c>
      <c r="D57" s="4">
        <f t="shared" si="46"/>
        <v>6000</v>
      </c>
      <c r="E57" s="4">
        <f t="shared" si="47"/>
        <v>300</v>
      </c>
      <c r="F57" s="4">
        <v>2500</v>
      </c>
      <c r="G57" s="4">
        <v>0.2</v>
      </c>
      <c r="H57" s="4">
        <f t="shared" si="45"/>
        <v>0.2</v>
      </c>
      <c r="I57" s="4">
        <f t="shared" ref="I57:I59" si="48">H57*$C$2</f>
        <v>1368</v>
      </c>
      <c r="J57" s="51">
        <f t="shared" ref="J57" si="49">(D57+E57+F57+I57)*$C$4</f>
        <v>300.26103999999998</v>
      </c>
      <c r="K57" s="36"/>
      <c r="L57" s="41"/>
    </row>
    <row r="58" spans="1:34" s="35" customFormat="1" x14ac:dyDescent="0.25">
      <c r="A58" s="3" t="s">
        <v>209</v>
      </c>
      <c r="B58" s="71">
        <v>2</v>
      </c>
      <c r="C58" s="4">
        <v>3770</v>
      </c>
      <c r="D58" s="44">
        <f t="shared" si="46"/>
        <v>7540</v>
      </c>
      <c r="E58" s="44">
        <f t="shared" si="47"/>
        <v>377</v>
      </c>
      <c r="F58" s="4">
        <v>2500</v>
      </c>
      <c r="G58" s="4">
        <f>0.2*B58</f>
        <v>0.4</v>
      </c>
      <c r="H58" s="4">
        <f t="shared" si="45"/>
        <v>0.4</v>
      </c>
      <c r="I58" s="4">
        <f>H58*$C$2</f>
        <v>2736</v>
      </c>
      <c r="J58" s="51">
        <f>(D58+E58+F58+I58)*$C$4</f>
        <v>388.40809000000002</v>
      </c>
      <c r="K58" s="34"/>
      <c r="L58" s="41"/>
    </row>
    <row r="59" spans="1:34" x14ac:dyDescent="0.25">
      <c r="A59" s="67" t="s">
        <v>128</v>
      </c>
      <c r="B59" s="4">
        <v>1</v>
      </c>
      <c r="C59" s="4">
        <f>9900/3*B59</f>
        <v>3300</v>
      </c>
      <c r="D59" s="4">
        <f t="shared" si="46"/>
        <v>3300</v>
      </c>
      <c r="E59" s="4">
        <f t="shared" si="47"/>
        <v>165</v>
      </c>
      <c r="F59" s="4">
        <v>0</v>
      </c>
      <c r="G59" s="4">
        <f>0.2/3</f>
        <v>6.6666666666666666E-2</v>
      </c>
      <c r="H59" s="4">
        <f t="shared" si="45"/>
        <v>6.6666666666666666E-2</v>
      </c>
      <c r="I59" s="4">
        <f t="shared" si="48"/>
        <v>456</v>
      </c>
      <c r="J59" s="51">
        <f t="shared" ref="J59" si="50">(D59+E59+F59+I59)*$C$4</f>
        <v>115.78713</v>
      </c>
      <c r="K59" s="36"/>
      <c r="L59" s="41"/>
    </row>
    <row r="60" spans="1:34" s="31" customFormat="1" ht="26.25" x14ac:dyDescent="0.4">
      <c r="A60" s="1" t="s">
        <v>165</v>
      </c>
      <c r="B60" s="2"/>
      <c r="C60" s="2"/>
      <c r="F60" s="2"/>
      <c r="G60" s="2"/>
      <c r="H60" s="2"/>
      <c r="J60" s="53">
        <f>SUM(J61:J70)</f>
        <v>2425.8963903333333</v>
      </c>
      <c r="K60" s="31">
        <f>60+2198+168</f>
        <v>2426</v>
      </c>
      <c r="L60" s="10">
        <f t="shared" ref="L60" si="51">K60-J60</f>
        <v>0.10360966666667082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25">
      <c r="A61" s="3" t="s">
        <v>210</v>
      </c>
      <c r="B61" s="4">
        <v>1</v>
      </c>
      <c r="C61" s="4">
        <v>3700</v>
      </c>
      <c r="D61" s="60">
        <f>C61</f>
        <v>3700</v>
      </c>
      <c r="E61" s="60">
        <f>D61*0.05</f>
        <v>185</v>
      </c>
      <c r="F61" s="81">
        <v>2500</v>
      </c>
      <c r="G61" s="4">
        <v>0.3</v>
      </c>
      <c r="H61" s="4">
        <f t="shared" si="45"/>
        <v>0.3</v>
      </c>
      <c r="I61" s="4">
        <f t="shared" si="27"/>
        <v>2052</v>
      </c>
      <c r="J61" s="51">
        <f t="shared" si="28"/>
        <v>249.14461</v>
      </c>
      <c r="K61" s="36"/>
      <c r="L61" s="36"/>
    </row>
    <row r="62" spans="1:34" s="35" customFormat="1" x14ac:dyDescent="0.25">
      <c r="A62" s="3" t="s">
        <v>211</v>
      </c>
      <c r="B62" s="4">
        <v>1</v>
      </c>
      <c r="C62" s="4">
        <v>3490</v>
      </c>
      <c r="D62" s="4">
        <f t="shared" ref="D62:D63" si="52">B62*C62</f>
        <v>3490</v>
      </c>
      <c r="E62" s="4">
        <f t="shared" ref="E62:E70" si="53">D62*0.05</f>
        <v>174.5</v>
      </c>
      <c r="F62" s="81">
        <v>0</v>
      </c>
      <c r="G62" s="4">
        <v>0.3</v>
      </c>
      <c r="H62" s="4">
        <f t="shared" si="45"/>
        <v>0.3</v>
      </c>
      <c r="I62" s="4">
        <f>H62*$C$2</f>
        <v>2052</v>
      </c>
      <c r="J62" s="51">
        <f>(D62+E62+F62+I62)*$C$4</f>
        <v>168.808245</v>
      </c>
      <c r="K62" s="34"/>
      <c r="L62" s="41"/>
    </row>
    <row r="63" spans="1:34" s="35" customFormat="1" x14ac:dyDescent="0.25">
      <c r="A63" s="3" t="s">
        <v>211</v>
      </c>
      <c r="B63" s="4">
        <v>1</v>
      </c>
      <c r="C63" s="4">
        <v>3470</v>
      </c>
      <c r="D63" s="4">
        <f t="shared" si="52"/>
        <v>3470</v>
      </c>
      <c r="E63" s="4">
        <f t="shared" si="53"/>
        <v>173.5</v>
      </c>
      <c r="F63" s="81">
        <v>0</v>
      </c>
      <c r="G63" s="4">
        <v>0.3</v>
      </c>
      <c r="H63" s="4">
        <f t="shared" si="45"/>
        <v>0.3</v>
      </c>
      <c r="I63" s="4">
        <f>H63*$C$2</f>
        <v>2052</v>
      </c>
      <c r="J63" s="51">
        <f>(D63+E63+F63+I63)*$C$4</f>
        <v>168.18811500000001</v>
      </c>
      <c r="K63" s="34"/>
      <c r="L63" s="41"/>
    </row>
    <row r="64" spans="1:34" s="35" customFormat="1" x14ac:dyDescent="0.25">
      <c r="A64" s="3" t="s">
        <v>211</v>
      </c>
      <c r="B64" s="4">
        <v>1</v>
      </c>
      <c r="C64" s="4">
        <v>3490</v>
      </c>
      <c r="D64" s="4">
        <f t="shared" ref="D64:D68" si="54">B64*C64</f>
        <v>3490</v>
      </c>
      <c r="E64" s="4">
        <f t="shared" ref="E64:E68" si="55">D64*0.05</f>
        <v>174.5</v>
      </c>
      <c r="F64" s="81">
        <v>0</v>
      </c>
      <c r="G64" s="4">
        <v>0.3</v>
      </c>
      <c r="H64" s="4">
        <f t="shared" si="45"/>
        <v>0.3</v>
      </c>
      <c r="I64" s="4">
        <f t="shared" ref="I64:I68" si="56">H64*$C$2</f>
        <v>2052</v>
      </c>
      <c r="J64" s="51">
        <f t="shared" ref="J64:J68" si="57">(D64+E64+F64+I64)*$C$4</f>
        <v>168.808245</v>
      </c>
      <c r="K64" s="34"/>
      <c r="L64" s="41"/>
    </row>
    <row r="65" spans="1:12" s="35" customFormat="1" x14ac:dyDescent="0.25">
      <c r="A65" s="3" t="s">
        <v>211</v>
      </c>
      <c r="B65" s="4">
        <v>1</v>
      </c>
      <c r="C65" s="4">
        <v>3470</v>
      </c>
      <c r="D65" s="4">
        <f t="shared" si="54"/>
        <v>3470</v>
      </c>
      <c r="E65" s="4">
        <f t="shared" si="55"/>
        <v>173.5</v>
      </c>
      <c r="F65" s="81">
        <v>0</v>
      </c>
      <c r="G65" s="4">
        <v>0.3</v>
      </c>
      <c r="H65" s="4">
        <f t="shared" si="45"/>
        <v>0.3</v>
      </c>
      <c r="I65" s="4">
        <f t="shared" si="56"/>
        <v>2052</v>
      </c>
      <c r="J65" s="51">
        <f t="shared" si="57"/>
        <v>168.18811500000001</v>
      </c>
      <c r="K65" s="34"/>
      <c r="L65" s="41"/>
    </row>
    <row r="66" spans="1:12" s="35" customFormat="1" x14ac:dyDescent="0.25">
      <c r="A66" s="3" t="s">
        <v>211</v>
      </c>
      <c r="B66" s="4">
        <v>1</v>
      </c>
      <c r="C66" s="4">
        <v>3470</v>
      </c>
      <c r="D66" s="4">
        <f t="shared" si="54"/>
        <v>3470</v>
      </c>
      <c r="E66" s="4">
        <f t="shared" si="55"/>
        <v>173.5</v>
      </c>
      <c r="F66" s="81">
        <v>0</v>
      </c>
      <c r="G66" s="4">
        <v>0.3</v>
      </c>
      <c r="H66" s="4">
        <f t="shared" si="45"/>
        <v>0.3</v>
      </c>
      <c r="I66" s="4">
        <f t="shared" si="56"/>
        <v>2052</v>
      </c>
      <c r="J66" s="51">
        <f t="shared" si="57"/>
        <v>168.18811500000001</v>
      </c>
      <c r="K66" s="34"/>
      <c r="L66" s="41"/>
    </row>
    <row r="67" spans="1:12" s="35" customFormat="1" x14ac:dyDescent="0.25">
      <c r="A67" s="3" t="s">
        <v>211</v>
      </c>
      <c r="B67" s="4">
        <v>1</v>
      </c>
      <c r="C67" s="4">
        <v>3470</v>
      </c>
      <c r="D67" s="4">
        <f t="shared" si="54"/>
        <v>3470</v>
      </c>
      <c r="E67" s="4">
        <f t="shared" si="55"/>
        <v>173.5</v>
      </c>
      <c r="F67" s="81">
        <v>0</v>
      </c>
      <c r="G67" s="4">
        <v>0.3</v>
      </c>
      <c r="H67" s="4">
        <f t="shared" si="45"/>
        <v>0.3</v>
      </c>
      <c r="I67" s="4">
        <f t="shared" si="56"/>
        <v>2052</v>
      </c>
      <c r="J67" s="51">
        <f t="shared" si="57"/>
        <v>168.18811500000001</v>
      </c>
      <c r="K67" s="34"/>
      <c r="L67" s="41"/>
    </row>
    <row r="68" spans="1:12" s="35" customFormat="1" x14ac:dyDescent="0.25">
      <c r="A68" s="3" t="s">
        <v>211</v>
      </c>
      <c r="B68" s="4">
        <v>1</v>
      </c>
      <c r="C68" s="4">
        <v>3490</v>
      </c>
      <c r="D68" s="4">
        <f t="shared" si="54"/>
        <v>3490</v>
      </c>
      <c r="E68" s="4">
        <f t="shared" si="55"/>
        <v>174.5</v>
      </c>
      <c r="F68" s="81">
        <v>0</v>
      </c>
      <c r="G68" s="4">
        <v>0.3</v>
      </c>
      <c r="H68" s="4">
        <f t="shared" si="45"/>
        <v>0.3</v>
      </c>
      <c r="I68" s="4">
        <f t="shared" si="56"/>
        <v>2052</v>
      </c>
      <c r="J68" s="51">
        <f t="shared" si="57"/>
        <v>168.808245</v>
      </c>
      <c r="K68" s="34"/>
      <c r="L68" s="41"/>
    </row>
    <row r="69" spans="1:12" x14ac:dyDescent="0.25">
      <c r="A69" s="73" t="s">
        <v>162</v>
      </c>
      <c r="B69" s="4">
        <v>1</v>
      </c>
      <c r="C69" s="21">
        <v>12900</v>
      </c>
      <c r="D69" s="4">
        <f>B69*C69</f>
        <v>12900</v>
      </c>
      <c r="E69" s="4">
        <f t="shared" si="53"/>
        <v>645</v>
      </c>
      <c r="F69" s="4">
        <f>2500/3</f>
        <v>833.33333333333337</v>
      </c>
      <c r="G69" s="4">
        <v>0.5</v>
      </c>
      <c r="H69" s="4">
        <f t="shared" si="45"/>
        <v>0.5</v>
      </c>
      <c r="I69" s="4">
        <f t="shared" ref="I69" si="58">H69*$C$2</f>
        <v>3420</v>
      </c>
      <c r="J69" s="51">
        <f t="shared" ref="J69" si="59">(D69+E69+F69+I69)*$C$4</f>
        <v>525.58478333333346</v>
      </c>
      <c r="K69" s="34"/>
      <c r="L69" s="41"/>
    </row>
    <row r="70" spans="1:12" x14ac:dyDescent="0.25">
      <c r="A70" s="48" t="s">
        <v>102</v>
      </c>
      <c r="B70" s="71">
        <v>3</v>
      </c>
      <c r="C70" s="4">
        <f>11900</f>
        <v>11900</v>
      </c>
      <c r="D70" s="4">
        <f>C70</f>
        <v>11900</v>
      </c>
      <c r="E70" s="4">
        <f t="shared" si="53"/>
        <v>595</v>
      </c>
      <c r="F70" s="4">
        <v>0</v>
      </c>
      <c r="G70" s="4">
        <f>0.51</f>
        <v>0.51</v>
      </c>
      <c r="H70" s="4">
        <f t="shared" si="45"/>
        <v>0.51</v>
      </c>
      <c r="I70" s="4">
        <f>H70*$C$2</f>
        <v>3488.4</v>
      </c>
      <c r="J70" s="51">
        <f>(D70+E70+F70+I70)*$C$4</f>
        <v>471.989802</v>
      </c>
      <c r="K70" s="34"/>
      <c r="L70" s="41"/>
    </row>
    <row r="71" spans="1:12" x14ac:dyDescent="0.25">
      <c r="D71" s="75"/>
      <c r="E71" s="76"/>
    </row>
    <row r="72" spans="1:12" x14ac:dyDescent="0.25">
      <c r="E72" s="75"/>
    </row>
    <row r="73" spans="1:12" x14ac:dyDescent="0.25">
      <c r="E73" s="77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5"/>
  <sheetViews>
    <sheetView workbookViewId="0">
      <selection activeCell="A5" sqref="A5:XFD25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 x14ac:dyDescent="0.35">
      <c r="A1" s="55" t="s">
        <v>219</v>
      </c>
      <c r="B1" s="4"/>
      <c r="C1" s="15">
        <v>41507</v>
      </c>
      <c r="D1" s="30"/>
    </row>
    <row r="2" spans="1:13" ht="21" x14ac:dyDescent="0.35">
      <c r="A2" s="55" t="s">
        <v>218</v>
      </c>
      <c r="B2" s="4"/>
      <c r="C2" s="16">
        <v>6760</v>
      </c>
      <c r="D2" s="30" t="s">
        <v>223</v>
      </c>
    </row>
    <row r="3" spans="1:13" ht="21" x14ac:dyDescent="0.35">
      <c r="A3" s="55" t="s">
        <v>217</v>
      </c>
      <c r="B3" s="4"/>
      <c r="C3" s="16">
        <v>3.0099999999999998E-2</v>
      </c>
      <c r="D3" s="30" t="s">
        <v>224</v>
      </c>
    </row>
    <row r="4" spans="1:13" ht="26.45" customHeight="1" x14ac:dyDescent="0.3">
      <c r="A4" s="56"/>
      <c r="C4" s="19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31" t="s">
        <v>39</v>
      </c>
      <c r="B6" s="2"/>
      <c r="C6" s="2"/>
      <c r="D6" s="2"/>
      <c r="E6" s="2"/>
      <c r="F6" s="2"/>
      <c r="G6" s="2"/>
      <c r="H6" s="2"/>
      <c r="I6" s="2"/>
      <c r="J6" s="52">
        <f>J7</f>
        <v>350.55964999999998</v>
      </c>
      <c r="K6" s="10">
        <f>350+5</f>
        <v>355</v>
      </c>
      <c r="L6" s="10">
        <f t="shared" ref="L6:L8" si="0">K6-J6</f>
        <v>4.4403500000000236</v>
      </c>
    </row>
    <row r="7" spans="1:13" x14ac:dyDescent="0.25">
      <c r="A7" t="s">
        <v>57</v>
      </c>
      <c r="B7" s="21">
        <v>1</v>
      </c>
      <c r="C7" s="4">
        <v>7970</v>
      </c>
      <c r="D7" s="4">
        <f t="shared" ref="D7" si="1">B7*C7</f>
        <v>7970</v>
      </c>
      <c r="E7" s="4">
        <f>D7*0.05</f>
        <v>398.5</v>
      </c>
      <c r="F7" s="4">
        <f>1250</f>
        <v>1250</v>
      </c>
      <c r="G7" s="4">
        <v>0.3</v>
      </c>
      <c r="H7" s="4">
        <f>G7</f>
        <v>0.3</v>
      </c>
      <c r="I7" s="4">
        <f>H7*$C$2</f>
        <v>2028</v>
      </c>
      <c r="J7" s="51">
        <f>(D7+E7+F7+I7)*$C$3</f>
        <v>350.55964999999998</v>
      </c>
      <c r="K7" s="36"/>
      <c r="L7" s="41"/>
    </row>
    <row r="8" spans="1:13" ht="26.25" x14ac:dyDescent="0.4">
      <c r="A8" s="31" t="s">
        <v>225</v>
      </c>
      <c r="B8" s="2"/>
      <c r="C8" s="2"/>
      <c r="D8" s="2"/>
      <c r="E8" s="2"/>
      <c r="F8" s="2"/>
      <c r="G8" s="2"/>
      <c r="H8" s="2"/>
      <c r="I8" s="2"/>
      <c r="J8" s="52">
        <v>0</v>
      </c>
      <c r="K8" s="10">
        <v>378</v>
      </c>
      <c r="L8" s="10">
        <f t="shared" si="0"/>
        <v>378</v>
      </c>
    </row>
    <row r="9" spans="1:13" x14ac:dyDescent="0.25">
      <c r="A9" s="83" t="s">
        <v>238</v>
      </c>
      <c r="B9" s="4">
        <v>1</v>
      </c>
      <c r="C9" s="4">
        <v>7400</v>
      </c>
      <c r="D9" s="4">
        <f t="shared" ref="D9" si="2">B9*C9</f>
        <v>7400</v>
      </c>
      <c r="E9" s="4">
        <f t="shared" ref="E9" si="3">D9*0.05</f>
        <v>370</v>
      </c>
      <c r="F9" s="4">
        <v>833.33</v>
      </c>
      <c r="G9" s="4">
        <v>0.6</v>
      </c>
      <c r="H9" s="4">
        <f t="shared" ref="H9:H25" si="4">G9</f>
        <v>0.6</v>
      </c>
      <c r="I9" s="4">
        <f t="shared" ref="I9" si="5">H9*$C$2</f>
        <v>4056</v>
      </c>
      <c r="J9" s="51">
        <v>0</v>
      </c>
      <c r="K9" s="36"/>
      <c r="L9" s="41"/>
    </row>
    <row r="10" spans="1:13" ht="26.25" x14ac:dyDescent="0.4">
      <c r="A10" s="1" t="s">
        <v>230</v>
      </c>
      <c r="B10" s="2"/>
      <c r="C10" s="2"/>
      <c r="D10" s="2"/>
      <c r="E10" s="2"/>
      <c r="F10" s="2"/>
      <c r="G10" s="2"/>
      <c r="H10" s="2"/>
      <c r="I10" s="2"/>
      <c r="J10" s="52">
        <v>0</v>
      </c>
      <c r="K10" s="10">
        <v>230</v>
      </c>
      <c r="L10" s="10">
        <f>K10-J10-170</f>
        <v>60</v>
      </c>
      <c r="M10" s="82" t="s">
        <v>237</v>
      </c>
    </row>
    <row r="11" spans="1:13" x14ac:dyDescent="0.25">
      <c r="A11" s="18" t="s">
        <v>236</v>
      </c>
      <c r="B11" s="4">
        <v>1</v>
      </c>
      <c r="C11" s="4">
        <v>1700</v>
      </c>
      <c r="D11" s="4">
        <f t="shared" ref="D11" si="6">B11*C11</f>
        <v>1700</v>
      </c>
      <c r="E11" s="4">
        <f t="shared" ref="E11" si="7">D11*0.05</f>
        <v>85</v>
      </c>
      <c r="F11" s="4">
        <v>2500</v>
      </c>
      <c r="G11" s="71">
        <v>0.5</v>
      </c>
      <c r="H11" s="4">
        <f t="shared" si="4"/>
        <v>0.5</v>
      </c>
      <c r="I11" s="4">
        <f>H11*$C$2</f>
        <v>3380</v>
      </c>
      <c r="J11" s="51">
        <v>0</v>
      </c>
      <c r="K11" s="36"/>
      <c r="L11" s="41"/>
    </row>
    <row r="12" spans="1:13" ht="26.25" x14ac:dyDescent="0.4">
      <c r="A12" s="1" t="s">
        <v>231</v>
      </c>
      <c r="B12" s="2"/>
      <c r="C12" s="2"/>
      <c r="D12" s="2"/>
      <c r="E12" s="2"/>
      <c r="F12" s="2"/>
      <c r="G12" s="2"/>
      <c r="H12" s="2"/>
      <c r="I12" s="2"/>
      <c r="J12" s="52">
        <f>J13</f>
        <v>466.36939999999998</v>
      </c>
      <c r="K12" s="10">
        <v>460</v>
      </c>
      <c r="L12" s="10">
        <f t="shared" ref="L12:L18" si="8">K12-J12</f>
        <v>-6.3693999999999846</v>
      </c>
    </row>
    <row r="13" spans="1:13" s="35" customFormat="1" x14ac:dyDescent="0.25">
      <c r="A13" s="4" t="s">
        <v>67</v>
      </c>
      <c r="B13" s="4">
        <v>1</v>
      </c>
      <c r="C13" s="4">
        <v>9800</v>
      </c>
      <c r="D13" s="44">
        <f t="shared" ref="D13" si="9">B13*C13</f>
        <v>9800</v>
      </c>
      <c r="E13" s="44">
        <f t="shared" ref="E13" si="10">D13*0.05</f>
        <v>490</v>
      </c>
      <c r="F13">
        <v>2500</v>
      </c>
      <c r="G13">
        <v>0.4</v>
      </c>
      <c r="H13" s="4">
        <f t="shared" si="4"/>
        <v>0.4</v>
      </c>
      <c r="I13" s="4">
        <f>H13*$C$2</f>
        <v>2704</v>
      </c>
      <c r="J13" s="51">
        <f>(D13+E13+F13+I13)*$C$3</f>
        <v>466.36939999999998</v>
      </c>
      <c r="K13" s="34"/>
      <c r="L13" s="41"/>
    </row>
    <row r="14" spans="1:13" ht="26.25" x14ac:dyDescent="0.4">
      <c r="A14" s="1" t="s">
        <v>2</v>
      </c>
      <c r="B14" s="2"/>
      <c r="C14" s="2"/>
      <c r="D14" s="2"/>
      <c r="E14" s="2"/>
      <c r="F14" s="2"/>
      <c r="G14" s="2"/>
      <c r="H14" s="2"/>
      <c r="I14" s="2"/>
      <c r="J14" s="52">
        <f>J15</f>
        <v>1599.8992800000001</v>
      </c>
      <c r="K14" s="10">
        <f>1574+26</f>
        <v>1600</v>
      </c>
      <c r="L14" s="10">
        <f t="shared" si="8"/>
        <v>0.10071999999991021</v>
      </c>
    </row>
    <row r="15" spans="1:13" s="35" customFormat="1" x14ac:dyDescent="0.25">
      <c r="A15" s="4" t="s">
        <v>232</v>
      </c>
      <c r="B15" s="21">
        <v>1</v>
      </c>
      <c r="C15" s="21">
        <v>45600</v>
      </c>
      <c r="D15" s="44">
        <f t="shared" ref="D15" si="11">B15*C15</f>
        <v>45600</v>
      </c>
      <c r="E15" s="44">
        <f t="shared" ref="E15" si="12">D15*0.05</f>
        <v>2280</v>
      </c>
      <c r="F15" s="4">
        <v>0</v>
      </c>
      <c r="G15" s="21">
        <v>0.78</v>
      </c>
      <c r="H15" s="4">
        <f t="shared" si="4"/>
        <v>0.78</v>
      </c>
      <c r="I15" s="4">
        <f>H15*$C$2</f>
        <v>5272.8</v>
      </c>
      <c r="J15" s="51">
        <f>(D15+E15+F15+I15)*$C$3</f>
        <v>1599.8992800000001</v>
      </c>
      <c r="K15" s="34"/>
      <c r="L15" s="41"/>
    </row>
    <row r="16" spans="1:13" ht="26.25" x14ac:dyDescent="0.4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525.72659999999996</v>
      </c>
      <c r="K16" s="10">
        <f>537+13</f>
        <v>550</v>
      </c>
      <c r="L16" s="10">
        <f>K16-J16</f>
        <v>24.273400000000038</v>
      </c>
    </row>
    <row r="17" spans="1:12" x14ac:dyDescent="0.25">
      <c r="A17" s="4" t="s">
        <v>233</v>
      </c>
      <c r="B17" s="5">
        <v>1</v>
      </c>
      <c r="C17" s="4">
        <v>12000</v>
      </c>
      <c r="D17" s="4">
        <f t="shared" ref="D17" si="13">B17*C17</f>
        <v>12000</v>
      </c>
      <c r="E17" s="4">
        <f t="shared" ref="E17" si="14">D17*0.05</f>
        <v>600</v>
      </c>
      <c r="F17" s="4">
        <v>2500</v>
      </c>
      <c r="G17" s="4">
        <v>0.35</v>
      </c>
      <c r="H17" s="4">
        <f t="shared" si="4"/>
        <v>0.35</v>
      </c>
      <c r="I17" s="4">
        <f>H17*$C$2</f>
        <v>2366</v>
      </c>
      <c r="J17" s="51">
        <f>(D17+E17+F17+I17)*$C$3</f>
        <v>525.72659999999996</v>
      </c>
      <c r="K17" s="36"/>
      <c r="L17" s="41"/>
    </row>
    <row r="18" spans="1:12" ht="26.25" x14ac:dyDescent="0.4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SUM(J19:J20)</f>
        <v>472.69040000000001</v>
      </c>
      <c r="K18" s="10">
        <v>466</v>
      </c>
      <c r="L18" s="10">
        <f t="shared" si="8"/>
        <v>-6.690400000000011</v>
      </c>
    </row>
    <row r="19" spans="1:12" x14ac:dyDescent="0.25">
      <c r="A19" s="4" t="s">
        <v>226</v>
      </c>
      <c r="B19" s="4">
        <v>1</v>
      </c>
      <c r="C19" s="4">
        <v>3000</v>
      </c>
      <c r="D19" s="4">
        <f>B19*C19</f>
        <v>3000</v>
      </c>
      <c r="E19" s="4">
        <f t="shared" ref="E19:E20" si="15">D19*0.05</f>
        <v>150</v>
      </c>
      <c r="F19" s="4">
        <v>2500</v>
      </c>
      <c r="G19" s="4">
        <v>0.2</v>
      </c>
      <c r="H19" s="4">
        <f t="shared" si="4"/>
        <v>0.2</v>
      </c>
      <c r="I19" s="4">
        <f t="shared" ref="I19" si="16">H19*$C$2</f>
        <v>1352</v>
      </c>
      <c r="J19" s="51">
        <f t="shared" ref="J19" si="17">(D19+E19+F19+I19)*$C$3</f>
        <v>210.7602</v>
      </c>
      <c r="K19" s="45"/>
      <c r="L19" s="41"/>
    </row>
    <row r="20" spans="1:12" x14ac:dyDescent="0.25">
      <c r="A20" s="4" t="s">
        <v>227</v>
      </c>
      <c r="B20" s="4">
        <v>1</v>
      </c>
      <c r="C20" s="4">
        <v>7000</v>
      </c>
      <c r="D20" s="4">
        <f t="shared" ref="D20" si="18">B20*C20</f>
        <v>7000</v>
      </c>
      <c r="E20" s="4">
        <f t="shared" si="15"/>
        <v>350</v>
      </c>
      <c r="F20" s="4">
        <v>0</v>
      </c>
      <c r="G20" s="4">
        <v>0.2</v>
      </c>
      <c r="H20" s="4">
        <f t="shared" si="4"/>
        <v>0.2</v>
      </c>
      <c r="I20" s="4">
        <f>H20*$C$2</f>
        <v>1352</v>
      </c>
      <c r="J20" s="51">
        <f>(D20+E20+F20+I20)*$C$3</f>
        <v>261.93020000000001</v>
      </c>
      <c r="K20" s="36"/>
      <c r="L20" s="41"/>
    </row>
    <row r="21" spans="1:12" ht="26.25" x14ac:dyDescent="0.4">
      <c r="A21" s="31" t="s">
        <v>202</v>
      </c>
      <c r="B21" s="2"/>
      <c r="C21" s="2"/>
      <c r="D21" s="2"/>
      <c r="E21" s="2"/>
      <c r="F21" s="2"/>
      <c r="G21" s="2"/>
      <c r="H21" s="2"/>
      <c r="I21" s="2"/>
      <c r="J21" s="52">
        <f>SUM(J22:J25)</f>
        <v>1994.6216499999996</v>
      </c>
      <c r="K21" s="32">
        <f>1960+35</f>
        <v>1995</v>
      </c>
      <c r="L21" s="10">
        <f>K21-J21</f>
        <v>0.37835000000040964</v>
      </c>
    </row>
    <row r="22" spans="1:12" x14ac:dyDescent="0.25">
      <c r="A22" s="4" t="s">
        <v>228</v>
      </c>
      <c r="B22" s="4">
        <v>2</v>
      </c>
      <c r="C22" s="4">
        <v>8500</v>
      </c>
      <c r="D22" s="4">
        <f t="shared" ref="D22:D25" si="19">B22*C22</f>
        <v>17000</v>
      </c>
      <c r="E22" s="4">
        <f t="shared" ref="E22" si="20">D22*0.05</f>
        <v>850</v>
      </c>
      <c r="F22" s="4">
        <v>2500</v>
      </c>
      <c r="G22" s="4">
        <v>0.2</v>
      </c>
      <c r="H22" s="4">
        <f>G22*B22</f>
        <v>0.4</v>
      </c>
      <c r="I22" s="4">
        <f t="shared" ref="I22:I24" si="21">H22*$C$2</f>
        <v>2704</v>
      </c>
      <c r="J22" s="51">
        <f>(D22+E22+F22+I22)*$C$3</f>
        <v>693.92539999999997</v>
      </c>
      <c r="K22" s="36"/>
      <c r="L22" s="41"/>
    </row>
    <row r="23" spans="1:12" x14ac:dyDescent="0.25">
      <c r="A23" s="4" t="s">
        <v>229</v>
      </c>
      <c r="B23" s="4">
        <v>1</v>
      </c>
      <c r="C23" s="4">
        <v>10430</v>
      </c>
      <c r="D23" s="4">
        <f t="shared" si="19"/>
        <v>10430</v>
      </c>
      <c r="E23" s="4">
        <f>D23*0.05</f>
        <v>521.5</v>
      </c>
      <c r="F23" s="4">
        <v>2500</v>
      </c>
      <c r="G23" s="4">
        <v>0.2</v>
      </c>
      <c r="H23" s="4">
        <f t="shared" si="4"/>
        <v>0.2</v>
      </c>
      <c r="I23" s="4">
        <f t="shared" si="21"/>
        <v>1352</v>
      </c>
      <c r="J23" s="51">
        <f>(D23+E23+F23+I23)*$C$3</f>
        <v>445.58534999999995</v>
      </c>
      <c r="K23" s="36"/>
      <c r="L23" s="41"/>
    </row>
    <row r="24" spans="1:12" x14ac:dyDescent="0.25">
      <c r="A24" s="4" t="s">
        <v>199</v>
      </c>
      <c r="B24" s="4">
        <v>1</v>
      </c>
      <c r="C24" s="4">
        <v>18400</v>
      </c>
      <c r="D24" s="4">
        <f t="shared" si="19"/>
        <v>18400</v>
      </c>
      <c r="E24" s="4">
        <f t="shared" ref="E24:E25" si="22">D24*0.05</f>
        <v>920</v>
      </c>
      <c r="F24" s="4">
        <v>0</v>
      </c>
      <c r="G24" s="4">
        <v>0.2</v>
      </c>
      <c r="H24" s="4">
        <f t="shared" si="4"/>
        <v>0.2</v>
      </c>
      <c r="I24" s="4">
        <f t="shared" si="21"/>
        <v>1352</v>
      </c>
      <c r="J24" s="51">
        <f>(D24+E24+F24+I24)*$C$3</f>
        <v>622.22719999999993</v>
      </c>
      <c r="K24" s="36"/>
      <c r="L24" s="41"/>
    </row>
    <row r="25" spans="1:12" x14ac:dyDescent="0.25">
      <c r="A25" s="4" t="s">
        <v>199</v>
      </c>
      <c r="B25" s="4">
        <v>1</v>
      </c>
      <c r="C25" s="4">
        <v>3700</v>
      </c>
      <c r="D25" s="4">
        <f t="shared" si="19"/>
        <v>3700</v>
      </c>
      <c r="E25" s="4">
        <f t="shared" si="22"/>
        <v>185</v>
      </c>
      <c r="F25" s="4">
        <v>2500</v>
      </c>
      <c r="G25" s="4">
        <v>0.2</v>
      </c>
      <c r="H25" s="4">
        <f t="shared" si="4"/>
        <v>0.2</v>
      </c>
      <c r="I25" s="4">
        <f>H25*$C$2</f>
        <v>1352</v>
      </c>
      <c r="J25" s="51">
        <f>(D25+E25+F25+I25)*$C$3</f>
        <v>232.88369999999998</v>
      </c>
      <c r="K25" s="36"/>
      <c r="L25" s="41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77" zoomScaleNormal="77" workbookViewId="0">
      <selection activeCell="K24" sqref="K24"/>
    </sheetView>
  </sheetViews>
  <sheetFormatPr defaultRowHeight="15" x14ac:dyDescent="0.25"/>
  <cols>
    <col min="1" max="1" width="30.85546875" customWidth="1"/>
    <col min="3" max="3" width="17.7109375" customWidth="1"/>
    <col min="4" max="4" width="8.85546875" customWidth="1"/>
    <col min="10" max="10" width="11.7109375" customWidth="1"/>
    <col min="11" max="11" width="14.140625" customWidth="1"/>
    <col min="12" max="12" width="10.85546875" customWidth="1"/>
  </cols>
  <sheetData>
    <row r="1" spans="1:13" ht="21" x14ac:dyDescent="0.35">
      <c r="A1" s="55" t="s">
        <v>219</v>
      </c>
      <c r="B1" s="4"/>
      <c r="C1" s="15">
        <v>41558</v>
      </c>
      <c r="D1" s="30"/>
    </row>
    <row r="2" spans="1:13" ht="38.25" x14ac:dyDescent="0.35">
      <c r="A2" s="55" t="s">
        <v>239</v>
      </c>
      <c r="B2" s="4"/>
      <c r="C2" s="16">
        <v>6480</v>
      </c>
      <c r="D2" s="30"/>
    </row>
    <row r="3" spans="1:13" ht="21" x14ac:dyDescent="0.35">
      <c r="A3" s="55" t="s">
        <v>240</v>
      </c>
      <c r="B3" s="4"/>
      <c r="C3" s="16">
        <v>3.1E-2</v>
      </c>
      <c r="D3" s="30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31" t="s">
        <v>225</v>
      </c>
      <c r="B6" s="2"/>
      <c r="C6" s="2"/>
      <c r="D6" s="2"/>
      <c r="E6" s="2"/>
      <c r="F6" s="2"/>
      <c r="G6" s="2"/>
      <c r="H6" s="2"/>
      <c r="I6" s="2"/>
      <c r="J6" s="52">
        <f>J7</f>
        <v>387.23133333333334</v>
      </c>
      <c r="K6" s="10">
        <v>6.7</v>
      </c>
      <c r="L6" s="10">
        <f t="shared" ref="L6:L8" si="0">K6-J6</f>
        <v>-380.53133333333335</v>
      </c>
    </row>
    <row r="7" spans="1:13" x14ac:dyDescent="0.25">
      <c r="A7" s="35" t="s">
        <v>241</v>
      </c>
      <c r="B7" s="4">
        <v>1</v>
      </c>
      <c r="C7" s="4">
        <v>7400</v>
      </c>
      <c r="D7" s="4">
        <f t="shared" ref="D7" si="1">B7*C7</f>
        <v>7400</v>
      </c>
      <c r="E7" s="4">
        <f>D7*0.05</f>
        <v>370</v>
      </c>
      <c r="F7" s="4">
        <f>2500/3</f>
        <v>833.33333333333337</v>
      </c>
      <c r="G7" s="4">
        <v>0.6</v>
      </c>
      <c r="H7" s="4">
        <f>G7</f>
        <v>0.6</v>
      </c>
      <c r="I7" s="4">
        <f>H7*$C$2</f>
        <v>3888</v>
      </c>
      <c r="J7" s="51">
        <f>(D7+E7+F7+I7)*$C$3</f>
        <v>387.23133333333334</v>
      </c>
      <c r="K7" s="6"/>
      <c r="L7" s="17"/>
    </row>
    <row r="8" spans="1:13" ht="26.25" x14ac:dyDescent="0.4">
      <c r="A8" s="31" t="s">
        <v>268</v>
      </c>
      <c r="B8" s="2"/>
      <c r="C8" s="2"/>
      <c r="D8" s="2"/>
      <c r="E8" s="2"/>
      <c r="F8" s="2"/>
      <c r="G8" s="2"/>
      <c r="H8" s="2"/>
      <c r="I8" s="2"/>
      <c r="J8" s="52">
        <f>J9</f>
        <v>1028.0529999999999</v>
      </c>
      <c r="K8" s="10">
        <f>1010+18</f>
        <v>1028</v>
      </c>
      <c r="L8" s="10">
        <f t="shared" si="0"/>
        <v>-5.2999999999883585E-2</v>
      </c>
    </row>
    <row r="9" spans="1:13" x14ac:dyDescent="0.25">
      <c r="A9" t="s">
        <v>228</v>
      </c>
      <c r="B9">
        <v>3</v>
      </c>
      <c r="C9">
        <v>8500</v>
      </c>
      <c r="D9" s="4">
        <f t="shared" ref="D9" si="2">B9*C9</f>
        <v>25500</v>
      </c>
      <c r="E9" s="4">
        <f t="shared" ref="E9" si="3">D9*0.05</f>
        <v>1275</v>
      </c>
      <c r="F9">
        <v>2500</v>
      </c>
      <c r="G9">
        <v>0.2</v>
      </c>
      <c r="H9" s="4">
        <f>G9*B9</f>
        <v>0.60000000000000009</v>
      </c>
      <c r="I9" s="4">
        <f t="shared" ref="I9" si="4">H9*$C$2</f>
        <v>3888.0000000000005</v>
      </c>
      <c r="J9" s="51">
        <f>(D9+E9+F9+I9)*$C$3</f>
        <v>1028.0529999999999</v>
      </c>
      <c r="K9" s="6"/>
      <c r="L9" s="17"/>
    </row>
    <row r="10" spans="1:13" ht="26.25" x14ac:dyDescent="0.4">
      <c r="A10" s="31" t="s">
        <v>242</v>
      </c>
      <c r="B10" s="2"/>
      <c r="C10" s="2"/>
      <c r="D10" s="2"/>
      <c r="E10" s="2"/>
      <c r="F10" s="2"/>
      <c r="G10" s="2"/>
      <c r="H10" s="2"/>
      <c r="I10" s="2"/>
      <c r="J10" s="52">
        <f>J11</f>
        <v>308.6515</v>
      </c>
      <c r="K10" s="10">
        <f>304+5</f>
        <v>309</v>
      </c>
      <c r="L10" s="10">
        <f>K10-J10</f>
        <v>0.34850000000000136</v>
      </c>
      <c r="M10" s="82"/>
    </row>
    <row r="11" spans="1:13" x14ac:dyDescent="0.25">
      <c r="A11" s="84" t="s">
        <v>243</v>
      </c>
      <c r="B11" s="4">
        <v>1</v>
      </c>
      <c r="C11" s="4">
        <v>5250</v>
      </c>
      <c r="D11" s="4">
        <f t="shared" ref="D11" si="5">B11*C11</f>
        <v>5250</v>
      </c>
      <c r="E11" s="4">
        <f t="shared" ref="E11" si="6">D11*0.05</f>
        <v>262.5</v>
      </c>
      <c r="F11" s="4">
        <v>2500</v>
      </c>
      <c r="G11" s="4">
        <v>0.3</v>
      </c>
      <c r="H11" s="4">
        <f t="shared" ref="H11:H41" si="7">G11</f>
        <v>0.3</v>
      </c>
      <c r="I11" s="4">
        <f>H11*$C$2</f>
        <v>1944</v>
      </c>
      <c r="J11" s="51">
        <f>(D11+E11+F11+I11)*$C$3</f>
        <v>308.6515</v>
      </c>
      <c r="K11" s="6"/>
      <c r="L11" s="17"/>
    </row>
    <row r="12" spans="1:13" ht="26.25" x14ac:dyDescent="0.4">
      <c r="A12" s="1" t="s">
        <v>136</v>
      </c>
      <c r="B12" s="2"/>
      <c r="C12" s="2"/>
      <c r="D12" s="2"/>
      <c r="E12" s="2"/>
      <c r="F12" s="2"/>
      <c r="G12" s="2"/>
      <c r="H12" s="2"/>
      <c r="I12" s="2"/>
      <c r="J12" s="52">
        <f>J13</f>
        <v>274.15366666666671</v>
      </c>
      <c r="K12" s="10">
        <v>269</v>
      </c>
      <c r="L12" s="10">
        <f t="shared" ref="L12:L22" si="8">K12-J12</f>
        <v>-5.1536666666667088</v>
      </c>
    </row>
    <row r="13" spans="1:13" s="35" customFormat="1" x14ac:dyDescent="0.25">
      <c r="A13" s="3" t="s">
        <v>244</v>
      </c>
      <c r="B13" s="4">
        <v>1</v>
      </c>
      <c r="C13" s="4">
        <f>14200/2</f>
        <v>7100</v>
      </c>
      <c r="D13" s="44">
        <f t="shared" ref="D13" si="9">B13*C13</f>
        <v>7100</v>
      </c>
      <c r="E13" s="44">
        <f t="shared" ref="E13" si="10">D13*0.05</f>
        <v>355</v>
      </c>
      <c r="F13" s="4">
        <f>2500/6</f>
        <v>416.66666666666669</v>
      </c>
      <c r="G13" s="4">
        <f>0.3/2</f>
        <v>0.15</v>
      </c>
      <c r="H13" s="4">
        <f t="shared" si="7"/>
        <v>0.15</v>
      </c>
      <c r="I13" s="4">
        <f>H13*$C$2</f>
        <v>972</v>
      </c>
      <c r="J13" s="51">
        <f>(D13+E13+F13+I13)*$C$3</f>
        <v>274.15366666666671</v>
      </c>
      <c r="K13" s="86"/>
      <c r="L13" s="17"/>
    </row>
    <row r="14" spans="1:13" ht="26.25" x14ac:dyDescent="0.4">
      <c r="A14" s="1" t="s">
        <v>20</v>
      </c>
      <c r="B14" s="2"/>
      <c r="C14" s="2"/>
      <c r="D14" s="2"/>
      <c r="E14" s="2"/>
      <c r="F14" s="2"/>
      <c r="G14" s="2"/>
      <c r="H14" s="2"/>
      <c r="I14" s="2"/>
      <c r="J14" s="52">
        <f>J15</f>
        <v>1370.7683333333334</v>
      </c>
      <c r="K14" s="10">
        <f>1327+29</f>
        <v>1356</v>
      </c>
      <c r="L14" s="10">
        <f t="shared" si="8"/>
        <v>-14.76833333333343</v>
      </c>
    </row>
    <row r="15" spans="1:13" s="35" customFormat="1" x14ac:dyDescent="0.25">
      <c r="A15" s="3" t="s">
        <v>245</v>
      </c>
      <c r="B15" s="4">
        <v>5</v>
      </c>
      <c r="C15" s="4">
        <f>14200/2</f>
        <v>7100</v>
      </c>
      <c r="D15" s="44">
        <f>B15*C15</f>
        <v>35500</v>
      </c>
      <c r="E15" s="44">
        <f t="shared" ref="E15" si="11">D15*0.05</f>
        <v>1775</v>
      </c>
      <c r="F15" s="4">
        <f>2500/6*5</f>
        <v>2083.3333333333335</v>
      </c>
      <c r="G15" s="4">
        <f>0.3/2</f>
        <v>0.15</v>
      </c>
      <c r="H15" s="4">
        <f>G15*B15</f>
        <v>0.75</v>
      </c>
      <c r="I15" s="4">
        <f>H15*$C$2</f>
        <v>4860</v>
      </c>
      <c r="J15" s="51">
        <f>(D15+E15+F15+I15)*$C$3</f>
        <v>1370.7683333333334</v>
      </c>
      <c r="K15" s="86"/>
      <c r="L15" s="17"/>
    </row>
    <row r="16" spans="1:13" ht="26.25" x14ac:dyDescent="0.4">
      <c r="A16" s="1" t="s">
        <v>21</v>
      </c>
      <c r="B16" s="2"/>
      <c r="C16" s="2"/>
      <c r="D16" s="2"/>
      <c r="E16" s="2"/>
      <c r="F16" s="2"/>
      <c r="G16" s="2"/>
      <c r="H16" s="2"/>
      <c r="I16" s="2"/>
      <c r="J16" s="52">
        <f>J17</f>
        <v>1802.6376</v>
      </c>
      <c r="K16" s="10">
        <f>1785+18</f>
        <v>1803</v>
      </c>
      <c r="L16" s="10">
        <f t="shared" ref="L16" si="12">K16-J16</f>
        <v>0.36239999999997963</v>
      </c>
    </row>
    <row r="17" spans="1:12" s="35" customFormat="1" ht="19.899999999999999" customHeight="1" x14ac:dyDescent="0.25">
      <c r="A17" s="3" t="s">
        <v>246</v>
      </c>
      <c r="B17" s="4">
        <v>2</v>
      </c>
      <c r="C17" s="4">
        <v>23000</v>
      </c>
      <c r="D17" s="44">
        <f t="shared" ref="D17" si="13">B17*C17</f>
        <v>46000</v>
      </c>
      <c r="E17" s="44">
        <f t="shared" ref="E17" si="14">D17*0.05</f>
        <v>2300</v>
      </c>
      <c r="F17" s="4">
        <v>0</v>
      </c>
      <c r="G17" s="4">
        <f>0.76</f>
        <v>0.76</v>
      </c>
      <c r="H17" s="4">
        <f>G17*B17</f>
        <v>1.52</v>
      </c>
      <c r="I17" s="4">
        <f>H17*$C$2</f>
        <v>9849.6</v>
      </c>
      <c r="J17" s="51">
        <f>(D17+E17+F17+I17)*$C$3</f>
        <v>1802.6376</v>
      </c>
      <c r="K17" s="86"/>
      <c r="L17" s="17"/>
    </row>
    <row r="18" spans="1:12" ht="26.25" x14ac:dyDescent="0.4">
      <c r="A18" s="1" t="s">
        <v>247</v>
      </c>
      <c r="B18" s="2"/>
      <c r="C18" s="2"/>
      <c r="D18" s="2"/>
      <c r="E18" s="2"/>
      <c r="F18" s="2"/>
      <c r="G18" s="2"/>
      <c r="H18" s="2"/>
      <c r="I18" s="2"/>
      <c r="J18" s="52">
        <f>J19</f>
        <v>148.45486666666667</v>
      </c>
      <c r="K18" s="10">
        <v>147</v>
      </c>
      <c r="L18" s="10">
        <f>K18-J18</f>
        <v>-1.4548666666666747</v>
      </c>
    </row>
    <row r="19" spans="1:12" x14ac:dyDescent="0.25">
      <c r="A19" s="84" t="s">
        <v>248</v>
      </c>
      <c r="B19" s="4">
        <v>1</v>
      </c>
      <c r="C19" s="4">
        <f>9900/3</f>
        <v>3300</v>
      </c>
      <c r="D19" s="4">
        <f t="shared" ref="D19" si="15">B19*C19</f>
        <v>3300</v>
      </c>
      <c r="E19" s="4">
        <f t="shared" ref="E19" si="16">D19*0.05</f>
        <v>165</v>
      </c>
      <c r="F19" s="4">
        <f>2500/6</f>
        <v>416.66666666666669</v>
      </c>
      <c r="G19" s="4">
        <f>0.42/3</f>
        <v>0.13999999999999999</v>
      </c>
      <c r="H19" s="4">
        <f t="shared" si="7"/>
        <v>0.13999999999999999</v>
      </c>
      <c r="I19" s="4">
        <f>H19*$C$2</f>
        <v>907.19999999999993</v>
      </c>
      <c r="J19" s="51">
        <f>(D19+E19+F19+I19)*$C$3</f>
        <v>148.45486666666667</v>
      </c>
      <c r="K19" s="6"/>
      <c r="L19" s="17"/>
    </row>
    <row r="20" spans="1:12" ht="26.25" x14ac:dyDescent="0.4">
      <c r="A20" s="1" t="s">
        <v>249</v>
      </c>
      <c r="B20" s="2"/>
      <c r="C20" s="2"/>
      <c r="D20" s="2"/>
      <c r="E20" s="2"/>
      <c r="F20" s="2"/>
      <c r="G20" s="2"/>
      <c r="H20" s="2"/>
      <c r="I20" s="2"/>
      <c r="J20" s="52">
        <f>J21</f>
        <v>342.68433333333337</v>
      </c>
      <c r="K20" s="10">
        <v>311</v>
      </c>
      <c r="L20" s="10">
        <f t="shared" ref="L20" si="17">K20-J20</f>
        <v>-31.68433333333337</v>
      </c>
    </row>
    <row r="21" spans="1:12" s="35" customFormat="1" x14ac:dyDescent="0.25">
      <c r="A21" s="84" t="s">
        <v>250</v>
      </c>
      <c r="B21" s="4">
        <v>1</v>
      </c>
      <c r="C21" s="4">
        <v>8500</v>
      </c>
      <c r="D21" s="44">
        <f t="shared" ref="D21" si="18">B21*C21</f>
        <v>8500</v>
      </c>
      <c r="E21" s="44">
        <f t="shared" ref="E21" si="19">D21*0.05</f>
        <v>425</v>
      </c>
      <c r="F21" s="4">
        <f>2500/3</f>
        <v>833.33333333333337</v>
      </c>
      <c r="G21" s="4">
        <v>0.2</v>
      </c>
      <c r="H21" s="4">
        <f t="shared" ref="H21" si="20">G21</f>
        <v>0.2</v>
      </c>
      <c r="I21" s="4">
        <f>H21*$C$2</f>
        <v>1296</v>
      </c>
      <c r="J21" s="51">
        <f>(D21+E21+F21+I21)*$C$3</f>
        <v>342.68433333333337</v>
      </c>
      <c r="K21" s="86"/>
      <c r="L21" s="17"/>
    </row>
    <row r="22" spans="1:12" ht="26.25" x14ac:dyDescent="0.4">
      <c r="A22" s="1" t="s">
        <v>251</v>
      </c>
      <c r="B22" s="2"/>
      <c r="C22" s="2"/>
      <c r="D22" s="2"/>
      <c r="E22" s="2"/>
      <c r="F22" s="2"/>
      <c r="G22" s="2"/>
      <c r="H22" s="2"/>
      <c r="I22" s="2"/>
      <c r="J22" s="52">
        <f>SUM(J23:J24)</f>
        <v>925.69720000000007</v>
      </c>
      <c r="K22" s="10">
        <f>910+16</f>
        <v>926</v>
      </c>
      <c r="L22" s="10">
        <f t="shared" si="8"/>
        <v>0.30279999999993379</v>
      </c>
    </row>
    <row r="23" spans="1:12" x14ac:dyDescent="0.25">
      <c r="A23" s="84" t="s">
        <v>252</v>
      </c>
      <c r="B23" s="4">
        <v>1</v>
      </c>
      <c r="C23" s="4">
        <v>3800</v>
      </c>
      <c r="D23" s="4">
        <f>B23*C23</f>
        <v>3800</v>
      </c>
      <c r="E23" s="4">
        <f t="shared" ref="E23:E24" si="21">D23*0.05</f>
        <v>190</v>
      </c>
      <c r="F23" s="4">
        <v>2500</v>
      </c>
      <c r="G23" s="4">
        <v>0.3</v>
      </c>
      <c r="H23" s="4">
        <f t="shared" si="7"/>
        <v>0.3</v>
      </c>
      <c r="I23" s="4">
        <f t="shared" ref="I23" si="22">H23*$C$2</f>
        <v>1944</v>
      </c>
      <c r="J23" s="51">
        <f t="shared" ref="J23" si="23">(D23+E23+F23+I23)*$C$3</f>
        <v>261.45400000000001</v>
      </c>
      <c r="K23" s="6"/>
      <c r="L23" s="17"/>
    </row>
    <row r="24" spans="1:12" x14ac:dyDescent="0.25">
      <c r="A24" s="84" t="s">
        <v>253</v>
      </c>
      <c r="B24" s="4">
        <v>1</v>
      </c>
      <c r="C24" s="4">
        <v>18000</v>
      </c>
      <c r="D24" s="4">
        <f t="shared" ref="D24" si="24">B24*C24</f>
        <v>18000</v>
      </c>
      <c r="E24" s="4">
        <f t="shared" si="21"/>
        <v>900</v>
      </c>
      <c r="F24" s="4">
        <v>0</v>
      </c>
      <c r="G24" s="4">
        <v>0.39</v>
      </c>
      <c r="H24" s="4">
        <f t="shared" si="7"/>
        <v>0.39</v>
      </c>
      <c r="I24" s="4">
        <f>H24*$C$2</f>
        <v>2527.2000000000003</v>
      </c>
      <c r="J24" s="51">
        <f>(D24+E24+F24+I24)*$C$3</f>
        <v>664.2432</v>
      </c>
      <c r="K24" s="6"/>
      <c r="L24" s="17"/>
    </row>
    <row r="25" spans="1:12" ht="26.25" x14ac:dyDescent="0.4">
      <c r="A25" s="1" t="s">
        <v>254</v>
      </c>
      <c r="B25" s="2"/>
      <c r="C25" s="2"/>
      <c r="D25" s="2"/>
      <c r="E25" s="2"/>
      <c r="F25" s="2"/>
      <c r="G25" s="2"/>
      <c r="H25" s="2"/>
      <c r="I25" s="2"/>
      <c r="J25" s="52">
        <f>SUM(J26:J28)</f>
        <v>1239.0265999999999</v>
      </c>
      <c r="K25" s="2">
        <v>1220</v>
      </c>
      <c r="L25" s="10">
        <f>K25-J25</f>
        <v>-19.026599999999917</v>
      </c>
    </row>
    <row r="26" spans="1:12" x14ac:dyDescent="0.25">
      <c r="A26" s="84" t="s">
        <v>166</v>
      </c>
      <c r="B26" s="4">
        <v>1</v>
      </c>
      <c r="C26" s="4">
        <v>9900</v>
      </c>
      <c r="D26" s="4">
        <f t="shared" ref="D26:D28" si="25">B26*C26</f>
        <v>9900</v>
      </c>
      <c r="E26" s="4">
        <f t="shared" ref="E26" si="26">D26*0.05</f>
        <v>495</v>
      </c>
      <c r="F26" s="4">
        <v>2500</v>
      </c>
      <c r="G26" s="4">
        <v>0.3</v>
      </c>
      <c r="H26" s="4">
        <f>G26*B26</f>
        <v>0.3</v>
      </c>
      <c r="I26" s="4">
        <f t="shared" ref="I26:I28" si="27">H26*$C$2</f>
        <v>1944</v>
      </c>
      <c r="J26" s="51">
        <f>(D26+E26+F26+I26)*$C$3</f>
        <v>460.00900000000001</v>
      </c>
      <c r="K26" s="6"/>
      <c r="L26" s="17"/>
    </row>
    <row r="27" spans="1:12" x14ac:dyDescent="0.25">
      <c r="A27" s="84" t="s">
        <v>255</v>
      </c>
      <c r="B27" s="4">
        <v>1</v>
      </c>
      <c r="C27" s="4">
        <v>9800</v>
      </c>
      <c r="D27" s="4">
        <f t="shared" si="25"/>
        <v>9800</v>
      </c>
      <c r="E27" s="4">
        <f>D27*0.05</f>
        <v>490</v>
      </c>
      <c r="F27" s="4">
        <v>2500</v>
      </c>
      <c r="G27" s="4">
        <v>0.47</v>
      </c>
      <c r="H27" s="4">
        <f t="shared" ref="H27:H28" si="28">G27</f>
        <v>0.47</v>
      </c>
      <c r="I27" s="4">
        <f t="shared" si="27"/>
        <v>3045.6</v>
      </c>
      <c r="J27" s="51">
        <f>(D27+E27+F27+I27)*$C$3</f>
        <v>490.90359999999998</v>
      </c>
      <c r="K27" s="6"/>
      <c r="L27" s="17"/>
    </row>
    <row r="28" spans="1:12" x14ac:dyDescent="0.25">
      <c r="A28" s="84" t="s">
        <v>256</v>
      </c>
      <c r="B28" s="4">
        <v>1</v>
      </c>
      <c r="C28" s="4">
        <v>7000</v>
      </c>
      <c r="D28" s="4">
        <f t="shared" si="25"/>
        <v>7000</v>
      </c>
      <c r="E28" s="4">
        <f t="shared" ref="E28" si="29">D28*0.05</f>
        <v>350</v>
      </c>
      <c r="F28" s="4">
        <v>0</v>
      </c>
      <c r="G28" s="4">
        <v>0.3</v>
      </c>
      <c r="H28" s="4">
        <f t="shared" si="28"/>
        <v>0.3</v>
      </c>
      <c r="I28" s="4">
        <f t="shared" si="27"/>
        <v>1944</v>
      </c>
      <c r="J28" s="51">
        <f>(D28+E28+F28+I28)*$C$3</f>
        <v>288.11399999999998</v>
      </c>
      <c r="K28" s="6"/>
      <c r="L28" s="17"/>
    </row>
    <row r="29" spans="1:12" ht="26.25" x14ac:dyDescent="0.4">
      <c r="A29" s="31" t="s">
        <v>96</v>
      </c>
      <c r="B29" s="2"/>
      <c r="C29" s="2"/>
      <c r="D29" s="2"/>
      <c r="E29" s="2"/>
      <c r="F29" s="2"/>
      <c r="G29" s="2"/>
      <c r="H29" s="2"/>
      <c r="I29" s="2"/>
      <c r="J29" s="52">
        <f>SUM(J30:J32)</f>
        <v>1317.1280000000002</v>
      </c>
      <c r="K29" s="2">
        <f>1288+8</f>
        <v>1296</v>
      </c>
      <c r="L29" s="10">
        <f>K29-J29</f>
        <v>-21.128000000000156</v>
      </c>
    </row>
    <row r="30" spans="1:12" x14ac:dyDescent="0.25">
      <c r="A30" s="84" t="s">
        <v>257</v>
      </c>
      <c r="B30" s="4">
        <v>1</v>
      </c>
      <c r="C30" s="4">
        <v>7800</v>
      </c>
      <c r="D30" s="4">
        <f t="shared" ref="D30:D32" si="30">B30*C30</f>
        <v>7800</v>
      </c>
      <c r="E30" s="4">
        <f t="shared" ref="E30" si="31">D30*0.05</f>
        <v>390</v>
      </c>
      <c r="F30" s="4">
        <v>2500</v>
      </c>
      <c r="G30" s="4">
        <v>0.2</v>
      </c>
      <c r="H30" s="4">
        <f>G30*B30</f>
        <v>0.2</v>
      </c>
      <c r="I30" s="4">
        <f t="shared" ref="I30:I32" si="32">H30*$C$2</f>
        <v>1296</v>
      </c>
      <c r="J30" s="51">
        <f>(D30+E30+F30+I30)*$C$3</f>
        <v>371.56599999999997</v>
      </c>
      <c r="K30" s="6"/>
      <c r="L30" s="17"/>
    </row>
    <row r="31" spans="1:12" x14ac:dyDescent="0.25">
      <c r="A31" s="84" t="s">
        <v>258</v>
      </c>
      <c r="B31" s="4">
        <v>1</v>
      </c>
      <c r="C31" s="4">
        <v>12800</v>
      </c>
      <c r="D31" s="4">
        <f t="shared" si="30"/>
        <v>12800</v>
      </c>
      <c r="E31" s="4">
        <f>D31*0.05</f>
        <v>640</v>
      </c>
      <c r="F31" s="4">
        <v>2500</v>
      </c>
      <c r="G31" s="4">
        <v>0.2</v>
      </c>
      <c r="H31" s="4">
        <f t="shared" ref="H31:H32" si="33">G31</f>
        <v>0.2</v>
      </c>
      <c r="I31" s="4">
        <f t="shared" si="32"/>
        <v>1296</v>
      </c>
      <c r="J31" s="51">
        <f>(D31+E31+F31+I31)*$C$3</f>
        <v>534.31600000000003</v>
      </c>
      <c r="K31" s="6"/>
      <c r="L31" s="17"/>
    </row>
    <row r="32" spans="1:12" x14ac:dyDescent="0.25">
      <c r="A32" s="84" t="s">
        <v>259</v>
      </c>
      <c r="B32" s="4">
        <v>1</v>
      </c>
      <c r="C32" s="4">
        <v>11400</v>
      </c>
      <c r="D32" s="4">
        <f t="shared" si="30"/>
        <v>11400</v>
      </c>
      <c r="E32" s="4">
        <f t="shared" ref="E32" si="34">D32*0.05</f>
        <v>570</v>
      </c>
      <c r="F32" s="4">
        <v>0</v>
      </c>
      <c r="G32" s="4">
        <v>0.2</v>
      </c>
      <c r="H32" s="4">
        <f t="shared" si="33"/>
        <v>0.2</v>
      </c>
      <c r="I32" s="4">
        <f t="shared" si="32"/>
        <v>1296</v>
      </c>
      <c r="J32" s="51">
        <f>(D32+E32+F32+I32)*$C$3</f>
        <v>411.24599999999998</v>
      </c>
      <c r="K32" s="6"/>
      <c r="L32" s="17"/>
    </row>
    <row r="33" spans="1:12" ht="26.25" x14ac:dyDescent="0.4">
      <c r="A33" s="85" t="s">
        <v>260</v>
      </c>
      <c r="B33" s="2"/>
      <c r="C33" s="2"/>
      <c r="D33" s="2"/>
      <c r="E33" s="2"/>
      <c r="F33" s="2"/>
      <c r="G33" s="2"/>
      <c r="H33" s="2"/>
      <c r="I33" s="2"/>
      <c r="J33" s="52">
        <f>SUM(J34:J36)</f>
        <v>1343.9430000000002</v>
      </c>
      <c r="K33" s="2">
        <f>1318+26</f>
        <v>1344</v>
      </c>
      <c r="L33" s="10">
        <f>K33-J33</f>
        <v>5.6999999999788997E-2</v>
      </c>
    </row>
    <row r="34" spans="1:12" x14ac:dyDescent="0.25">
      <c r="A34" s="3" t="s">
        <v>261</v>
      </c>
      <c r="B34" s="5">
        <v>1</v>
      </c>
      <c r="C34" s="4">
        <v>6000</v>
      </c>
      <c r="D34" s="4">
        <f t="shared" ref="D34:D36" si="35">B34*C34</f>
        <v>6000</v>
      </c>
      <c r="E34" s="4">
        <f t="shared" ref="E34" si="36">D34*0.05</f>
        <v>300</v>
      </c>
      <c r="F34" s="4">
        <v>2500</v>
      </c>
      <c r="G34" s="4">
        <v>0.3</v>
      </c>
      <c r="H34" s="4">
        <f>G34*B34</f>
        <v>0.3</v>
      </c>
      <c r="I34" s="4">
        <f t="shared" ref="I34:I36" si="37">H34*$C$2</f>
        <v>1944</v>
      </c>
      <c r="J34" s="51">
        <f>(D34+E34+F34+I34)*$C$3</f>
        <v>333.06400000000002</v>
      </c>
      <c r="K34" s="6"/>
      <c r="L34" s="17"/>
    </row>
    <row r="35" spans="1:12" x14ac:dyDescent="0.25">
      <c r="A35" s="3" t="s">
        <v>262</v>
      </c>
      <c r="B35" s="4">
        <v>1</v>
      </c>
      <c r="C35" s="4">
        <v>10900</v>
      </c>
      <c r="D35" s="4">
        <f t="shared" si="35"/>
        <v>10900</v>
      </c>
      <c r="E35" s="4">
        <f>D35*0.05</f>
        <v>545</v>
      </c>
      <c r="F35" s="4">
        <v>2500</v>
      </c>
      <c r="G35" s="4">
        <v>0.2</v>
      </c>
      <c r="H35" s="4">
        <f t="shared" ref="H35:H36" si="38">G35</f>
        <v>0.2</v>
      </c>
      <c r="I35" s="4">
        <f t="shared" si="37"/>
        <v>1296</v>
      </c>
      <c r="J35" s="51">
        <f>(D35+E35+F35+I35)*$C$3</f>
        <v>472.471</v>
      </c>
      <c r="K35" s="6"/>
      <c r="L35" s="17"/>
    </row>
    <row r="36" spans="1:12" x14ac:dyDescent="0.25">
      <c r="A36" s="3" t="s">
        <v>263</v>
      </c>
      <c r="B36" s="5">
        <v>1</v>
      </c>
      <c r="C36" s="4">
        <v>12000</v>
      </c>
      <c r="D36" s="4">
        <f t="shared" si="35"/>
        <v>12000</v>
      </c>
      <c r="E36" s="4">
        <f t="shared" ref="E36" si="39">D36*0.05</f>
        <v>600</v>
      </c>
      <c r="F36" s="4">
        <v>2500</v>
      </c>
      <c r="G36" s="4">
        <f>0.35</f>
        <v>0.35</v>
      </c>
      <c r="H36" s="4">
        <f t="shared" si="38"/>
        <v>0.35</v>
      </c>
      <c r="I36" s="4">
        <f t="shared" si="37"/>
        <v>2268</v>
      </c>
      <c r="J36" s="51">
        <f>(D36+E36+F36+I36)*$C$3</f>
        <v>538.40800000000002</v>
      </c>
      <c r="K36" s="6"/>
      <c r="L36" s="17"/>
    </row>
    <row r="37" spans="1:12" ht="26.25" x14ac:dyDescent="0.4">
      <c r="A37" s="1" t="s">
        <v>267</v>
      </c>
      <c r="B37" s="2"/>
      <c r="C37" s="2"/>
      <c r="D37" s="2"/>
      <c r="E37" s="2"/>
      <c r="F37" s="2"/>
      <c r="G37" s="2"/>
      <c r="H37" s="2"/>
      <c r="I37" s="2"/>
      <c r="J37" s="52">
        <f>SUM(J38:J42)</f>
        <v>2316.5928000000004</v>
      </c>
      <c r="K37" s="2">
        <f>1406+872</f>
        <v>2278</v>
      </c>
      <c r="L37" s="10">
        <f>K37-J37</f>
        <v>-38.592800000000352</v>
      </c>
    </row>
    <row r="38" spans="1:12" x14ac:dyDescent="0.25">
      <c r="A38" s="84" t="s">
        <v>264</v>
      </c>
      <c r="B38" s="4">
        <v>2</v>
      </c>
      <c r="C38" s="4">
        <v>6000</v>
      </c>
      <c r="D38" s="4">
        <f t="shared" ref="D38:D41" si="40">B38*C38</f>
        <v>12000</v>
      </c>
      <c r="E38" s="4">
        <f t="shared" ref="E38" si="41">D38*0.05</f>
        <v>600</v>
      </c>
      <c r="F38" s="4">
        <v>0</v>
      </c>
      <c r="G38" s="4">
        <v>0.2</v>
      </c>
      <c r="H38" s="4">
        <f>G38*B38</f>
        <v>0.4</v>
      </c>
      <c r="I38" s="4">
        <f t="shared" ref="I38:I40" si="42">H38*$C$2</f>
        <v>2592</v>
      </c>
      <c r="J38" s="51">
        <f>(D38+E38+F38+I38)*$C$3</f>
        <v>470.952</v>
      </c>
      <c r="K38" s="6"/>
      <c r="L38" s="17"/>
    </row>
    <row r="39" spans="1:12" x14ac:dyDescent="0.25">
      <c r="A39" s="84" t="s">
        <v>265</v>
      </c>
      <c r="B39" s="4">
        <v>1</v>
      </c>
      <c r="C39" s="4">
        <v>7000</v>
      </c>
      <c r="D39" s="4">
        <f t="shared" si="40"/>
        <v>7000</v>
      </c>
      <c r="E39" s="4">
        <f>D39*0.05</f>
        <v>350</v>
      </c>
      <c r="F39" s="4">
        <v>0</v>
      </c>
      <c r="G39" s="4">
        <v>0.2</v>
      </c>
      <c r="H39" s="4">
        <f t="shared" si="7"/>
        <v>0.2</v>
      </c>
      <c r="I39" s="4">
        <f t="shared" si="42"/>
        <v>1296</v>
      </c>
      <c r="J39" s="51">
        <f>(D39+E39+F39+I39)*$C$3</f>
        <v>268.02600000000001</v>
      </c>
      <c r="K39" s="6"/>
      <c r="L39" s="17"/>
    </row>
    <row r="40" spans="1:12" x14ac:dyDescent="0.25">
      <c r="A40" s="84" t="s">
        <v>162</v>
      </c>
      <c r="B40" s="4">
        <v>1</v>
      </c>
      <c r="C40" s="4">
        <v>15000</v>
      </c>
      <c r="D40" s="4">
        <f t="shared" si="40"/>
        <v>15000</v>
      </c>
      <c r="E40" s="4">
        <f t="shared" ref="E40:E41" si="43">D40*0.05</f>
        <v>750</v>
      </c>
      <c r="F40" s="4">
        <v>0</v>
      </c>
      <c r="G40" s="4">
        <v>0.5</v>
      </c>
      <c r="H40" s="4">
        <f t="shared" si="7"/>
        <v>0.5</v>
      </c>
      <c r="I40" s="4">
        <f t="shared" si="42"/>
        <v>3240</v>
      </c>
      <c r="J40" s="51">
        <f>(D40+E40+F40+I40)*$C$3</f>
        <v>588.68999999999994</v>
      </c>
      <c r="K40" s="6"/>
      <c r="L40" s="17"/>
    </row>
    <row r="41" spans="1:12" x14ac:dyDescent="0.25">
      <c r="A41" s="84" t="s">
        <v>261</v>
      </c>
      <c r="B41" s="4">
        <v>1</v>
      </c>
      <c r="C41" s="4">
        <v>12000</v>
      </c>
      <c r="D41" s="4">
        <f t="shared" si="40"/>
        <v>12000</v>
      </c>
      <c r="E41" s="4">
        <f t="shared" si="43"/>
        <v>600</v>
      </c>
      <c r="F41" s="4">
        <v>0</v>
      </c>
      <c r="G41" s="4">
        <v>0.3</v>
      </c>
      <c r="H41" s="4">
        <f t="shared" si="7"/>
        <v>0.3</v>
      </c>
      <c r="I41" s="4">
        <f>H41*$C$2</f>
        <v>1944</v>
      </c>
      <c r="J41" s="51">
        <f>(D41+E41+F41+I41)*$C$3</f>
        <v>450.86399999999998</v>
      </c>
      <c r="K41" s="6"/>
      <c r="L41" s="17"/>
    </row>
    <row r="42" spans="1:12" x14ac:dyDescent="0.25">
      <c r="A42" s="84" t="s">
        <v>266</v>
      </c>
      <c r="B42" s="4">
        <v>1</v>
      </c>
      <c r="C42" s="4">
        <v>14000</v>
      </c>
      <c r="D42" s="4">
        <f t="shared" ref="D42" si="44">B42*C42</f>
        <v>14000</v>
      </c>
      <c r="E42" s="4">
        <f t="shared" ref="E42" si="45">D42*0.05</f>
        <v>700</v>
      </c>
      <c r="F42" s="4">
        <v>0</v>
      </c>
      <c r="G42" s="4">
        <v>0.41</v>
      </c>
      <c r="H42" s="4">
        <f t="shared" ref="H42" si="46">G42</f>
        <v>0.41</v>
      </c>
      <c r="I42" s="4">
        <f t="shared" ref="I42" si="47">H42*$C$2</f>
        <v>2656.7999999999997</v>
      </c>
      <c r="J42" s="51">
        <f>(D42+E42+F42+I42)*$C$3</f>
        <v>538.06079999999997</v>
      </c>
      <c r="K42" s="4"/>
      <c r="L42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="78" zoomScaleNormal="78" workbookViewId="0">
      <selection activeCell="C3" sqref="C3"/>
    </sheetView>
  </sheetViews>
  <sheetFormatPr defaultRowHeight="15" x14ac:dyDescent="0.25"/>
  <cols>
    <col min="1" max="1" width="30.85546875" customWidth="1"/>
    <col min="3" max="3" width="17.7109375" customWidth="1"/>
    <col min="4" max="4" width="8.85546875" customWidth="1"/>
    <col min="10" max="10" width="11.28515625" customWidth="1"/>
    <col min="11" max="11" width="10" customWidth="1"/>
    <col min="12" max="12" width="10.85546875" customWidth="1"/>
  </cols>
  <sheetData>
    <row r="1" spans="1:13" ht="21" x14ac:dyDescent="0.35">
      <c r="A1" s="55" t="s">
        <v>219</v>
      </c>
      <c r="B1" s="4"/>
      <c r="C1" s="15">
        <v>41565</v>
      </c>
      <c r="D1" s="30"/>
    </row>
    <row r="2" spans="1:13" ht="38.25" x14ac:dyDescent="0.35">
      <c r="A2" s="55" t="s">
        <v>239</v>
      </c>
      <c r="B2" s="4"/>
      <c r="C2" s="16">
        <v>6630</v>
      </c>
      <c r="D2" s="30"/>
    </row>
    <row r="3" spans="1:13" ht="21" x14ac:dyDescent="0.35">
      <c r="A3" s="55" t="s">
        <v>240</v>
      </c>
      <c r="B3" s="4"/>
      <c r="C3" s="16">
        <v>3.0099999999999998E-2</v>
      </c>
      <c r="D3" s="30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87" t="s">
        <v>31</v>
      </c>
      <c r="B6" s="88"/>
      <c r="C6" s="88"/>
      <c r="D6" s="2"/>
      <c r="E6" s="2"/>
      <c r="F6" s="2"/>
      <c r="G6" s="2"/>
      <c r="H6" s="2"/>
      <c r="I6" s="2"/>
      <c r="J6" s="52">
        <f>J7</f>
        <v>579.15409999999997</v>
      </c>
      <c r="K6" s="10">
        <v>572</v>
      </c>
      <c r="L6" s="10">
        <f t="shared" ref="L6:L8" si="0">K6-J6</f>
        <v>-7.1540999999999713</v>
      </c>
    </row>
    <row r="7" spans="1:13" x14ac:dyDescent="0.25">
      <c r="A7" s="4" t="s">
        <v>199</v>
      </c>
      <c r="B7" s="4">
        <v>1</v>
      </c>
      <c r="C7" s="4">
        <f>10440+3800</f>
        <v>14240</v>
      </c>
      <c r="D7" s="4">
        <f t="shared" ref="D7" si="1">B7*C7</f>
        <v>14240</v>
      </c>
      <c r="E7" s="4">
        <f>D7*0.05</f>
        <v>712</v>
      </c>
      <c r="F7" s="4">
        <v>2300</v>
      </c>
      <c r="G7" s="4">
        <v>0.3</v>
      </c>
      <c r="H7" s="4">
        <f>G7</f>
        <v>0.3</v>
      </c>
      <c r="I7" s="4">
        <f>H7*$C$2</f>
        <v>1989</v>
      </c>
      <c r="J7" s="51">
        <f>(D7+E7+F7+I7)*$C$3</f>
        <v>579.15409999999997</v>
      </c>
      <c r="K7" s="6"/>
      <c r="L7" s="17"/>
    </row>
    <row r="8" spans="1:13" ht="31.5" x14ac:dyDescent="0.5">
      <c r="A8" s="87" t="s">
        <v>191</v>
      </c>
      <c r="B8" s="59"/>
      <c r="C8" s="59"/>
      <c r="D8" s="2"/>
      <c r="E8" s="2"/>
      <c r="F8" s="2"/>
      <c r="G8" s="2"/>
      <c r="H8" s="2"/>
      <c r="I8" s="2"/>
      <c r="J8" s="52">
        <f>J9</f>
        <v>490.87079999999997</v>
      </c>
      <c r="K8" s="10">
        <v>492</v>
      </c>
      <c r="L8" s="10">
        <f t="shared" si="0"/>
        <v>1.1292000000000257</v>
      </c>
    </row>
    <row r="9" spans="1:13" x14ac:dyDescent="0.25">
      <c r="A9" s="4" t="s">
        <v>277</v>
      </c>
      <c r="B9" s="4">
        <v>1</v>
      </c>
      <c r="C9" s="4">
        <f>29800/2</f>
        <v>14900</v>
      </c>
      <c r="D9" s="4">
        <f t="shared" ref="D9" si="2">B9*C9</f>
        <v>14900</v>
      </c>
      <c r="E9" s="4">
        <f t="shared" ref="E9" si="3">D9*0.05</f>
        <v>745</v>
      </c>
      <c r="F9" s="4">
        <v>0</v>
      </c>
      <c r="G9" s="4">
        <f>0.1</f>
        <v>0.1</v>
      </c>
      <c r="H9" s="4">
        <f>G9*B9</f>
        <v>0.1</v>
      </c>
      <c r="I9" s="4">
        <f t="shared" ref="I9" si="4">H9*$C$2</f>
        <v>663</v>
      </c>
      <c r="J9" s="51">
        <f>(D9+E9+F9+I9)*$C$3</f>
        <v>490.87079999999997</v>
      </c>
      <c r="K9" s="6"/>
      <c r="L9" s="17"/>
    </row>
    <row r="10" spans="1:13" ht="26.25" x14ac:dyDescent="0.4">
      <c r="A10" s="1" t="s">
        <v>271</v>
      </c>
      <c r="B10" s="2"/>
      <c r="C10" s="2"/>
      <c r="D10" s="2"/>
      <c r="E10" s="2"/>
      <c r="F10" s="2"/>
      <c r="G10" s="2"/>
      <c r="H10" s="2"/>
      <c r="I10" s="2"/>
      <c r="J10" s="52">
        <f>J11</f>
        <v>513.98759999999993</v>
      </c>
      <c r="K10" s="10"/>
      <c r="L10" s="10">
        <f>K10-J10</f>
        <v>-513.98759999999993</v>
      </c>
      <c r="M10" s="82"/>
    </row>
    <row r="11" spans="1:13" x14ac:dyDescent="0.25">
      <c r="A11" s="4" t="s">
        <v>67</v>
      </c>
      <c r="B11" s="4">
        <v>1</v>
      </c>
      <c r="C11" s="4">
        <v>15000</v>
      </c>
      <c r="D11" s="4">
        <f t="shared" ref="D11" si="5">B11*C11</f>
        <v>15000</v>
      </c>
      <c r="E11" s="4">
        <f t="shared" ref="E11" si="6">D11*0.05</f>
        <v>750</v>
      </c>
      <c r="F11" s="4">
        <v>0</v>
      </c>
      <c r="G11" s="4">
        <v>0.2</v>
      </c>
      <c r="H11" s="4">
        <f t="shared" ref="H11:H23" si="7">G11</f>
        <v>0.2</v>
      </c>
      <c r="I11" s="4">
        <f>H11*$C$2</f>
        <v>1326</v>
      </c>
      <c r="J11" s="51">
        <f>(D11+E11+F11+I11)*$C$3</f>
        <v>513.98759999999993</v>
      </c>
      <c r="K11" s="6"/>
      <c r="L11" s="17"/>
    </row>
    <row r="12" spans="1:13" ht="26.25" x14ac:dyDescent="0.4">
      <c r="A12" s="87" t="s">
        <v>2</v>
      </c>
      <c r="B12" s="88"/>
      <c r="C12" s="88"/>
      <c r="D12" s="2"/>
      <c r="E12" s="2"/>
      <c r="F12" s="2"/>
      <c r="G12" s="2"/>
      <c r="H12" s="2"/>
      <c r="I12" s="2"/>
      <c r="J12" s="52">
        <f>SUM(J13:J15)</f>
        <v>1039.5496533333333</v>
      </c>
      <c r="K12" s="2">
        <v>1052</v>
      </c>
      <c r="L12" s="10">
        <f>K12-J12</f>
        <v>12.450346666666746</v>
      </c>
    </row>
    <row r="13" spans="1:13" x14ac:dyDescent="0.25">
      <c r="A13" s="4" t="s">
        <v>67</v>
      </c>
      <c r="B13" s="4">
        <v>1</v>
      </c>
      <c r="C13" s="4">
        <v>15000</v>
      </c>
      <c r="D13" s="4">
        <f t="shared" ref="D13:D15" si="8">B13*C13</f>
        <v>15000</v>
      </c>
      <c r="E13" s="4">
        <f t="shared" ref="E13" si="9">D13*0.05</f>
        <v>750</v>
      </c>
      <c r="F13" s="4">
        <v>0</v>
      </c>
      <c r="G13" s="4">
        <v>0.2</v>
      </c>
      <c r="H13" s="4">
        <f>G13*B13</f>
        <v>0.2</v>
      </c>
      <c r="I13" s="4">
        <f t="shared" ref="I13:I15" si="10">H13*$C$2</f>
        <v>1326</v>
      </c>
      <c r="J13" s="51">
        <f>(D13+E13+F13+I13)*$C$3</f>
        <v>513.98759999999993</v>
      </c>
      <c r="K13" s="6"/>
      <c r="L13" s="17"/>
    </row>
    <row r="14" spans="1:13" x14ac:dyDescent="0.25">
      <c r="A14" s="4" t="s">
        <v>172</v>
      </c>
      <c r="B14" s="4">
        <v>2</v>
      </c>
      <c r="C14" s="4">
        <v>3300</v>
      </c>
      <c r="D14" s="4">
        <f t="shared" si="8"/>
        <v>6600</v>
      </c>
      <c r="E14" s="4">
        <f>D14*0.05</f>
        <v>330</v>
      </c>
      <c r="F14" s="4">
        <v>0</v>
      </c>
      <c r="G14" s="4">
        <f>0.2</f>
        <v>0.2</v>
      </c>
      <c r="H14" s="4">
        <f t="shared" ref="H14:H15" si="11">G14</f>
        <v>0.2</v>
      </c>
      <c r="I14" s="4">
        <f t="shared" si="10"/>
        <v>1326</v>
      </c>
      <c r="J14" s="51">
        <f>(D14+E14+F14+I14)*$C$3</f>
        <v>248.50559999999999</v>
      </c>
      <c r="K14" s="6"/>
      <c r="L14" s="17"/>
    </row>
    <row r="15" spans="1:13" x14ac:dyDescent="0.25">
      <c r="A15" s="4" t="s">
        <v>272</v>
      </c>
      <c r="B15" s="5">
        <v>1</v>
      </c>
      <c r="C15" s="5">
        <v>3300</v>
      </c>
      <c r="D15" s="4">
        <f t="shared" si="8"/>
        <v>3300</v>
      </c>
      <c r="E15" s="4">
        <f t="shared" ref="E15" si="12">D15*0.05</f>
        <v>165</v>
      </c>
      <c r="F15" s="5">
        <f>2500/3</f>
        <v>833.33333333333337</v>
      </c>
      <c r="G15" s="5">
        <v>0.74</v>
      </c>
      <c r="H15" s="4">
        <f t="shared" si="11"/>
        <v>0.74</v>
      </c>
      <c r="I15" s="4">
        <f t="shared" si="10"/>
        <v>4906.2</v>
      </c>
      <c r="J15" s="51">
        <f>(D15+E15+F15+I15)*$C$3</f>
        <v>277.05645333333331</v>
      </c>
      <c r="K15" s="6"/>
      <c r="L15" s="17"/>
    </row>
    <row r="16" spans="1:13" ht="26.25" x14ac:dyDescent="0.4">
      <c r="A16" s="1" t="s">
        <v>254</v>
      </c>
      <c r="B16" s="2"/>
      <c r="C16" s="2"/>
      <c r="D16" s="2"/>
      <c r="E16" s="2"/>
      <c r="F16" s="2"/>
      <c r="G16" s="2"/>
      <c r="H16" s="2"/>
      <c r="I16" s="2"/>
      <c r="J16" s="52">
        <f>SUM(J17:J18)</f>
        <v>251.0641</v>
      </c>
      <c r="K16" s="2">
        <f>585+330</f>
        <v>915</v>
      </c>
      <c r="L16" s="10">
        <f>K16-J16</f>
        <v>663.93589999999995</v>
      </c>
      <c r="M16" t="s">
        <v>280</v>
      </c>
    </row>
    <row r="17" spans="1:12" x14ac:dyDescent="0.25">
      <c r="A17" s="4" t="s">
        <v>278</v>
      </c>
      <c r="B17" s="4">
        <v>1</v>
      </c>
      <c r="C17" s="4">
        <f>2000+2300</f>
        <v>4300</v>
      </c>
      <c r="D17" s="4">
        <f t="shared" ref="D17:D18" si="13">B17*C17</f>
        <v>4300</v>
      </c>
      <c r="E17" s="4">
        <f t="shared" ref="E17" si="14">D17*0.05</f>
        <v>215</v>
      </c>
      <c r="F17" s="4">
        <v>2500</v>
      </c>
      <c r="G17" s="4">
        <v>0.2</v>
      </c>
      <c r="H17" s="4">
        <f>G17*B17</f>
        <v>0.2</v>
      </c>
      <c r="I17" s="4">
        <f t="shared" ref="I17:I18" si="15">H17*$C$2</f>
        <v>1326</v>
      </c>
      <c r="J17" s="51">
        <f>(D17+E17+F17+I17)*$C$3</f>
        <v>251.0641</v>
      </c>
      <c r="K17" s="6"/>
      <c r="L17" s="17"/>
    </row>
    <row r="18" spans="1:12" x14ac:dyDescent="0.25">
      <c r="A18" s="18" t="s">
        <v>279</v>
      </c>
      <c r="B18" s="5">
        <v>1</v>
      </c>
      <c r="C18" s="5">
        <v>6500</v>
      </c>
      <c r="D18" s="4">
        <f t="shared" si="13"/>
        <v>6500</v>
      </c>
      <c r="E18" s="4">
        <f>D18*0.05</f>
        <v>325</v>
      </c>
      <c r="F18" s="5">
        <v>0</v>
      </c>
      <c r="G18" s="5">
        <v>0.6</v>
      </c>
      <c r="H18" s="4">
        <f t="shared" ref="H18" si="16">G18</f>
        <v>0.6</v>
      </c>
      <c r="I18" s="4">
        <f t="shared" si="15"/>
        <v>3978</v>
      </c>
      <c r="J18" s="51"/>
      <c r="K18" s="6"/>
      <c r="L18" s="17"/>
    </row>
    <row r="19" spans="1:12" ht="26.25" x14ac:dyDescent="0.4">
      <c r="A19" s="1" t="s">
        <v>104</v>
      </c>
      <c r="B19" s="2"/>
      <c r="C19" s="2"/>
      <c r="D19" s="2"/>
      <c r="E19" s="2"/>
      <c r="F19" s="2"/>
      <c r="G19" s="2"/>
      <c r="H19" s="2"/>
      <c r="I19" s="2"/>
      <c r="J19" s="52">
        <f>SUM(J20:J23)</f>
        <v>908.0868999999999</v>
      </c>
      <c r="K19" s="2">
        <v>917</v>
      </c>
      <c r="L19" s="10">
        <f>K19-J19</f>
        <v>8.9131000000000995</v>
      </c>
    </row>
    <row r="20" spans="1:12" x14ac:dyDescent="0.25">
      <c r="A20" s="4" t="s">
        <v>273</v>
      </c>
      <c r="B20" s="4">
        <v>1</v>
      </c>
      <c r="C20" s="4">
        <v>4400</v>
      </c>
      <c r="D20" s="4">
        <f t="shared" ref="D20:D23" si="17">B20*C20</f>
        <v>4400</v>
      </c>
      <c r="E20" s="4">
        <f t="shared" ref="E20" si="18">D20*0.05</f>
        <v>220</v>
      </c>
      <c r="F20" s="4">
        <v>2500</v>
      </c>
      <c r="G20" s="4">
        <v>0.2</v>
      </c>
      <c r="H20" s="4">
        <f>G20*B20</f>
        <v>0.2</v>
      </c>
      <c r="I20" s="4">
        <f t="shared" ref="I20:I22" si="19">H20*$C$2</f>
        <v>1326</v>
      </c>
      <c r="J20" s="51">
        <f>(D20+E20+F20+I20)*$C$3</f>
        <v>254.22459999999998</v>
      </c>
      <c r="K20" s="6"/>
      <c r="L20" s="17"/>
    </row>
    <row r="21" spans="1:12" x14ac:dyDescent="0.25">
      <c r="A21" s="4" t="s">
        <v>274</v>
      </c>
      <c r="B21" s="4">
        <v>1</v>
      </c>
      <c r="C21" s="4">
        <v>3000</v>
      </c>
      <c r="D21" s="4">
        <f t="shared" si="17"/>
        <v>3000</v>
      </c>
      <c r="E21" s="4">
        <f>D21*0.05</f>
        <v>150</v>
      </c>
      <c r="F21" s="89">
        <v>0</v>
      </c>
      <c r="G21" s="4">
        <v>0.2</v>
      </c>
      <c r="H21" s="4">
        <f t="shared" si="7"/>
        <v>0.2</v>
      </c>
      <c r="I21" s="4">
        <f t="shared" si="19"/>
        <v>1326</v>
      </c>
      <c r="J21" s="51">
        <f>(D21+E21+F21+I21)*$C$3</f>
        <v>134.7276</v>
      </c>
      <c r="K21" s="6"/>
      <c r="L21" s="17"/>
    </row>
    <row r="22" spans="1:12" x14ac:dyDescent="0.25">
      <c r="A22" s="4" t="s">
        <v>275</v>
      </c>
      <c r="B22" s="5">
        <v>1</v>
      </c>
      <c r="C22" s="5">
        <v>6300</v>
      </c>
      <c r="D22" s="4">
        <f t="shared" si="17"/>
        <v>6300</v>
      </c>
      <c r="E22" s="4">
        <f t="shared" ref="E22:E23" si="20">D22*0.05</f>
        <v>315</v>
      </c>
      <c r="F22" s="89">
        <v>0</v>
      </c>
      <c r="G22" s="4">
        <v>0.2</v>
      </c>
      <c r="H22" s="4">
        <f t="shared" si="7"/>
        <v>0.2</v>
      </c>
      <c r="I22" s="4">
        <f t="shared" si="19"/>
        <v>1326</v>
      </c>
      <c r="J22" s="51">
        <f>(D22+E22+F22+I22)*$C$3</f>
        <v>239.02409999999998</v>
      </c>
      <c r="K22" s="6"/>
      <c r="L22" s="17"/>
    </row>
    <row r="23" spans="1:12" x14ac:dyDescent="0.25">
      <c r="A23" s="4" t="s">
        <v>276</v>
      </c>
      <c r="B23" s="5">
        <v>1</v>
      </c>
      <c r="C23" s="5">
        <v>7600</v>
      </c>
      <c r="D23" s="4">
        <f t="shared" si="17"/>
        <v>7600</v>
      </c>
      <c r="E23" s="4">
        <f t="shared" si="20"/>
        <v>380</v>
      </c>
      <c r="F23" s="89">
        <v>0</v>
      </c>
      <c r="G23" s="4">
        <v>0.2</v>
      </c>
      <c r="H23" s="4">
        <f t="shared" si="7"/>
        <v>0.2</v>
      </c>
      <c r="I23" s="4">
        <f>H23*$C$2</f>
        <v>1326</v>
      </c>
      <c r="J23" s="51">
        <f>(D23+E23+F23+I23)*$C$3</f>
        <v>280.11059999999998</v>
      </c>
      <c r="K23" s="6"/>
      <c r="L2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53</vt:i4>
      </vt:variant>
    </vt:vector>
  </HeadingPairs>
  <TitlesOfParts>
    <vt:vector size="53" baseType="lpstr">
      <vt:lpstr>баланс</vt:lpstr>
      <vt:lpstr>2.0</vt:lpstr>
      <vt:lpstr>2итог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2017-06-14T14:11:56Z</dcterms:modified>
</cp:coreProperties>
</file>