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5165" windowHeight="7050" tabRatio="936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  <sheet name="48" sheetId="50" r:id="rId49"/>
    <sheet name="49" sheetId="51" r:id="rId50"/>
    <sheet name="50" sheetId="52" r:id="rId51"/>
    <sheet name="51" sheetId="53" r:id="rId52"/>
    <sheet name="52" sheetId="54" r:id="rId53"/>
    <sheet name="53" sheetId="55" r:id="rId54"/>
    <sheet name="55" sheetId="56" r:id="rId55"/>
  </sheets>
  <calcPr calcId="162913"/>
</workbook>
</file>

<file path=xl/calcChain.xml><?xml version="1.0" encoding="utf-8"?>
<calcChain xmlns="http://schemas.openxmlformats.org/spreadsheetml/2006/main">
  <c r="B168" i="6" l="1"/>
  <c r="B54" i="6"/>
  <c r="B143" i="6"/>
  <c r="B119" i="6"/>
  <c r="F13" i="56"/>
  <c r="H13" i="56"/>
  <c r="H11" i="56"/>
  <c r="H9" i="56"/>
  <c r="I9" i="56" s="1"/>
  <c r="H7" i="56"/>
  <c r="I13" i="56"/>
  <c r="D13" i="56"/>
  <c r="E13" i="56" s="1"/>
  <c r="I11" i="56"/>
  <c r="D11" i="56"/>
  <c r="E11" i="56" s="1"/>
  <c r="D9" i="56"/>
  <c r="E9" i="56" s="1"/>
  <c r="I7" i="56"/>
  <c r="D7" i="56"/>
  <c r="E7" i="56" s="1"/>
  <c r="J9" i="56" l="1"/>
  <c r="J8" i="56" s="1"/>
  <c r="J13" i="56"/>
  <c r="J12" i="56" s="1"/>
  <c r="L12" i="56" s="1"/>
  <c r="J7" i="56"/>
  <c r="J6" i="56" s="1"/>
  <c r="L6" i="56" s="1"/>
  <c r="J11" i="56"/>
  <c r="J10" i="56" s="1"/>
  <c r="L10" i="56" s="1"/>
  <c r="L8" i="56"/>
  <c r="K20" i="55"/>
  <c r="K18" i="55"/>
  <c r="K24" i="55"/>
  <c r="K6" i="55"/>
  <c r="I29" i="55" l="1"/>
  <c r="J29" i="55" l="1"/>
  <c r="J28" i="55" s="1"/>
  <c r="J32" i="55"/>
  <c r="J30" i="55"/>
  <c r="J31" i="55"/>
  <c r="E32" i="55"/>
  <c r="E31" i="55"/>
  <c r="E30" i="55"/>
  <c r="E29" i="55"/>
  <c r="D32" i="55"/>
  <c r="D31" i="55"/>
  <c r="D30" i="55"/>
  <c r="D29" i="55"/>
  <c r="I7" i="55" l="1"/>
  <c r="J7" i="55"/>
  <c r="I15" i="55" l="1"/>
  <c r="F25" i="55"/>
  <c r="F23" i="55"/>
  <c r="I17" i="55"/>
  <c r="D17" i="55"/>
  <c r="I12" i="55"/>
  <c r="D12" i="55"/>
  <c r="E12" i="55" s="1"/>
  <c r="I11" i="55"/>
  <c r="D11" i="55"/>
  <c r="E11" i="55" s="1"/>
  <c r="I27" i="55"/>
  <c r="D27" i="55"/>
  <c r="I25" i="55"/>
  <c r="D25" i="55"/>
  <c r="E25" i="55" s="1"/>
  <c r="I14" i="55"/>
  <c r="I23" i="55"/>
  <c r="I21" i="55"/>
  <c r="I19" i="55"/>
  <c r="I8" i="55"/>
  <c r="I9" i="55"/>
  <c r="D15" i="55"/>
  <c r="D14" i="55"/>
  <c r="D23" i="55"/>
  <c r="E23" i="55" s="1"/>
  <c r="D21" i="55"/>
  <c r="E21" i="55" s="1"/>
  <c r="D19" i="55"/>
  <c r="D9" i="55"/>
  <c r="E9" i="55" s="1"/>
  <c r="D8" i="55"/>
  <c r="E8" i="55" s="1"/>
  <c r="D7" i="55"/>
  <c r="E7" i="55" s="1"/>
  <c r="E17" i="55" l="1"/>
  <c r="J17" i="55" s="1"/>
  <c r="J16" i="55" s="1"/>
  <c r="L16" i="55" s="1"/>
  <c r="B126" i="6" s="1"/>
  <c r="J12" i="55"/>
  <c r="J11" i="55"/>
  <c r="J10" i="55" s="1"/>
  <c r="L10" i="55" s="1"/>
  <c r="B163" i="6" s="1"/>
  <c r="E27" i="55"/>
  <c r="J27" i="55" s="1"/>
  <c r="J26" i="55" s="1"/>
  <c r="L26" i="55" s="1"/>
  <c r="B141" i="6" s="1"/>
  <c r="J25" i="55"/>
  <c r="J24" i="55" s="1"/>
  <c r="L24" i="55" s="1"/>
  <c r="B49" i="6" s="1"/>
  <c r="J23" i="55"/>
  <c r="J22" i="55" s="1"/>
  <c r="L22" i="55" s="1"/>
  <c r="B34" i="6" s="1"/>
  <c r="J21" i="55"/>
  <c r="J20" i="55" s="1"/>
  <c r="L20" i="55" s="1"/>
  <c r="B35" i="6" s="1"/>
  <c r="J8" i="55"/>
  <c r="J9" i="55"/>
  <c r="E19" i="55"/>
  <c r="J19" i="55" s="1"/>
  <c r="J18" i="55" s="1"/>
  <c r="L18" i="55" s="1"/>
  <c r="B86" i="6" s="1"/>
  <c r="E14" i="55"/>
  <c r="J14" i="55" s="1"/>
  <c r="E15" i="55"/>
  <c r="J15" i="55" s="1"/>
  <c r="J6" i="55" l="1"/>
  <c r="L6" i="55" s="1"/>
  <c r="B137" i="6" s="1"/>
  <c r="J13" i="55"/>
  <c r="L13" i="55" s="1"/>
  <c r="B209" i="6" s="1"/>
  <c r="K14" i="54" l="1"/>
  <c r="K18" i="54"/>
  <c r="H10" i="54" l="1"/>
  <c r="I20" i="54" l="1"/>
  <c r="I19" i="54"/>
  <c r="I13" i="54"/>
  <c r="D13" i="54"/>
  <c r="I21" i="54"/>
  <c r="D21" i="54"/>
  <c r="E21" i="54" s="1"/>
  <c r="D20" i="54"/>
  <c r="E20" i="54" s="1"/>
  <c r="D19" i="54"/>
  <c r="I17" i="54"/>
  <c r="D17" i="54"/>
  <c r="E17" i="54" s="1"/>
  <c r="I15" i="54"/>
  <c r="D15" i="54"/>
  <c r="E15" i="54" s="1"/>
  <c r="I10" i="54"/>
  <c r="D10" i="54"/>
  <c r="H9" i="54"/>
  <c r="I9" i="54" s="1"/>
  <c r="D9" i="54"/>
  <c r="H8" i="54"/>
  <c r="I8" i="54" s="1"/>
  <c r="D8" i="54"/>
  <c r="E8" i="54" s="1"/>
  <c r="I7" i="54"/>
  <c r="D7" i="54"/>
  <c r="E13" i="54" l="1"/>
  <c r="J13" i="54" s="1"/>
  <c r="J12" i="54" s="1"/>
  <c r="L12" i="54" s="1"/>
  <c r="B227" i="6" s="1"/>
  <c r="J21" i="54"/>
  <c r="E19" i="54"/>
  <c r="J19" i="54" s="1"/>
  <c r="E9" i="54"/>
  <c r="J9" i="54" s="1"/>
  <c r="E7" i="54"/>
  <c r="J7" i="54" s="1"/>
  <c r="E10" i="54"/>
  <c r="J10" i="54" s="1"/>
  <c r="J17" i="54"/>
  <c r="J16" i="54" s="1"/>
  <c r="L16" i="54" s="1"/>
  <c r="B191" i="6" s="1"/>
  <c r="J15" i="54"/>
  <c r="J14" i="54" s="1"/>
  <c r="L14" i="54" s="1"/>
  <c r="B181" i="6" s="1"/>
  <c r="J20" i="54"/>
  <c r="J8" i="54"/>
  <c r="K12" i="53"/>
  <c r="J18" i="54" l="1"/>
  <c r="L18" i="54" s="1"/>
  <c r="B96" i="6" s="1"/>
  <c r="J6" i="54"/>
  <c r="L6" i="54" s="1"/>
  <c r="K23" i="53"/>
  <c r="K31" i="53" l="1"/>
  <c r="K29" i="53"/>
  <c r="K27" i="53"/>
  <c r="K25" i="53"/>
  <c r="K19" i="53"/>
  <c r="K17" i="53"/>
  <c r="K33" i="53"/>
  <c r="K41" i="53" l="1"/>
  <c r="K38" i="53"/>
  <c r="I18" i="53" l="1"/>
  <c r="I42" i="53"/>
  <c r="J42" i="53"/>
  <c r="F21" i="53" l="1"/>
  <c r="F20" i="53"/>
  <c r="F36" i="53"/>
  <c r="F34" i="53"/>
  <c r="D42" i="53"/>
  <c r="E42" i="53" s="1"/>
  <c r="I40" i="53"/>
  <c r="E40" i="53"/>
  <c r="D40" i="53"/>
  <c r="I39" i="53"/>
  <c r="D39" i="53"/>
  <c r="E39" i="53" s="1"/>
  <c r="I37" i="53"/>
  <c r="D37" i="53"/>
  <c r="E37" i="53" s="1"/>
  <c r="I36" i="53"/>
  <c r="D36" i="53"/>
  <c r="E36" i="53" s="1"/>
  <c r="I34" i="53"/>
  <c r="C37" i="53"/>
  <c r="C34" i="53"/>
  <c r="D34" i="53" s="1"/>
  <c r="F16" i="53"/>
  <c r="D18" i="53"/>
  <c r="E18" i="53" s="1"/>
  <c r="D20" i="53"/>
  <c r="E20" i="53" s="1"/>
  <c r="I20" i="53"/>
  <c r="D21" i="53"/>
  <c r="E21" i="53" s="1"/>
  <c r="I21" i="53"/>
  <c r="D22" i="53"/>
  <c r="E22" i="53" s="1"/>
  <c r="I22" i="53"/>
  <c r="D24" i="53"/>
  <c r="E24" i="53" s="1"/>
  <c r="I24" i="53"/>
  <c r="I26" i="53"/>
  <c r="I28" i="53"/>
  <c r="I30" i="53"/>
  <c r="D32" i="53"/>
  <c r="E32" i="53" s="1"/>
  <c r="I32" i="53"/>
  <c r="I16" i="53"/>
  <c r="D16" i="53"/>
  <c r="D14" i="53"/>
  <c r="I13" i="53"/>
  <c r="D13" i="53"/>
  <c r="E13" i="53" s="1"/>
  <c r="H11" i="53"/>
  <c r="I11" i="53" s="1"/>
  <c r="D11" i="53"/>
  <c r="E11" i="53" s="1"/>
  <c r="H10" i="53"/>
  <c r="I10" i="53" s="1"/>
  <c r="D10" i="53"/>
  <c r="H9" i="53"/>
  <c r="I9" i="53" s="1"/>
  <c r="E9" i="53"/>
  <c r="D9" i="53"/>
  <c r="H8" i="53"/>
  <c r="I8" i="53" s="1"/>
  <c r="D8" i="53"/>
  <c r="E8" i="53" s="1"/>
  <c r="H7" i="53"/>
  <c r="I7" i="53" s="1"/>
  <c r="D7" i="53"/>
  <c r="E7" i="53" s="1"/>
  <c r="C30" i="53"/>
  <c r="D30" i="53" s="1"/>
  <c r="C28" i="53"/>
  <c r="D28" i="53" s="1"/>
  <c r="C26" i="53"/>
  <c r="D26" i="53" s="1"/>
  <c r="J20" i="53" l="1"/>
  <c r="J40" i="53"/>
  <c r="E34" i="53"/>
  <c r="J34" i="53" s="1"/>
  <c r="J33" i="53" s="1"/>
  <c r="L33" i="53" s="1"/>
  <c r="B91" i="6" s="1"/>
  <c r="J36" i="53"/>
  <c r="J35" i="53" s="1"/>
  <c r="L35" i="53" s="1"/>
  <c r="B122" i="6" s="1"/>
  <c r="J37" i="53"/>
  <c r="J24" i="53"/>
  <c r="J23" i="53" s="1"/>
  <c r="L23" i="53" s="1"/>
  <c r="B190" i="6" s="1"/>
  <c r="J9" i="53"/>
  <c r="E10" i="53"/>
  <c r="J10" i="53" s="1"/>
  <c r="E16" i="53"/>
  <c r="J16" i="53" s="1"/>
  <c r="J15" i="53" s="1"/>
  <c r="L15" i="53" s="1"/>
  <c r="J32" i="53"/>
  <c r="J31" i="53" s="1"/>
  <c r="L31" i="53" s="1"/>
  <c r="J21" i="53"/>
  <c r="J39" i="53"/>
  <c r="J38" i="53" s="1"/>
  <c r="L38" i="53" s="1"/>
  <c r="B210" i="6" s="1"/>
  <c r="E14" i="53"/>
  <c r="J18" i="53"/>
  <c r="J17" i="53" s="1"/>
  <c r="L17" i="53" s="1"/>
  <c r="B216" i="6" s="1"/>
  <c r="E26" i="53"/>
  <c r="J26" i="53" s="1"/>
  <c r="J25" i="53" s="1"/>
  <c r="L25" i="53" s="1"/>
  <c r="B161" i="6" s="1"/>
  <c r="E28" i="53"/>
  <c r="J28" i="53" s="1"/>
  <c r="J27" i="53" s="1"/>
  <c r="L27" i="53" s="1"/>
  <c r="B97" i="6" s="1"/>
  <c r="J22" i="53"/>
  <c r="E30" i="53"/>
  <c r="J30" i="53" s="1"/>
  <c r="J29" i="53" s="1"/>
  <c r="L29" i="53" s="1"/>
  <c r="B215" i="6" s="1"/>
  <c r="J11" i="53"/>
  <c r="J7" i="53"/>
  <c r="J8" i="53"/>
  <c r="J13" i="53"/>
  <c r="J41" i="53" l="1"/>
  <c r="L41" i="53" s="1"/>
  <c r="J19" i="53"/>
  <c r="L19" i="53" s="1"/>
  <c r="B69" i="6" s="1"/>
  <c r="J6" i="53"/>
  <c r="L6" i="53" s="1"/>
  <c r="K20" i="52" l="1"/>
  <c r="K16" i="52" l="1"/>
  <c r="K18" i="52"/>
  <c r="K12" i="52"/>
  <c r="K8" i="52" l="1"/>
  <c r="K8" i="50" l="1"/>
  <c r="B67" i="6" l="1"/>
  <c r="C23" i="52"/>
  <c r="I7" i="52"/>
  <c r="J7" i="52" s="1"/>
  <c r="F9" i="52"/>
  <c r="F7" i="52"/>
  <c r="F15" i="52"/>
  <c r="F13" i="52"/>
  <c r="I23" i="52"/>
  <c r="D23" i="52"/>
  <c r="I21" i="52"/>
  <c r="D21" i="52"/>
  <c r="I19" i="52"/>
  <c r="D19" i="52"/>
  <c r="I17" i="52"/>
  <c r="D17" i="52"/>
  <c r="I15" i="52"/>
  <c r="D15" i="52"/>
  <c r="E15" i="52" s="1"/>
  <c r="I13" i="52"/>
  <c r="J13" i="52" s="1"/>
  <c r="D13" i="52"/>
  <c r="I11" i="52"/>
  <c r="D11" i="52"/>
  <c r="I9" i="52"/>
  <c r="D9" i="52"/>
  <c r="E9" i="52" s="1"/>
  <c r="D7" i="52"/>
  <c r="E23" i="52" l="1"/>
  <c r="J23" i="52" s="1"/>
  <c r="J22" i="52" s="1"/>
  <c r="L22" i="52" s="1"/>
  <c r="E13" i="52"/>
  <c r="J12" i="52" s="1"/>
  <c r="L12" i="52" s="1"/>
  <c r="B152" i="6" s="1"/>
  <c r="E21" i="52"/>
  <c r="J21" i="52" s="1"/>
  <c r="J20" i="52" s="1"/>
  <c r="L20" i="52" s="1"/>
  <c r="B68" i="6" s="1"/>
  <c r="J9" i="52"/>
  <c r="J8" i="52" s="1"/>
  <c r="L8" i="52" s="1"/>
  <c r="E11" i="52"/>
  <c r="J11" i="52" s="1"/>
  <c r="J10" i="52" s="1"/>
  <c r="L10" i="52" s="1"/>
  <c r="B164" i="6" s="1"/>
  <c r="E19" i="52"/>
  <c r="J19" i="52" s="1"/>
  <c r="J18" i="52" s="1"/>
  <c r="L18" i="52" s="1"/>
  <c r="B63" i="6" s="1"/>
  <c r="E7" i="52"/>
  <c r="J6" i="52" s="1"/>
  <c r="L6" i="52" s="1"/>
  <c r="B113" i="6" s="1"/>
  <c r="J15" i="52"/>
  <c r="J14" i="52" s="1"/>
  <c r="L14" i="52" s="1"/>
  <c r="B145" i="6" s="1"/>
  <c r="E17" i="52"/>
  <c r="J17" i="52" s="1"/>
  <c r="J16" i="52" s="1"/>
  <c r="L16" i="52" s="1"/>
  <c r="K32" i="51"/>
  <c r="K18" i="51"/>
  <c r="K24" i="51"/>
  <c r="K35" i="51"/>
  <c r="K42" i="51"/>
  <c r="K10" i="51"/>
  <c r="K20" i="51" l="1"/>
  <c r="H45" i="51" l="1"/>
  <c r="H44" i="51"/>
  <c r="H43" i="51"/>
  <c r="I11" i="51"/>
  <c r="K10" i="50" l="1"/>
  <c r="F29" i="51" l="1"/>
  <c r="F45" i="51"/>
  <c r="F44" i="51"/>
  <c r="F43" i="51"/>
  <c r="I49" i="51"/>
  <c r="D49" i="51"/>
  <c r="I48" i="51"/>
  <c r="D48" i="51"/>
  <c r="E48" i="51" s="1"/>
  <c r="I47" i="51"/>
  <c r="D47" i="51"/>
  <c r="I45" i="51"/>
  <c r="D45" i="51"/>
  <c r="E45" i="51" s="1"/>
  <c r="I44" i="51"/>
  <c r="D44" i="51"/>
  <c r="E44" i="51" s="1"/>
  <c r="I43" i="51"/>
  <c r="D43" i="51"/>
  <c r="I15" i="51"/>
  <c r="D15" i="51"/>
  <c r="I14" i="51"/>
  <c r="D14" i="51"/>
  <c r="E14" i="51" s="1"/>
  <c r="I13" i="51"/>
  <c r="D13" i="51"/>
  <c r="E13" i="51" s="1"/>
  <c r="I12" i="51"/>
  <c r="D12" i="51"/>
  <c r="D11" i="51"/>
  <c r="I9" i="51"/>
  <c r="D9" i="51"/>
  <c r="E9" i="51" s="1"/>
  <c r="I8" i="51"/>
  <c r="D8" i="51"/>
  <c r="I7" i="51"/>
  <c r="D7" i="51"/>
  <c r="E7" i="51" s="1"/>
  <c r="I27" i="51"/>
  <c r="D27" i="51"/>
  <c r="E27" i="51" s="1"/>
  <c r="I37" i="51"/>
  <c r="D37" i="51"/>
  <c r="E37" i="51" s="1"/>
  <c r="I36" i="51"/>
  <c r="D36" i="51"/>
  <c r="E36" i="51" s="1"/>
  <c r="I31" i="51"/>
  <c r="D31" i="51"/>
  <c r="I29" i="51"/>
  <c r="D29" i="51"/>
  <c r="E29" i="51" s="1"/>
  <c r="I25" i="51"/>
  <c r="D25" i="51"/>
  <c r="E25" i="51" s="1"/>
  <c r="I41" i="51"/>
  <c r="I40" i="51"/>
  <c r="I39" i="51"/>
  <c r="I34" i="51"/>
  <c r="I33" i="51"/>
  <c r="D41" i="51"/>
  <c r="E41" i="51" s="1"/>
  <c r="D40" i="51"/>
  <c r="D39" i="51"/>
  <c r="D34" i="51"/>
  <c r="E34" i="51" s="1"/>
  <c r="D33" i="51"/>
  <c r="E33" i="51" s="1"/>
  <c r="I23" i="51"/>
  <c r="D23" i="51"/>
  <c r="E23" i="51" s="1"/>
  <c r="I21" i="51"/>
  <c r="D21" i="51"/>
  <c r="I19" i="51"/>
  <c r="D19" i="51"/>
  <c r="E19" i="51" s="1"/>
  <c r="I17" i="51"/>
  <c r="D17" i="51"/>
  <c r="E17" i="51" s="1"/>
  <c r="E43" i="51" l="1"/>
  <c r="J43" i="51" s="1"/>
  <c r="E49" i="51"/>
  <c r="J49" i="51" s="1"/>
  <c r="J48" i="51"/>
  <c r="E47" i="51"/>
  <c r="J47" i="51" s="1"/>
  <c r="J44" i="51"/>
  <c r="J45" i="51"/>
  <c r="E31" i="51"/>
  <c r="J31" i="51" s="1"/>
  <c r="J30" i="51" s="1"/>
  <c r="L30" i="51" s="1"/>
  <c r="J27" i="51"/>
  <c r="J26" i="51" s="1"/>
  <c r="L26" i="51" s="1"/>
  <c r="E8" i="51"/>
  <c r="J8" i="51" s="1"/>
  <c r="J14" i="51"/>
  <c r="E11" i="51"/>
  <c r="J11" i="51" s="1"/>
  <c r="E15" i="51"/>
  <c r="J15" i="51" s="1"/>
  <c r="E12" i="51"/>
  <c r="J12" i="51" s="1"/>
  <c r="J13" i="51"/>
  <c r="J9" i="51"/>
  <c r="J7" i="51"/>
  <c r="J37" i="51"/>
  <c r="J36" i="51"/>
  <c r="J29" i="51"/>
  <c r="J28" i="51" s="1"/>
  <c r="L28" i="51" s="1"/>
  <c r="J25" i="51"/>
  <c r="J24" i="51" s="1"/>
  <c r="L24" i="51" s="1"/>
  <c r="B208" i="6" s="1"/>
  <c r="J33" i="51"/>
  <c r="J34" i="51"/>
  <c r="E21" i="51"/>
  <c r="J21" i="51" s="1"/>
  <c r="J20" i="51" s="1"/>
  <c r="L20" i="51" s="1"/>
  <c r="E40" i="51"/>
  <c r="J40" i="51" s="1"/>
  <c r="E39" i="51"/>
  <c r="J39" i="51" s="1"/>
  <c r="J41" i="51"/>
  <c r="J17" i="51"/>
  <c r="J16" i="51" s="1"/>
  <c r="L16" i="51" s="1"/>
  <c r="B94" i="6" s="1"/>
  <c r="J23" i="51"/>
  <c r="J22" i="51" s="1"/>
  <c r="L22" i="51" s="1"/>
  <c r="J19" i="51"/>
  <c r="J18" i="51" s="1"/>
  <c r="L18" i="51" s="1"/>
  <c r="H22" i="50"/>
  <c r="I22" i="50" s="1"/>
  <c r="D22" i="50"/>
  <c r="E22" i="50" s="1"/>
  <c r="I21" i="50"/>
  <c r="D21" i="50"/>
  <c r="I20" i="50"/>
  <c r="D20" i="50"/>
  <c r="E20" i="50" s="1"/>
  <c r="I19" i="50"/>
  <c r="D19" i="50"/>
  <c r="E19" i="50" s="1"/>
  <c r="I18" i="50"/>
  <c r="D18" i="50"/>
  <c r="E18" i="50" s="1"/>
  <c r="I16" i="50"/>
  <c r="D16" i="50"/>
  <c r="E16" i="50" s="1"/>
  <c r="I15" i="50"/>
  <c r="D15" i="50"/>
  <c r="E15" i="50" s="1"/>
  <c r="H13" i="50"/>
  <c r="I13" i="50" s="1"/>
  <c r="D13" i="50"/>
  <c r="E13" i="50" s="1"/>
  <c r="H11" i="50"/>
  <c r="I11" i="50" s="1"/>
  <c r="D11" i="50"/>
  <c r="H9" i="50"/>
  <c r="I9" i="50" s="1"/>
  <c r="D9" i="50"/>
  <c r="E9" i="50" s="1"/>
  <c r="H7" i="50"/>
  <c r="I7" i="50" s="1"/>
  <c r="D7" i="50"/>
  <c r="J32" i="51" l="1"/>
  <c r="L32" i="51" s="1"/>
  <c r="J6" i="51"/>
  <c r="J15" i="50"/>
  <c r="J18" i="50"/>
  <c r="J22" i="50"/>
  <c r="J16" i="50"/>
  <c r="J20" i="50"/>
  <c r="E21" i="50"/>
  <c r="J21" i="50" s="1"/>
  <c r="E11" i="50"/>
  <c r="J11" i="50" s="1"/>
  <c r="J10" i="50" s="1"/>
  <c r="L10" i="50" s="1"/>
  <c r="J19" i="50"/>
  <c r="J42" i="51"/>
  <c r="L42" i="51" s="1"/>
  <c r="J46" i="51"/>
  <c r="L46" i="51" s="1"/>
  <c r="J10" i="51"/>
  <c r="L10" i="51" s="1"/>
  <c r="J35" i="51"/>
  <c r="L35" i="51" s="1"/>
  <c r="B15" i="6" s="1"/>
  <c r="J38" i="51"/>
  <c r="L38" i="51" s="1"/>
  <c r="J13" i="50"/>
  <c r="J12" i="50" s="1"/>
  <c r="L12" i="50" s="1"/>
  <c r="J9" i="50"/>
  <c r="J8" i="50" s="1"/>
  <c r="L8" i="50" s="1"/>
  <c r="E7" i="50"/>
  <c r="J7" i="50" s="1"/>
  <c r="J6" i="50" s="1"/>
  <c r="L6" i="50" s="1"/>
  <c r="H22" i="49"/>
  <c r="J14" i="50" l="1"/>
  <c r="L14" i="50" s="1"/>
  <c r="J17" i="50"/>
  <c r="L17" i="50" s="1"/>
  <c r="L6" i="51"/>
  <c r="I18" i="49"/>
  <c r="H11" i="49"/>
  <c r="I11" i="49" s="1"/>
  <c r="H7" i="49"/>
  <c r="I7" i="49" s="1"/>
  <c r="I20" i="49"/>
  <c r="D20" i="49"/>
  <c r="E20" i="49" s="1"/>
  <c r="H13" i="49"/>
  <c r="I13" i="49" s="1"/>
  <c r="D13" i="49"/>
  <c r="E13" i="49" s="1"/>
  <c r="D11" i="49"/>
  <c r="E11" i="49" s="1"/>
  <c r="I16" i="49"/>
  <c r="D16" i="49"/>
  <c r="E16" i="49" s="1"/>
  <c r="I15" i="49"/>
  <c r="D15" i="49"/>
  <c r="I22" i="49"/>
  <c r="D22" i="49"/>
  <c r="E22" i="49" s="1"/>
  <c r="I21" i="49"/>
  <c r="D21" i="49"/>
  <c r="E21" i="49" s="1"/>
  <c r="I19" i="49"/>
  <c r="D19" i="49"/>
  <c r="E19" i="49" s="1"/>
  <c r="D18" i="49"/>
  <c r="H9" i="49"/>
  <c r="I9" i="49" s="1"/>
  <c r="D9" i="49"/>
  <c r="E9" i="49" s="1"/>
  <c r="D7" i="49"/>
  <c r="E7" i="49" s="1"/>
  <c r="K6" i="48"/>
  <c r="K10" i="48"/>
  <c r="K24" i="48"/>
  <c r="K18" i="48"/>
  <c r="J7" i="49" l="1"/>
  <c r="J20" i="49"/>
  <c r="J11" i="49"/>
  <c r="J10" i="49" s="1"/>
  <c r="L10" i="49" s="1"/>
  <c r="B172" i="6" s="1"/>
  <c r="J13" i="49"/>
  <c r="J12" i="49" s="1"/>
  <c r="L12" i="49" s="1"/>
  <c r="J6" i="49"/>
  <c r="L6" i="49" s="1"/>
  <c r="J19" i="49"/>
  <c r="J21" i="49"/>
  <c r="E15" i="49"/>
  <c r="J15" i="49" s="1"/>
  <c r="J16" i="49"/>
  <c r="J9" i="49"/>
  <c r="J8" i="49" s="1"/>
  <c r="L8" i="49" s="1"/>
  <c r="E18" i="49"/>
  <c r="J18" i="49" s="1"/>
  <c r="J22" i="49"/>
  <c r="J17" i="49" l="1"/>
  <c r="L17" i="49" s="1"/>
  <c r="J14" i="49"/>
  <c r="L14" i="49" s="1"/>
  <c r="G28" i="48" l="1"/>
  <c r="H14" i="48"/>
  <c r="H12" i="48" l="1"/>
  <c r="I12" i="48" s="1"/>
  <c r="D12" i="48"/>
  <c r="E12" i="48" s="1"/>
  <c r="D13" i="48"/>
  <c r="E13" i="48" s="1"/>
  <c r="D14" i="48"/>
  <c r="E14" i="48" s="1"/>
  <c r="H13" i="48"/>
  <c r="I13" i="48" s="1"/>
  <c r="F22" i="48"/>
  <c r="H20" i="48"/>
  <c r="I20" i="48" s="1"/>
  <c r="D20" i="48"/>
  <c r="H19" i="48"/>
  <c r="I19" i="48" s="1"/>
  <c r="D19" i="48"/>
  <c r="E19" i="48" s="1"/>
  <c r="H26" i="48"/>
  <c r="I26" i="48" s="1"/>
  <c r="D26" i="48"/>
  <c r="H25" i="48"/>
  <c r="I25" i="48" s="1"/>
  <c r="D25" i="48"/>
  <c r="E25" i="48" s="1"/>
  <c r="H23" i="48"/>
  <c r="I23" i="48" s="1"/>
  <c r="D23" i="48"/>
  <c r="E23" i="48" s="1"/>
  <c r="H22" i="48"/>
  <c r="I22" i="48" s="1"/>
  <c r="D22" i="48"/>
  <c r="E22" i="48" s="1"/>
  <c r="H17" i="48"/>
  <c r="I17" i="48" s="1"/>
  <c r="D17" i="48"/>
  <c r="E17" i="48" s="1"/>
  <c r="H16" i="48"/>
  <c r="I16" i="48" s="1"/>
  <c r="D16" i="48"/>
  <c r="E16" i="48" s="1"/>
  <c r="I14" i="48"/>
  <c r="I11" i="48"/>
  <c r="D11" i="48"/>
  <c r="E11" i="48" s="1"/>
  <c r="H30" i="48"/>
  <c r="I30" i="48" s="1"/>
  <c r="D30" i="48"/>
  <c r="E30" i="48" s="1"/>
  <c r="H29" i="48"/>
  <c r="I29" i="48" s="1"/>
  <c r="D29" i="48"/>
  <c r="E29" i="48" s="1"/>
  <c r="H28" i="48"/>
  <c r="I28" i="48" s="1"/>
  <c r="D28" i="48"/>
  <c r="E28" i="48" s="1"/>
  <c r="H9" i="48"/>
  <c r="I9" i="48" s="1"/>
  <c r="D9" i="48"/>
  <c r="E9" i="48" s="1"/>
  <c r="I7" i="48"/>
  <c r="D7" i="48"/>
  <c r="E7" i="48" s="1"/>
  <c r="K14" i="47"/>
  <c r="K12" i="47"/>
  <c r="K23" i="47"/>
  <c r="J12" i="48" l="1"/>
  <c r="J13" i="48"/>
  <c r="E20" i="48"/>
  <c r="J20" i="48" s="1"/>
  <c r="E26" i="48"/>
  <c r="J26" i="48" s="1"/>
  <c r="J22" i="48"/>
  <c r="J19" i="48"/>
  <c r="J25" i="48"/>
  <c r="J23" i="48"/>
  <c r="J17" i="48"/>
  <c r="J9" i="48"/>
  <c r="J8" i="48" s="1"/>
  <c r="L8" i="48" s="1"/>
  <c r="B73" i="6" s="1"/>
  <c r="J29" i="48"/>
  <c r="J7" i="48"/>
  <c r="J6" i="48" s="1"/>
  <c r="L6" i="48" s="1"/>
  <c r="B205" i="6" s="1"/>
  <c r="J11" i="48"/>
  <c r="J28" i="48"/>
  <c r="J30" i="48"/>
  <c r="J14" i="48"/>
  <c r="J16" i="48"/>
  <c r="J15" i="48" s="1"/>
  <c r="L15" i="48" s="1"/>
  <c r="H9" i="47"/>
  <c r="J24" i="48" l="1"/>
  <c r="J10" i="48"/>
  <c r="L10" i="48" s="1"/>
  <c r="J27" i="48"/>
  <c r="L27" i="48" s="1"/>
  <c r="J21" i="48"/>
  <c r="L21" i="48" s="1"/>
  <c r="L24" i="48"/>
  <c r="J18" i="48"/>
  <c r="L18" i="48" s="1"/>
  <c r="H25" i="47"/>
  <c r="I25" i="47" s="1"/>
  <c r="D25" i="47"/>
  <c r="H24" i="47"/>
  <c r="I24" i="47" s="1"/>
  <c r="D24" i="47"/>
  <c r="E24" i="47" s="1"/>
  <c r="H22" i="47"/>
  <c r="I22" i="47" s="1"/>
  <c r="D22" i="47"/>
  <c r="E22" i="47" s="1"/>
  <c r="H21" i="47"/>
  <c r="I21" i="47" s="1"/>
  <c r="D21" i="47"/>
  <c r="E21" i="47" s="1"/>
  <c r="H17" i="47"/>
  <c r="I17" i="47" s="1"/>
  <c r="D17" i="47"/>
  <c r="H13" i="47"/>
  <c r="I13" i="47" s="1"/>
  <c r="D13" i="47"/>
  <c r="E13" i="47" s="1"/>
  <c r="H19" i="47"/>
  <c r="I19" i="47" s="1"/>
  <c r="D19" i="47"/>
  <c r="E19" i="47" s="1"/>
  <c r="H18" i="47"/>
  <c r="I18" i="47" s="1"/>
  <c r="D18" i="47"/>
  <c r="E18" i="47" s="1"/>
  <c r="H16" i="47"/>
  <c r="I16" i="47" s="1"/>
  <c r="D16" i="47"/>
  <c r="E16" i="47" s="1"/>
  <c r="H15" i="47"/>
  <c r="I15" i="47" s="1"/>
  <c r="D15" i="47"/>
  <c r="H11" i="47"/>
  <c r="I11" i="47" s="1"/>
  <c r="D11" i="47"/>
  <c r="E11" i="47" s="1"/>
  <c r="I9" i="47"/>
  <c r="D9" i="47"/>
  <c r="E9" i="47" s="1"/>
  <c r="H7" i="47"/>
  <c r="I7" i="47" s="1"/>
  <c r="D7" i="47"/>
  <c r="E7" i="47" s="1"/>
  <c r="J7" i="47" l="1"/>
  <c r="J6" i="47" s="1"/>
  <c r="L6" i="47" s="1"/>
  <c r="J22" i="47"/>
  <c r="E25" i="47"/>
  <c r="J25" i="47" s="1"/>
  <c r="E17" i="47"/>
  <c r="J17" i="47" s="1"/>
  <c r="J24" i="47"/>
  <c r="J21" i="47"/>
  <c r="J13" i="47"/>
  <c r="J12" i="47" s="1"/>
  <c r="L12" i="47" s="1"/>
  <c r="J19" i="47"/>
  <c r="J9" i="47"/>
  <c r="J8" i="47" s="1"/>
  <c r="L8" i="47" s="1"/>
  <c r="J18" i="47"/>
  <c r="J11" i="47"/>
  <c r="J10" i="47" s="1"/>
  <c r="L10" i="47" s="1"/>
  <c r="E15" i="47"/>
  <c r="J15" i="47" s="1"/>
  <c r="J16" i="47"/>
  <c r="J20" i="47" l="1"/>
  <c r="L20" i="47" s="1"/>
  <c r="J23" i="47"/>
  <c r="L23" i="47" s="1"/>
  <c r="B151" i="6" s="1"/>
  <c r="J14" i="47"/>
  <c r="L14" i="47" l="1"/>
  <c r="K8" i="45" l="1"/>
  <c r="K6" i="45"/>
  <c r="H19" i="46" l="1"/>
  <c r="I19" i="46" s="1"/>
  <c r="D19" i="46"/>
  <c r="E19" i="46" s="1"/>
  <c r="I18" i="46"/>
  <c r="H17" i="46"/>
  <c r="I17" i="46" s="1"/>
  <c r="D17" i="46"/>
  <c r="E17" i="46" s="1"/>
  <c r="H16" i="46"/>
  <c r="I16" i="46" s="1"/>
  <c r="D16" i="46"/>
  <c r="E16" i="46" s="1"/>
  <c r="H15" i="46"/>
  <c r="I15" i="46" s="1"/>
  <c r="D15" i="46"/>
  <c r="E15" i="46" s="1"/>
  <c r="H14" i="46"/>
  <c r="I14" i="46" s="1"/>
  <c r="D14" i="46"/>
  <c r="E14" i="46" s="1"/>
  <c r="H13" i="46"/>
  <c r="I13" i="46" s="1"/>
  <c r="D13" i="46"/>
  <c r="E13" i="46" s="1"/>
  <c r="H11" i="46"/>
  <c r="I11" i="46" s="1"/>
  <c r="D11" i="46"/>
  <c r="H9" i="46"/>
  <c r="I9" i="46" s="1"/>
  <c r="D9" i="46"/>
  <c r="H7" i="46"/>
  <c r="I7" i="46" s="1"/>
  <c r="D7" i="46"/>
  <c r="E7" i="46" s="1"/>
  <c r="E11" i="46" l="1"/>
  <c r="J11" i="46" s="1"/>
  <c r="J10" i="46" s="1"/>
  <c r="L10" i="46" s="1"/>
  <c r="E9" i="46"/>
  <c r="J9" i="46" s="1"/>
  <c r="J8" i="46" s="1"/>
  <c r="L8" i="46" s="1"/>
  <c r="B222" i="6" s="1"/>
  <c r="J17" i="46"/>
  <c r="J14" i="46"/>
  <c r="J18" i="46"/>
  <c r="J7" i="46"/>
  <c r="J6" i="46" s="1"/>
  <c r="L6" i="46" s="1"/>
  <c r="B85" i="6" s="1"/>
  <c r="J15" i="46"/>
  <c r="J19" i="46"/>
  <c r="J13" i="46"/>
  <c r="J16" i="46"/>
  <c r="F10" i="45"/>
  <c r="F9" i="45"/>
  <c r="C9" i="45"/>
  <c r="H19" i="45"/>
  <c r="I19" i="45" s="1"/>
  <c r="D19" i="45"/>
  <c r="E19" i="45" s="1"/>
  <c r="H18" i="45"/>
  <c r="I18" i="45" s="1"/>
  <c r="D18" i="45"/>
  <c r="E18" i="45" s="1"/>
  <c r="H22" i="45"/>
  <c r="I22" i="45" s="1"/>
  <c r="D22" i="45"/>
  <c r="E22" i="45" s="1"/>
  <c r="H21" i="45"/>
  <c r="I21" i="45" s="1"/>
  <c r="D21" i="45"/>
  <c r="E21" i="45" s="1"/>
  <c r="H20" i="45"/>
  <c r="I20" i="45" s="1"/>
  <c r="D20" i="45"/>
  <c r="E20" i="45" s="1"/>
  <c r="H15" i="45"/>
  <c r="I15" i="45" s="1"/>
  <c r="D15" i="45"/>
  <c r="H17" i="45"/>
  <c r="I17" i="45" s="1"/>
  <c r="D17" i="45"/>
  <c r="H16" i="45"/>
  <c r="I16" i="45" s="1"/>
  <c r="D16" i="45"/>
  <c r="E16" i="45" s="1"/>
  <c r="H14" i="45"/>
  <c r="I14" i="45" s="1"/>
  <c r="D14" i="45"/>
  <c r="E14" i="45" s="1"/>
  <c r="H12" i="45"/>
  <c r="I12" i="45" s="1"/>
  <c r="D12" i="45"/>
  <c r="E12" i="45" s="1"/>
  <c r="H10" i="45"/>
  <c r="I10" i="45" s="1"/>
  <c r="D10" i="45"/>
  <c r="E10" i="45" s="1"/>
  <c r="H9" i="45"/>
  <c r="I9" i="45" s="1"/>
  <c r="D9" i="45"/>
  <c r="H7" i="45"/>
  <c r="I7" i="45" s="1"/>
  <c r="D7" i="45"/>
  <c r="E7" i="45" s="1"/>
  <c r="J12" i="46" l="1"/>
  <c r="L12" i="46" s="1"/>
  <c r="J20" i="45"/>
  <c r="J22" i="45"/>
  <c r="J19" i="45"/>
  <c r="J18" i="45"/>
  <c r="J21" i="45"/>
  <c r="J7" i="45"/>
  <c r="J6" i="45" s="1"/>
  <c r="L6" i="45" s="1"/>
  <c r="E9" i="45"/>
  <c r="J9" i="45" s="1"/>
  <c r="J12" i="45"/>
  <c r="J11" i="45" s="1"/>
  <c r="L11" i="45" s="1"/>
  <c r="B111" i="6" s="1"/>
  <c r="E15" i="45"/>
  <c r="J15" i="45" s="1"/>
  <c r="E17" i="45"/>
  <c r="J17" i="45" s="1"/>
  <c r="J14" i="45"/>
  <c r="J16" i="45"/>
  <c r="J10" i="45"/>
  <c r="J8" i="45" l="1"/>
  <c r="L8" i="45" s="1"/>
  <c r="J13" i="45"/>
  <c r="L13" i="45" s="1"/>
  <c r="K8" i="44" l="1"/>
  <c r="K26" i="44"/>
  <c r="K19" i="44"/>
  <c r="K13" i="44"/>
  <c r="H9" i="44" l="1"/>
  <c r="F17" i="44" l="1"/>
  <c r="F27" i="44" l="1"/>
  <c r="F20" i="44"/>
  <c r="F14" i="44"/>
  <c r="H25" i="44"/>
  <c r="I25" i="44" s="1"/>
  <c r="D25" i="44"/>
  <c r="H24" i="44"/>
  <c r="I24" i="44" s="1"/>
  <c r="D24" i="44"/>
  <c r="E24" i="44" s="1"/>
  <c r="H18" i="44"/>
  <c r="I18" i="44" s="1"/>
  <c r="D18" i="44"/>
  <c r="H17" i="44"/>
  <c r="I17" i="44" s="1"/>
  <c r="D17" i="44"/>
  <c r="E17" i="44" s="1"/>
  <c r="H7" i="44"/>
  <c r="I7" i="44" s="1"/>
  <c r="D7" i="44"/>
  <c r="H29" i="44"/>
  <c r="I29" i="44" s="1"/>
  <c r="D29" i="44"/>
  <c r="H27" i="44"/>
  <c r="I27" i="44" s="1"/>
  <c r="D27" i="44"/>
  <c r="E27" i="44" s="1"/>
  <c r="H22" i="44"/>
  <c r="I22" i="44" s="1"/>
  <c r="D22" i="44"/>
  <c r="H20" i="44"/>
  <c r="I20" i="44" s="1"/>
  <c r="D20" i="44"/>
  <c r="E20" i="44" s="1"/>
  <c r="H15" i="44"/>
  <c r="I15" i="44" s="1"/>
  <c r="D15" i="44"/>
  <c r="E15" i="44" s="1"/>
  <c r="H14" i="44"/>
  <c r="I14" i="44" s="1"/>
  <c r="D14" i="44"/>
  <c r="E14" i="44" s="1"/>
  <c r="H12" i="44"/>
  <c r="I12" i="44" s="1"/>
  <c r="D12" i="44"/>
  <c r="E12" i="44" s="1"/>
  <c r="H10" i="44"/>
  <c r="I10" i="44" s="1"/>
  <c r="D10" i="44"/>
  <c r="E10" i="44" s="1"/>
  <c r="I9" i="44"/>
  <c r="D9" i="44"/>
  <c r="E9" i="44" s="1"/>
  <c r="K15" i="43"/>
  <c r="K33" i="43"/>
  <c r="K12" i="43"/>
  <c r="E18" i="44" l="1"/>
  <c r="J18" i="44" s="1"/>
  <c r="E25" i="44"/>
  <c r="J25" i="44" s="1"/>
  <c r="J24" i="44"/>
  <c r="J17" i="44"/>
  <c r="E7" i="44"/>
  <c r="J12" i="44"/>
  <c r="J9" i="44"/>
  <c r="J14" i="44"/>
  <c r="E22" i="44"/>
  <c r="J22" i="44" s="1"/>
  <c r="J21" i="44" s="1"/>
  <c r="L21" i="44" s="1"/>
  <c r="J20" i="44"/>
  <c r="J19" i="44" s="1"/>
  <c r="L19" i="44" s="1"/>
  <c r="J27" i="44"/>
  <c r="J26" i="44" s="1"/>
  <c r="L26" i="44" s="1"/>
  <c r="E29" i="44"/>
  <c r="J29" i="44" s="1"/>
  <c r="J28" i="44" s="1"/>
  <c r="L28" i="44" s="1"/>
  <c r="J10" i="44"/>
  <c r="J15" i="44"/>
  <c r="K39" i="43"/>
  <c r="K23" i="43"/>
  <c r="K29" i="43"/>
  <c r="K18" i="43"/>
  <c r="K6" i="43"/>
  <c r="K35" i="43"/>
  <c r="K27" i="43"/>
  <c r="B94" i="44" l="1"/>
  <c r="B108" i="6"/>
  <c r="B181" i="44"/>
  <c r="B212" i="6"/>
  <c r="B84" i="44"/>
  <c r="J7" i="44"/>
  <c r="J6" i="44" s="1"/>
  <c r="L6" i="44" s="1"/>
  <c r="J11" i="44"/>
  <c r="L11" i="44" s="1"/>
  <c r="J16" i="44"/>
  <c r="L16" i="44" s="1"/>
  <c r="J23" i="44"/>
  <c r="L23" i="44" s="1"/>
  <c r="J13" i="44"/>
  <c r="L13" i="44" s="1"/>
  <c r="J8" i="44"/>
  <c r="L8" i="44" s="1"/>
  <c r="H17" i="43"/>
  <c r="C17" i="43"/>
  <c r="B74" i="6" l="1"/>
  <c r="B65" i="44"/>
  <c r="B110" i="44"/>
  <c r="B127" i="6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J38" i="43"/>
  <c r="J37" i="43" s="1"/>
  <c r="L37" i="43" s="1"/>
  <c r="J36" i="43"/>
  <c r="J35" i="43" s="1"/>
  <c r="L35" i="43" s="1"/>
  <c r="B167" i="6" s="1"/>
  <c r="J34" i="43"/>
  <c r="J33" i="43" s="1"/>
  <c r="L33" i="43" s="1"/>
  <c r="B55" i="6" s="1"/>
  <c r="B65" i="6"/>
  <c r="D14" i="43"/>
  <c r="E14" i="43"/>
  <c r="D20" i="43"/>
  <c r="E20" i="43" s="1"/>
  <c r="H20" i="43"/>
  <c r="I20" i="43" s="1"/>
  <c r="I17" i="43"/>
  <c r="D17" i="43"/>
  <c r="E17" i="43" s="1"/>
  <c r="H14" i="43"/>
  <c r="I14" i="43" s="1"/>
  <c r="H8" i="43"/>
  <c r="I8" i="43" s="1"/>
  <c r="H9" i="43"/>
  <c r="I9" i="43" s="1"/>
  <c r="D8" i="43"/>
  <c r="E8" i="43" s="1"/>
  <c r="D9" i="43"/>
  <c r="E9" i="43" s="1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D13" i="43"/>
  <c r="E13" i="43" s="1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9" i="43" l="1"/>
  <c r="J8" i="43"/>
  <c r="J20" i="43"/>
  <c r="J17" i="43"/>
  <c r="J14" i="43"/>
  <c r="J32" i="43"/>
  <c r="J31" i="43" s="1"/>
  <c r="L31" i="43" s="1"/>
  <c r="B187" i="6" s="1"/>
  <c r="J19" i="43"/>
  <c r="J13" i="43"/>
  <c r="E30" i="43"/>
  <c r="J30" i="43" s="1"/>
  <c r="J29" i="43" s="1"/>
  <c r="L29" i="43" s="1"/>
  <c r="J26" i="43"/>
  <c r="J25" i="43" s="1"/>
  <c r="L25" i="43" s="1"/>
  <c r="B58" i="6" s="1"/>
  <c r="J22" i="43"/>
  <c r="J21" i="43" s="1"/>
  <c r="L21" i="43" s="1"/>
  <c r="J24" i="43"/>
  <c r="J23" i="43" s="1"/>
  <c r="L23" i="43" s="1"/>
  <c r="B211" i="6" s="1"/>
  <c r="J28" i="43"/>
  <c r="J27" i="43" s="1"/>
  <c r="L27" i="43" s="1"/>
  <c r="E16" i="43"/>
  <c r="J16" i="43" s="1"/>
  <c r="J10" i="43"/>
  <c r="E11" i="43"/>
  <c r="J11" i="43" s="1"/>
  <c r="J7" i="43"/>
  <c r="K21" i="32"/>
  <c r="J12" i="43" l="1"/>
  <c r="J15" i="43"/>
  <c r="L15" i="43" s="1"/>
  <c r="J6" i="43"/>
  <c r="L6" i="43" s="1"/>
  <c r="B178" i="6" s="1"/>
  <c r="J18" i="43"/>
  <c r="L18" i="43" s="1"/>
  <c r="B112" i="6" s="1"/>
  <c r="F33" i="42"/>
  <c r="F22" i="42"/>
  <c r="C17" i="42"/>
  <c r="D17" i="42" s="1"/>
  <c r="F9" i="42"/>
  <c r="F7" i="42"/>
  <c r="D33" i="42"/>
  <c r="E33" i="42" s="1"/>
  <c r="H33" i="42"/>
  <c r="I33" i="42" s="1"/>
  <c r="H35" i="42"/>
  <c r="I35" i="42" s="1"/>
  <c r="D35" i="42"/>
  <c r="E35" i="42" s="1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9" i="6" s="1"/>
  <c r="E25" i="42"/>
  <c r="J25" i="42" s="1"/>
  <c r="J35" i="42"/>
  <c r="J33" i="42"/>
  <c r="J34" i="42"/>
  <c r="J32" i="42"/>
  <c r="E30" i="42"/>
  <c r="J30" i="42" s="1"/>
  <c r="J28" i="42"/>
  <c r="J29" i="42"/>
  <c r="J26" i="42"/>
  <c r="J23" i="42"/>
  <c r="J22" i="42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79" i="6" s="1"/>
  <c r="E17" i="42"/>
  <c r="J17" i="42" s="1"/>
  <c r="J16" i="42" s="1"/>
  <c r="L16" i="42" s="1"/>
  <c r="B195" i="6" s="1"/>
  <c r="J7" i="42"/>
  <c r="J6" i="42" s="1"/>
  <c r="L6" i="42" s="1"/>
  <c r="J9" i="42"/>
  <c r="J8" i="42" s="1"/>
  <c r="L8" i="42" s="1"/>
  <c r="J11" i="42"/>
  <c r="J10" i="42" s="1"/>
  <c r="L10" i="42" s="1"/>
  <c r="J21" i="42" l="1"/>
  <c r="L21" i="42" s="1"/>
  <c r="J27" i="42"/>
  <c r="L27" i="42" s="1"/>
  <c r="J24" i="42"/>
  <c r="L24" i="42" s="1"/>
  <c r="J31" i="42"/>
  <c r="L31" i="42" s="1"/>
  <c r="J18" i="42"/>
  <c r="L18" i="42" s="1"/>
  <c r="K13" i="41" l="1"/>
  <c r="K26" i="41"/>
  <c r="K16" i="41"/>
  <c r="K22" i="41"/>
  <c r="K20" i="41" l="1"/>
  <c r="H17" i="41" l="1"/>
  <c r="I17" i="41" s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92" i="6" s="1"/>
  <c r="E23" i="41"/>
  <c r="J23" i="41" s="1"/>
  <c r="J22" i="41" s="1"/>
  <c r="L22" i="41" s="1"/>
  <c r="J19" i="41"/>
  <c r="J18" i="41" s="1"/>
  <c r="L18" i="41" s="1"/>
  <c r="B125" i="6" s="1"/>
  <c r="J21" i="41"/>
  <c r="J20" i="41" s="1"/>
  <c r="L20" i="41" s="1"/>
  <c r="B26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53" i="6" s="1"/>
  <c r="E9" i="40"/>
  <c r="J9" i="40" s="1"/>
  <c r="J8" i="40" s="1"/>
  <c r="L8" i="40" s="1"/>
  <c r="B24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I7" i="39" s="1"/>
  <c r="D7" i="39"/>
  <c r="E7" i="39" s="1"/>
  <c r="K10" i="38"/>
  <c r="K15" i="38"/>
  <c r="J33" i="39" l="1"/>
  <c r="J7" i="39"/>
  <c r="J6" i="39" s="1"/>
  <c r="L6" i="39" s="1"/>
  <c r="B136" i="6" s="1"/>
  <c r="J42" i="39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9" i="39"/>
  <c r="J8" i="39" s="1"/>
  <c r="L8" i="39" s="1"/>
  <c r="B199" i="6" s="1"/>
  <c r="J11" i="39"/>
  <c r="J10" i="39" s="1"/>
  <c r="L10" i="39" s="1"/>
  <c r="B36" i="6" s="1"/>
  <c r="J12" i="39"/>
  <c r="L12" i="39" s="1"/>
  <c r="J14" i="39"/>
  <c r="L14" i="39" s="1"/>
  <c r="J17" i="39"/>
  <c r="J16" i="39" s="1"/>
  <c r="L16" i="39" s="1"/>
  <c r="B186" i="6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L16" i="37" s="1"/>
  <c r="J16" i="38"/>
  <c r="J13" i="38"/>
  <c r="J17" i="38"/>
  <c r="J14" i="38"/>
  <c r="J7" i="38"/>
  <c r="J6" i="38" s="1"/>
  <c r="L6" i="38" s="1"/>
  <c r="E9" i="38"/>
  <c r="J9" i="38" s="1"/>
  <c r="J8" i="38" s="1"/>
  <c r="L8" i="38" s="1"/>
  <c r="E11" i="38"/>
  <c r="J11" i="38" s="1"/>
  <c r="J10" i="38" s="1"/>
  <c r="L10" i="38" s="1"/>
  <c r="B157" i="6" s="1"/>
  <c r="E22" i="37"/>
  <c r="J22" i="37" s="1"/>
  <c r="J19" i="37"/>
  <c r="J20" i="37"/>
  <c r="J7" i="37"/>
  <c r="J6" i="37" s="1"/>
  <c r="L6" i="37" s="1"/>
  <c r="J9" i="37"/>
  <c r="J8" i="37" s="1"/>
  <c r="L8" i="37" s="1"/>
  <c r="J11" i="37"/>
  <c r="J10" i="37" s="1"/>
  <c r="L10" i="37" s="1"/>
  <c r="J13" i="37"/>
  <c r="J12" i="37" s="1"/>
  <c r="L12" i="37" s="1"/>
  <c r="B118" i="6" s="1"/>
  <c r="J15" i="37"/>
  <c r="J14" i="37" s="1"/>
  <c r="L14" i="37" s="1"/>
  <c r="B30" i="6" s="1"/>
  <c r="K20" i="36"/>
  <c r="K16" i="36"/>
  <c r="K34" i="36"/>
  <c r="K40" i="36"/>
  <c r="K38" i="36"/>
  <c r="H45" i="36"/>
  <c r="I45" i="36" s="1"/>
  <c r="D45" i="36"/>
  <c r="E45" i="36" s="1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D28" i="34"/>
  <c r="E28" i="34" s="1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103" i="6" s="1"/>
  <c r="J21" i="37"/>
  <c r="L21" i="37" s="1"/>
  <c r="B109" i="6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2" i="6" s="1"/>
  <c r="J27" i="36"/>
  <c r="J26" i="36" s="1"/>
  <c r="L26" i="36" s="1"/>
  <c r="B174" i="6" s="1"/>
  <c r="J25" i="36"/>
  <c r="J24" i="36" s="1"/>
  <c r="L24" i="36" s="1"/>
  <c r="B182" i="6" s="1"/>
  <c r="J19" i="36"/>
  <c r="J18" i="36" s="1"/>
  <c r="L18" i="36" s="1"/>
  <c r="B198" i="6" s="1"/>
  <c r="J21" i="36"/>
  <c r="J20" i="36" s="1"/>
  <c r="L20" i="36" s="1"/>
  <c r="B90" i="6" s="1"/>
  <c r="E23" i="36"/>
  <c r="J23" i="36" s="1"/>
  <c r="J22" i="36" s="1"/>
  <c r="L22" i="36" s="1"/>
  <c r="J37" i="36"/>
  <c r="J36" i="36" s="1"/>
  <c r="L36" i="36" s="1"/>
  <c r="B31" i="6" s="1"/>
  <c r="E29" i="36"/>
  <c r="J29" i="36" s="1"/>
  <c r="J15" i="36"/>
  <c r="J14" i="36" s="1"/>
  <c r="L14" i="36" s="1"/>
  <c r="B131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102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82" i="6" s="1"/>
  <c r="J25" i="35"/>
  <c r="J30" i="35"/>
  <c r="J9" i="35"/>
  <c r="J8" i="35" s="1"/>
  <c r="L8" i="35" s="1"/>
  <c r="B200" i="6" s="1"/>
  <c r="J11" i="35"/>
  <c r="J10" i="35" s="1"/>
  <c r="L10" i="35" s="1"/>
  <c r="B114" i="6" s="1"/>
  <c r="J29" i="35"/>
  <c r="J7" i="35"/>
  <c r="J6" i="35" s="1"/>
  <c r="L6" i="35" s="1"/>
  <c r="B4" i="6" s="1"/>
  <c r="J26" i="35"/>
  <c r="J28" i="35"/>
  <c r="J28" i="34"/>
  <c r="J30" i="34"/>
  <c r="J24" i="34"/>
  <c r="B64" i="44" l="1"/>
  <c r="B72" i="6"/>
  <c r="J28" i="36"/>
  <c r="L28" i="36" s="1"/>
  <c r="B218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H13" i="33" s="1"/>
  <c r="I13" i="33" s="1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D13" i="33" s="1"/>
  <c r="E13" i="33" s="1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H17" i="33"/>
  <c r="I17" i="33" s="1"/>
  <c r="D17" i="33"/>
  <c r="E17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I28" i="31" s="1"/>
  <c r="H25" i="31"/>
  <c r="I25" i="31" s="1"/>
  <c r="H22" i="31"/>
  <c r="I22" i="31" s="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I23" i="32" s="1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21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88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120" i="6" s="1"/>
  <c r="E15" i="33"/>
  <c r="J15" i="33" s="1"/>
  <c r="J14" i="33" s="1"/>
  <c r="L14" i="33" s="1"/>
  <c r="B214" i="6" s="1"/>
  <c r="E11" i="33"/>
  <c r="J11" i="33" s="1"/>
  <c r="J10" i="33" s="1"/>
  <c r="L10" i="33" s="1"/>
  <c r="J13" i="33"/>
  <c r="J12" i="33" s="1"/>
  <c r="L12" i="33" s="1"/>
  <c r="B224" i="6" s="1"/>
  <c r="J9" i="33"/>
  <c r="J8" i="33" s="1"/>
  <c r="L8" i="33" s="1"/>
  <c r="J7" i="33"/>
  <c r="J6" i="33" s="1"/>
  <c r="L6" i="33" s="1"/>
  <c r="B47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51" i="6" s="1"/>
  <c r="J39" i="31"/>
  <c r="J38" i="31" s="1"/>
  <c r="L38" i="31" s="1"/>
  <c r="B88" i="6" s="1"/>
  <c r="E43" i="31"/>
  <c r="J43" i="31" s="1"/>
  <c r="J42" i="31" s="1"/>
  <c r="L42" i="31" s="1"/>
  <c r="J45" i="31"/>
  <c r="J44" i="31" s="1"/>
  <c r="L44" i="31" s="1"/>
  <c r="J35" i="31"/>
  <c r="J34" i="31" s="1"/>
  <c r="L34" i="31" s="1"/>
  <c r="B156" i="6" s="1"/>
  <c r="J37" i="31"/>
  <c r="J36" i="31" s="1"/>
  <c r="L36" i="31" s="1"/>
  <c r="B162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34" i="6" s="1"/>
  <c r="E14" i="31"/>
  <c r="J14" i="31" s="1"/>
  <c r="E21" i="31"/>
  <c r="J21" i="31" s="1"/>
  <c r="J15" i="30"/>
  <c r="J14" i="30" s="1"/>
  <c r="L14" i="30" s="1"/>
  <c r="B105" i="44" l="1"/>
  <c r="J25" i="33"/>
  <c r="L25" i="33" s="1"/>
  <c r="J26" i="34"/>
  <c r="L26" i="34" s="1"/>
  <c r="B217" i="6" s="1"/>
  <c r="J21" i="34"/>
  <c r="L21" i="34" s="1"/>
  <c r="B50" i="6" s="1"/>
  <c r="J18" i="34"/>
  <c r="L18" i="34" s="1"/>
  <c r="J12" i="34"/>
  <c r="L12" i="34" s="1"/>
  <c r="B40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69" i="6" s="1"/>
  <c r="J12" i="32"/>
  <c r="L12" i="32" s="1"/>
  <c r="J17" i="32"/>
  <c r="L17" i="32" s="1"/>
  <c r="J25" i="32"/>
  <c r="L25" i="32" s="1"/>
  <c r="B197" i="6" s="1"/>
  <c r="J28" i="32"/>
  <c r="L28" i="32" s="1"/>
  <c r="J21" i="32"/>
  <c r="L21" i="32" s="1"/>
  <c r="B8" i="6" s="1"/>
  <c r="J31" i="32"/>
  <c r="L31" i="32" s="1"/>
  <c r="J6" i="32"/>
  <c r="L6" i="32" s="1"/>
  <c r="B75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93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H25" i="28"/>
  <c r="I25" i="28" s="1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H18" i="28"/>
  <c r="I18" i="28" s="1"/>
  <c r="D18" i="28"/>
  <c r="E18" i="28" s="1"/>
  <c r="H16" i="28"/>
  <c r="I16" i="28" s="1"/>
  <c r="D16" i="28"/>
  <c r="E16" i="28" s="1"/>
  <c r="F7" i="28"/>
  <c r="F12" i="28"/>
  <c r="H14" i="28"/>
  <c r="I14" i="28" s="1"/>
  <c r="D14" i="28"/>
  <c r="E14" i="28" s="1"/>
  <c r="H13" i="28"/>
  <c r="I13" i="28" s="1"/>
  <c r="D13" i="28"/>
  <c r="E13" i="28" s="1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6" i="6" s="1"/>
  <c r="J16" i="28"/>
  <c r="J19" i="28"/>
  <c r="J18" i="28"/>
  <c r="J14" i="28"/>
  <c r="J13" i="28"/>
  <c r="J15" i="28" l="1"/>
  <c r="L15" i="28" s="1"/>
  <c r="J24" i="28"/>
  <c r="L24" i="28" s="1"/>
  <c r="B76" i="6" s="1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E7" i="28" l="1"/>
  <c r="J7" i="28" s="1"/>
  <c r="J6" i="28" s="1"/>
  <c r="L6" i="28" s="1"/>
  <c r="B29" i="6" s="1"/>
  <c r="E9" i="28"/>
  <c r="J9" i="28" s="1"/>
  <c r="J10" i="28"/>
  <c r="J12" i="28"/>
  <c r="J21" i="28"/>
  <c r="J20" i="28" s="1"/>
  <c r="L20" i="28" s="1"/>
  <c r="B175" i="6" s="1"/>
  <c r="K13" i="27"/>
  <c r="K6" i="13"/>
  <c r="J11" i="28" l="1"/>
  <c r="L11" i="28" s="1"/>
  <c r="B221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H20" i="26"/>
  <c r="I20" i="26" s="1"/>
  <c r="D20" i="26"/>
  <c r="E20" i="26" s="1"/>
  <c r="H19" i="26"/>
  <c r="I19" i="26" s="1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0" i="26" s="1"/>
  <c r="L10" i="26" s="1"/>
  <c r="B61" i="6" s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L14" i="26" s="1"/>
  <c r="J20" i="26"/>
  <c r="J19" i="26"/>
  <c r="J17" i="26"/>
  <c r="J16" i="26" s="1"/>
  <c r="L16" i="26" s="1"/>
  <c r="J13" i="26"/>
  <c r="J12" i="26" s="1"/>
  <c r="L12" i="26" s="1"/>
  <c r="E7" i="26"/>
  <c r="J7" i="26" s="1"/>
  <c r="J6" i="26" s="1"/>
  <c r="L6" i="26" s="1"/>
  <c r="E9" i="26"/>
  <c r="J9" i="26" s="1"/>
  <c r="J8" i="26" s="1"/>
  <c r="L8" i="26" s="1"/>
  <c r="B42" i="6" s="1"/>
  <c r="K47" i="24"/>
  <c r="J6" i="27" l="1"/>
  <c r="L6" i="27" s="1"/>
  <c r="B132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0" i="25" s="1"/>
  <c r="L10" i="25" s="1"/>
  <c r="J15" i="25"/>
  <c r="J14" i="25" s="1"/>
  <c r="L14" i="25" s="1"/>
  <c r="B41" i="6" s="1"/>
  <c r="J7" i="25"/>
  <c r="J6" i="25" s="1"/>
  <c r="L6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226" i="6" s="1"/>
  <c r="J26" i="24"/>
  <c r="E50" i="24"/>
  <c r="J50" i="24" s="1"/>
  <c r="J49" i="24" s="1"/>
  <c r="L49" i="24" s="1"/>
  <c r="B83" i="6" s="1"/>
  <c r="J46" i="24"/>
  <c r="J45" i="24" s="1"/>
  <c r="L45" i="24" s="1"/>
  <c r="J19" i="24"/>
  <c r="E42" i="24"/>
  <c r="J42" i="24" s="1"/>
  <c r="J41" i="24" s="1"/>
  <c r="L41" i="24" s="1"/>
  <c r="B117" i="6" s="1"/>
  <c r="E40" i="24"/>
  <c r="J40" i="24" s="1"/>
  <c r="J39" i="24" s="1"/>
  <c r="L39" i="24" s="1"/>
  <c r="B19" i="6" s="1"/>
  <c r="J38" i="24"/>
  <c r="J37" i="24" s="1"/>
  <c r="L37" i="24" s="1"/>
  <c r="B44" i="6" s="1"/>
  <c r="J36" i="24"/>
  <c r="J35" i="24" s="1"/>
  <c r="L35" i="24" s="1"/>
  <c r="B45" i="6" s="1"/>
  <c r="E34" i="24"/>
  <c r="J34" i="24" s="1"/>
  <c r="J33" i="24" s="1"/>
  <c r="L33" i="24" s="1"/>
  <c r="B158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38" i="6" s="1"/>
  <c r="J7" i="24"/>
  <c r="J28" i="24"/>
  <c r="J27" i="24" s="1"/>
  <c r="L27" i="24" s="1"/>
  <c r="E9" i="24"/>
  <c r="J9" i="24" s="1"/>
  <c r="J8" i="24"/>
  <c r="J32" i="24"/>
  <c r="J31" i="24" s="1"/>
  <c r="L31" i="24" s="1"/>
  <c r="B57" i="6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8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59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3" i="6" s="1"/>
  <c r="E15" i="23"/>
  <c r="J15" i="23" s="1"/>
  <c r="J14" i="23" s="1"/>
  <c r="L14" i="23" s="1"/>
  <c r="B139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B223" i="6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60" i="6" s="1"/>
  <c r="J7" i="22"/>
  <c r="J16" i="22"/>
  <c r="E8" i="22"/>
  <c r="J8" i="22" s="1"/>
  <c r="E21" i="22"/>
  <c r="J21" i="22" s="1"/>
  <c r="J20" i="22" s="1"/>
  <c r="L20" i="22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115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24" i="6" s="1"/>
  <c r="J14" i="20"/>
  <c r="J13" i="20" s="1"/>
  <c r="L13" i="20" s="1"/>
  <c r="J8" i="20"/>
  <c r="J7" i="20"/>
  <c r="E10" i="20"/>
  <c r="J10" i="20" s="1"/>
  <c r="J9" i="20" s="1"/>
  <c r="L9" i="20" s="1"/>
  <c r="B196" i="6" s="1"/>
  <c r="J12" i="20"/>
  <c r="J11" i="20" s="1"/>
  <c r="L11" i="20" s="1"/>
  <c r="G28" i="19"/>
  <c r="H28" i="19" s="1"/>
  <c r="I28" i="19" s="1"/>
  <c r="G26" i="19"/>
  <c r="H26" i="19" s="1"/>
  <c r="I26" i="19" s="1"/>
  <c r="C28" i="19"/>
  <c r="D28" i="19" s="1"/>
  <c r="E28" i="19" s="1"/>
  <c r="C26" i="19"/>
  <c r="D26" i="19" s="1"/>
  <c r="E26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3" i="6" s="1"/>
  <c r="J26" i="19"/>
  <c r="J25" i="19" s="1"/>
  <c r="L25" i="19" s="1"/>
  <c r="B173" i="6" s="1"/>
  <c r="J12" i="19"/>
  <c r="E30" i="19"/>
  <c r="J30" i="19" s="1"/>
  <c r="J29" i="19" s="1"/>
  <c r="L29" i="19" s="1"/>
  <c r="B184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71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33" i="6" s="1"/>
  <c r="J11" i="17"/>
  <c r="J10" i="17" s="1"/>
  <c r="L10" i="17" s="1"/>
  <c r="B81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7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2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J6" i="16"/>
  <c r="L6" i="16" s="1"/>
  <c r="B183" i="6" s="1"/>
  <c r="J17" i="16"/>
  <c r="L17" i="16" s="1"/>
  <c r="J26" i="16"/>
  <c r="L26" i="16" s="1"/>
  <c r="B135" i="6" s="1"/>
  <c r="J12" i="16"/>
  <c r="L12" i="16" s="1"/>
  <c r="B206" i="6" s="1"/>
  <c r="J30" i="16"/>
  <c r="L30" i="16" s="1"/>
  <c r="B127" i="44" l="1"/>
  <c r="B147" i="6"/>
  <c r="K29" i="14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46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28" i="6" s="1"/>
  <c r="J28" i="14"/>
  <c r="J31" i="14"/>
  <c r="J24" i="14"/>
  <c r="E25" i="14"/>
  <c r="J25" i="14" s="1"/>
  <c r="J9" i="14"/>
  <c r="J42" i="14"/>
  <c r="J41" i="14" s="1"/>
  <c r="L41" i="14" s="1"/>
  <c r="B176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87" i="6" s="1"/>
  <c r="J6" i="14"/>
  <c r="L6" i="14" s="1"/>
  <c r="B110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20" i="6" s="1"/>
  <c r="B96" i="44" l="1"/>
  <c r="L17" i="14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105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89" i="6" s="1"/>
  <c r="J16" i="12"/>
  <c r="J18" i="12"/>
  <c r="J20" i="12"/>
  <c r="J13" i="12"/>
  <c r="J7" i="12"/>
  <c r="J6" i="12" s="1"/>
  <c r="L6" i="12" s="1"/>
  <c r="B177" i="6" s="1"/>
  <c r="J15" i="12"/>
  <c r="J19" i="12"/>
  <c r="E22" i="12"/>
  <c r="J22" i="12" s="1"/>
  <c r="J21" i="12" l="1"/>
  <c r="L21" i="12" s="1"/>
  <c r="J12" i="12"/>
  <c r="L12" i="12" s="1"/>
  <c r="B129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44" i="6" s="1"/>
  <c r="J7" i="11"/>
  <c r="J6" i="11" s="1"/>
  <c r="L6" i="11" s="1"/>
  <c r="B219" i="6" s="1"/>
  <c r="J49" i="11"/>
  <c r="E38" i="11"/>
  <c r="J38" i="11" s="1"/>
  <c r="J26" i="11" l="1"/>
  <c r="L26" i="11" s="1"/>
  <c r="B154" i="6" s="1"/>
  <c r="J23" i="11"/>
  <c r="L23" i="11" s="1"/>
  <c r="J17" i="11"/>
  <c r="L17" i="11" s="1"/>
  <c r="B92" i="6" s="1"/>
  <c r="J10" i="11"/>
  <c r="L10" i="11" s="1"/>
  <c r="B100" i="6" s="1"/>
  <c r="J42" i="11"/>
  <c r="L42" i="11" s="1"/>
  <c r="J32" i="11"/>
  <c r="L32" i="11" s="1"/>
  <c r="J35" i="11"/>
  <c r="L35" i="11" s="1"/>
  <c r="B106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99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66" i="6" s="1"/>
  <c r="J13" i="9"/>
  <c r="J12" i="9" s="1"/>
  <c r="L12" i="9" s="1"/>
  <c r="J11" i="9"/>
  <c r="J10" i="9" s="1"/>
  <c r="L10" i="9" s="1"/>
  <c r="B78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40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80" i="6" s="1"/>
  <c r="J29" i="9"/>
  <c r="J22" i="9"/>
  <c r="L22" i="9" s="1"/>
  <c r="B194" i="6" s="1"/>
  <c r="J33" i="9"/>
  <c r="L33" i="9" s="1"/>
  <c r="B150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65" i="6" s="1"/>
  <c r="J17" i="8"/>
  <c r="J16" i="8" s="1"/>
  <c r="L16" i="8" s="1"/>
  <c r="J19" i="8"/>
  <c r="J15" i="8"/>
  <c r="J14" i="8" s="1"/>
  <c r="L14" i="8" s="1"/>
  <c r="J22" i="8"/>
  <c r="L8" i="8"/>
  <c r="B56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70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213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8" i="6" s="1"/>
  <c r="E21" i="7"/>
  <c r="J21" i="7" s="1"/>
  <c r="J20" i="7" s="1"/>
  <c r="L20" i="7" s="1"/>
  <c r="B25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107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80" i="6" s="1"/>
  <c r="J85" i="5"/>
  <c r="J84" i="5" s="1"/>
  <c r="L84" i="5" s="1"/>
  <c r="B79" i="6" s="1"/>
  <c r="J46" i="5"/>
  <c r="J50" i="5"/>
  <c r="J18" i="5"/>
  <c r="L18" i="5" s="1"/>
  <c r="B220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23" i="6" s="1"/>
  <c r="J25" i="5"/>
  <c r="L25" i="5" s="1"/>
  <c r="B7" i="6" s="1"/>
  <c r="E98" i="5"/>
  <c r="J98" i="5" s="1"/>
  <c r="J63" i="5"/>
  <c r="J60" i="5" s="1"/>
  <c r="J12" i="5"/>
  <c r="L12" i="5" s="1"/>
  <c r="B93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6" i="6" s="1"/>
  <c r="J91" i="5"/>
  <c r="L91" i="5" s="1"/>
  <c r="J55" i="5"/>
  <c r="L55" i="5" s="1"/>
  <c r="J40" i="5"/>
  <c r="L40" i="5" s="1"/>
  <c r="B101" i="6" s="1"/>
  <c r="L31" i="5"/>
  <c r="J65" i="5"/>
  <c r="L65" i="5" s="1"/>
  <c r="L20" i="5"/>
  <c r="L27" i="5"/>
  <c r="B149" i="6" s="1"/>
  <c r="J44" i="5"/>
  <c r="L44" i="5" s="1"/>
  <c r="L14" i="5"/>
  <c r="L60" i="5"/>
  <c r="J97" i="5"/>
  <c r="K51" i="3"/>
  <c r="K15" i="3"/>
  <c r="K61" i="3"/>
  <c r="L97" i="5" l="1"/>
  <c r="B204" i="6" s="1"/>
  <c r="K20" i="4"/>
  <c r="K41" i="4"/>
  <c r="H99" i="4" l="1"/>
  <c r="I99" i="4" s="1"/>
  <c r="F99" i="4"/>
  <c r="D99" i="4"/>
  <c r="E99" i="4" l="1"/>
  <c r="J99" i="4" s="1"/>
  <c r="J98" i="4" s="1"/>
  <c r="L98" i="4" s="1"/>
  <c r="B130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70" i="6" s="1"/>
  <c r="J48" i="4"/>
  <c r="J73" i="4"/>
  <c r="J77" i="4"/>
  <c r="J76" i="4" s="1"/>
  <c r="L76" i="4" s="1"/>
  <c r="B46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225" i="6" s="1"/>
  <c r="J13" i="4"/>
  <c r="J46" i="4"/>
  <c r="J14" i="4"/>
  <c r="J72" i="4"/>
  <c r="J45" i="4"/>
  <c r="J28" i="4"/>
  <c r="J52" i="4"/>
  <c r="J87" i="4"/>
  <c r="J86" i="4" s="1"/>
  <c r="L86" i="4" s="1"/>
  <c r="B142" i="6" s="1"/>
  <c r="J93" i="4"/>
  <c r="J92" i="4" s="1"/>
  <c r="L92" i="4" s="1"/>
  <c r="B95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9" i="6" s="1"/>
  <c r="J41" i="4"/>
  <c r="L41" i="4" s="1"/>
  <c r="B203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7" i="6" s="1"/>
  <c r="J15" i="4"/>
  <c r="L15" i="4" s="1"/>
  <c r="J47" i="4"/>
  <c r="L47" i="4" s="1"/>
  <c r="J96" i="4"/>
  <c r="L96" i="4" s="1"/>
  <c r="J78" i="4"/>
  <c r="L78" i="4" s="1"/>
  <c r="J80" i="4"/>
  <c r="L80" i="4" s="1"/>
  <c r="B148" i="6" s="1"/>
  <c r="L20" i="4"/>
  <c r="J82" i="4"/>
  <c r="L82" i="4" s="1"/>
  <c r="B27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77" i="6" s="1"/>
  <c r="I11" i="3"/>
  <c r="J11" i="3" s="1"/>
  <c r="I73" i="3"/>
  <c r="J73" i="3" s="1"/>
  <c r="J72" i="3" s="1"/>
  <c r="L72" i="3" s="1"/>
  <c r="B202" i="6" s="1"/>
  <c r="I75" i="3"/>
  <c r="J75" i="3" s="1"/>
  <c r="J74" i="3" s="1"/>
  <c r="L74" i="3" s="1"/>
  <c r="B185" i="6" s="1"/>
  <c r="I77" i="3"/>
  <c r="J77" i="3" s="1"/>
  <c r="J76" i="3" s="1"/>
  <c r="L76" i="3" s="1"/>
  <c r="B28" i="6" s="1"/>
  <c r="I79" i="3"/>
  <c r="J79" i="3" s="1"/>
  <c r="J78" i="3" s="1"/>
  <c r="L78" i="3" s="1"/>
  <c r="B53" i="6" s="1"/>
  <c r="I81" i="3"/>
  <c r="J81" i="3" s="1"/>
  <c r="J80" i="3" s="1"/>
  <c r="L80" i="3" s="1"/>
  <c r="B48" i="6" s="1"/>
  <c r="I83" i="3"/>
  <c r="J83" i="3" s="1"/>
  <c r="J82" i="3" s="1"/>
  <c r="L82" i="3" s="1"/>
  <c r="B84" i="6" s="1"/>
  <c r="I85" i="3"/>
  <c r="J85" i="3" s="1"/>
  <c r="J84" i="3" s="1"/>
  <c r="L84" i="3" s="1"/>
  <c r="B64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1" i="6" s="1"/>
  <c r="J23" i="3"/>
  <c r="L23" i="3" s="1"/>
  <c r="B71" i="6" s="1"/>
  <c r="J61" i="3"/>
  <c r="L61" i="3" s="1"/>
  <c r="B116" i="6" s="1"/>
  <c r="J33" i="3"/>
  <c r="L33" i="3" s="1"/>
  <c r="B60" i="6" s="1"/>
  <c r="J26" i="3"/>
  <c r="L26" i="3" s="1"/>
  <c r="J65" i="3"/>
  <c r="L65" i="3" s="1"/>
  <c r="B52" i="6" s="1"/>
  <c r="J51" i="3"/>
  <c r="L51" i="3" s="1"/>
  <c r="B201" i="6" s="1"/>
  <c r="J30" i="3"/>
  <c r="L30" i="3" s="1"/>
  <c r="B207" i="6" s="1"/>
  <c r="J42" i="3"/>
  <c r="L42" i="3" s="1"/>
  <c r="B155" i="6" s="1"/>
  <c r="J15" i="3"/>
  <c r="L15" i="3" s="1"/>
  <c r="B62" i="6" s="1"/>
  <c r="J45" i="3"/>
  <c r="L45" i="3" s="1"/>
  <c r="J55" i="3"/>
  <c r="L55" i="3" s="1"/>
  <c r="B43" i="6" s="1"/>
  <c r="J10" i="3"/>
  <c r="L10" i="3" s="1"/>
  <c r="B104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B50" i="44" l="1"/>
  <c r="I22" i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J37" i="1" s="1"/>
  <c r="I35" i="1"/>
  <c r="J35" i="1" s="1"/>
  <c r="I52" i="1"/>
  <c r="J52" i="1" s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  <c r="I14" i="53" l="1"/>
  <c r="J14" i="53" s="1"/>
  <c r="J12" i="53" s="1"/>
  <c r="L12" i="53" s="1"/>
  <c r="B98" i="6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<sst xmlns="http://schemas.openxmlformats.org/spreadsheetml/2006/main" count="2767" uniqueCount="1084">
  <si>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</si>
  <si>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</si>
  <si>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</si>
  <si>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</si>
  <si>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</si>
  <si>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</si>
  <si>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</si>
  <si>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</si>
  <si>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</si>
  <si>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</si>
  <si>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</si>
  <si>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</si>
  <si>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</si>
  <si>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</si>
  <si>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</si>
  <si>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</si>
  <si>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</si>
  <si>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</si>
  <si>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</si>
  <si>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</si>
  <si>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</si>
  <si>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</si>
  <si>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</si>
  <si>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</si>
  <si>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</si>
  <si>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</si>
  <si>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</si>
  <si>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</si>
  <si>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</si>
  <si>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</si>
  <si>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</si>
  <si>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</si>
  <si>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</si>
  <si>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</si>
  <si>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</si>
  <si>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</si>
  <si>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</si>
  <si>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</si>
  <si>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</si>
  <si>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</si>
  <si>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</si>
  <si>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</si>
  <si>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</si>
  <si>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</si>
  <si>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</si>
  <si>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</si>
  <si>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</si>
  <si>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</si>
  <si>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</si>
  <si>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</si>
  <si>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</si>
  <si>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</si>
  <si>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</si>
  <si>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</si>
  <si>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</si>
  <si>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</si>
  <si>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</si>
  <si>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</si>
  <si>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</si>
  <si>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</si>
  <si>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</si>
  <si>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</si>
  <si>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</si>
  <si>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</si>
  <si>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</si>
  <si>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</si>
  <si>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</si>
  <si>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</si>
  <si>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</si>
  <si>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</si>
  <si>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</si>
  <si>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</si>
  <si>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</si>
  <si>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</si>
  <si>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</si>
  <si>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</si>
  <si>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</si>
  <si>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</si>
  <si>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</si>
  <si>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</si>
  <si>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</si>
  <si>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</si>
  <si>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</si>
  <si>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</si>
  <si>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</si>
  <si>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</si>
  <si>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</si>
  <si>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</si>
  <si>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</si>
  <si>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</si>
  <si>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</si>
  <si>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</si>
  <si>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</si>
  <si>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</si>
  <si>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</si>
  <si>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</si>
  <si>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</si>
  <si>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</si>
  <si>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</si>
  <si>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</si>
  <si>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</si>
  <si>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</si>
  <si>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</si>
  <si>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</si>
  <si>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</si>
  <si>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</si>
  <si>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</si>
  <si>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</si>
  <si>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</si>
  <si>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</si>
  <si>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</si>
  <si>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</si>
  <si>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</si>
  <si>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</si>
  <si>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</si>
  <si>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</si>
  <si>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</si>
  <si>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</si>
  <si>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</si>
  <si>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</si>
  <si>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</si>
  <si>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</si>
  <si>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</si>
  <si>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</si>
  <si>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</si>
  <si>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</si>
  <si>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</si>
  <si>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</si>
  <si>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</si>
  <si>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</si>
  <si>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</si>
  <si>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</si>
  <si>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</si>
  <si>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</si>
  <si>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</si>
  <si>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</si>
  <si>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</si>
  <si>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</si>
  <si>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</si>
  <si>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</si>
  <si>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</si>
  <si>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</si>
  <si>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</si>
  <si>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</si>
  <si>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</si>
  <si>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</si>
  <si>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</si>
  <si>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</si>
  <si>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</si>
  <si>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</si>
  <si>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</si>
  <si>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</si>
  <si>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</si>
  <si>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</si>
  <si>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</si>
  <si>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</si>
  <si>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</si>
  <si>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</si>
  <si>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</si>
  <si>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</si>
  <si>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</si>
  <si>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</si>
  <si>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</si>
  <si>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</si>
  <si>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</si>
  <si>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</si>
  <si>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</si>
  <si>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</si>
  <si>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</si>
  <si>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</si>
  <si>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</si>
  <si>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</si>
  <si>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</si>
  <si>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</si>
  <si>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</si>
  <si>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</si>
  <si>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</si>
  <si>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</si>
  <si>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</si>
  <si>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</si>
  <si>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</si>
  <si>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</si>
  <si>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</si>
  <si>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</si>
  <si>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</si>
  <si>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</si>
  <si>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</si>
  <si>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</si>
  <si>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</si>
  <si>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</si>
  <si>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</si>
  <si>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</si>
  <si>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</si>
  <si>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</si>
  <si>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</si>
  <si>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</si>
  <si>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</si>
  <si>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</si>
  <si>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</si>
  <si>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</si>
  <si>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</si>
  <si>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</si>
  <si>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</si>
  <si>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</si>
  <si>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</si>
  <si>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</si>
  <si>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</si>
  <si>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</si>
  <si>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</si>
  <si>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</si>
  <si>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</si>
  <si>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</si>
  <si>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</si>
  <si>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</si>
  <si>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</si>
  <si>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</si>
  <si>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</si>
  <si>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</si>
  <si>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</si>
  <si>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</si>
  <si>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</si>
  <si>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</si>
  <si>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</si>
  <si>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</si>
  <si>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</si>
  <si>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</si>
  <si>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</si>
  <si>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</si>
  <si>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</si>
  <si>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</si>
  <si>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</si>
  <si>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</si>
  <si>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</si>
  <si>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</si>
  <si>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</si>
  <si>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</si>
  <si>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</si>
  <si>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</si>
  <si>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</si>
  <si>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</si>
  <si>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</si>
  <si>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</si>
  <si>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</si>
  <si>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</si>
  <si>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</si>
  <si>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</si>
  <si>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</si>
  <si>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</si>
  <si>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</si>
  <si>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</si>
  <si>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</si>
  <si>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</si>
  <si>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</si>
  <si>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</si>
  <si>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</si>
  <si>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</si>
  <si>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</si>
  <si>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</si>
  <si>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</si>
  <si>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</si>
  <si>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</si>
  <si>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</si>
  <si>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</si>
  <si>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</si>
  <si>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</si>
  <si>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</si>
  <si>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</si>
  <si>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</si>
  <si>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</si>
  <si>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</si>
  <si>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</si>
  <si>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</si>
  <si>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</si>
  <si>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</si>
  <si>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</si>
  <si>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</si>
  <si>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</si>
  <si>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</si>
  <si>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</si>
  <si>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</si>
  <si>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</si>
  <si>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</si>
  <si>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</si>
  <si>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</si>
  <si>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</si>
  <si>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</si>
  <si>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</si>
  <si>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</si>
  <si>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</si>
  <si>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</si>
  <si>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</si>
  <si>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</si>
  <si>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</si>
  <si>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</si>
  <si>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</si>
  <si>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</si>
  <si>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</si>
  <si>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</si>
  <si>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</si>
  <si>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</si>
  <si>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</si>
  <si>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</si>
  <si>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</si>
  <si>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</si>
  <si>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</si>
  <si>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</si>
  <si>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</si>
  <si>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</si>
  <si>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</si>
  <si>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</si>
  <si>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</si>
  <si>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</si>
  <si>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</si>
  <si>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</si>
  <si>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</si>
  <si>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</si>
  <si>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</si>
  <si>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</si>
  <si>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</si>
  <si>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</si>
  <si>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</si>
  <si>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</si>
  <si>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</si>
  <si>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</si>
  <si>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</si>
  <si>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</si>
  <si>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</si>
  <si>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</si>
  <si>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</si>
  <si>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</si>
  <si>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</si>
  <si>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</si>
  <si>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</si>
  <si>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</si>
  <si>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</si>
  <si>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</si>
  <si>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</si>
  <si>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</si>
  <si>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</si>
  <si>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</si>
  <si>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</si>
  <si>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</si>
  <si>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</si>
  <si>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</si>
  <si>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</si>
  <si>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</si>
  <si>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</si>
  <si>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</si>
  <si>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</si>
  <si>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</si>
  <si>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</si>
  <si>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</si>
  <si>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</si>
  <si>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</si>
  <si>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</si>
  <si>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</si>
  <si>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</si>
  <si>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</si>
  <si>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</si>
  <si>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</si>
  <si>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</si>
  <si>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</si>
  <si>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</si>
  <si>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</si>
  <si>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</si>
  <si>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</si>
  <si>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</si>
  <si>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</si>
  <si>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</si>
  <si>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</si>
  <si>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</si>
  <si>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</si>
  <si>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</si>
  <si>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</si>
  <si>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</si>
  <si>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</si>
  <si>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</si>
  <si>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</si>
  <si>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</si>
  <si>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</si>
  <si>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</si>
  <si>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</si>
  <si>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</si>
  <si>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</si>
  <si>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</si>
  <si>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</si>
  <si>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</si>
  <si>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</si>
  <si>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</si>
  <si>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</si>
  <si>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</si>
  <si>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</si>
  <si>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</si>
  <si>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</si>
  <si>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</si>
  <si>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</si>
  <si>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</si>
  <si>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</si>
  <si>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</si>
  <si>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</si>
  <si>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</si>
  <si>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</si>
  <si>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</si>
  <si>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</si>
  <si>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</si>
  <si>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</si>
  <si>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</si>
  <si>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</si>
  <si>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</si>
  <si>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</si>
  <si>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</si>
  <si>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</si>
  <si>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</si>
  <si>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</si>
  <si>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</si>
  <si>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</si>
  <si>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</si>
  <si>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</si>
  <si>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</si>
  <si>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</si>
  <si>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</si>
  <si>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</si>
  <si>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</si>
  <si>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</si>
  <si>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</si>
  <si>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</si>
  <si>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</si>
  <si>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</si>
  <si>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</si>
  <si>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</si>
  <si>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</si>
  <si>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</si>
  <si>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</si>
  <si>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</si>
  <si>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</si>
  <si>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</si>
  <si>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</si>
  <si>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</si>
  <si>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</si>
  <si>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</si>
  <si>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</si>
  <si>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</si>
  <si>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</si>
  <si>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</si>
  <si>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</si>
  <si>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</si>
  <si>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</si>
  <si>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</si>
  <si>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</si>
  <si>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</si>
  <si>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</si>
  <si>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</si>
  <si>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</si>
  <si>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</si>
  <si>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</si>
  <si>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</si>
  <si>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</si>
  <si>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</si>
  <si>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</si>
  <si>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</si>
  <si>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</si>
  <si>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</si>
  <si>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</si>
  <si>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</si>
  <si>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</si>
  <si>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</si>
  <si>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</si>
  <si>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</si>
  <si>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</si>
  <si>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</si>
  <si>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</si>
  <si>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</si>
  <si>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</si>
  <si>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</si>
  <si>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</si>
  <si>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</si>
  <si>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</si>
  <si>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</si>
  <si>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</si>
  <si>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</si>
  <si>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</si>
  <si>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</si>
  <si>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</si>
  <si>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</si>
  <si>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</si>
  <si>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</si>
  <si>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</si>
  <si>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</si>
  <si>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</si>
  <si>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</si>
  <si>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</si>
  <si>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</si>
  <si>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</si>
  <si>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</si>
  <si>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</si>
  <si>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</si>
  <si>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</si>
  <si>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</si>
  <si>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</si>
  <si>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</si>
  <si>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</si>
  <si>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</si>
  <si>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</si>
  <si>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</si>
  <si>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</si>
  <si>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</si>
  <si>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</si>
  <si>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</si>
  <si>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</si>
  <si>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</si>
  <si>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</si>
  <si>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</si>
  <si>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</si>
  <si>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</si>
  <si>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</si>
  <si>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</si>
  <si>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</si>
  <si>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</si>
  <si>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</si>
  <si>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</si>
  <si>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</si>
  <si>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</si>
  <si>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</si>
  <si>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</si>
  <si>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</si>
  <si>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</si>
  <si>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</si>
  <si>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</si>
  <si>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</si>
  <si>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</si>
  <si>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</si>
  <si>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</si>
  <si>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</si>
  <si>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</si>
  <si>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</si>
  <si>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</si>
  <si>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</si>
  <si>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</si>
  <si>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</si>
  <si>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</si>
  <si>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</si>
  <si>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</si>
  <si>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</si>
  <si>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</si>
  <si>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</si>
  <si>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</si>
  <si>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</si>
  <si>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</si>
  <si>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</si>
  <si>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</si>
  <si>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</si>
  <si>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</si>
  <si>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</si>
  <si>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</si>
  <si>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</si>
  <si>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</si>
  <si>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</si>
  <si>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</si>
  <si>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</si>
  <si>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</si>
  <si>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</si>
  <si>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</si>
  <si>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</si>
  <si>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</si>
  <si>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</si>
  <si>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</si>
  <si>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</si>
  <si>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</si>
  <si>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</si>
  <si>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</si>
  <si>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</si>
  <si>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</si>
  <si>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</si>
  <si>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</si>
  <si>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</si>
  <si>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</si>
  <si>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</si>
  <si>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</si>
  <si>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</si>
  <si>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</si>
  <si>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</si>
  <si>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</si>
  <si>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</si>
  <si>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</si>
  <si>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</si>
  <si>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</si>
  <si>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</si>
  <si>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</si>
  <si>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</si>
  <si>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</si>
  <si>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</si>
  <si>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</si>
  <si>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</si>
  <si>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</si>
  <si>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</si>
  <si>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</si>
  <si>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</si>
  <si>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</si>
  <si>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</si>
  <si>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</si>
  <si>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</si>
  <si>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</si>
  <si>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</si>
  <si>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</si>
  <si>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</si>
  <si>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</si>
  <si>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</si>
  <si>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</si>
  <si>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</si>
  <si>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</si>
  <si>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</si>
  <si>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</si>
  <si>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</si>
  <si>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</si>
  <si>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</si>
  <si>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</si>
  <si>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</si>
  <si>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</si>
  <si>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</si>
  <si>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</si>
  <si>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</si>
  <si>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</si>
  <si>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</si>
  <si>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</si>
  <si>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</si>
  <si>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</si>
  <si>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</si>
  <si>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</si>
  <si>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</si>
  <si>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</si>
  <si>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</si>
  <si>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</si>
  <si>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</si>
  <si>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</si>
  <si>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</si>
  <si>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</si>
  <si>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</si>
  <si>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</si>
  <si>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</si>
  <si>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</si>
  <si>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</si>
  <si>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</si>
  <si>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</si>
  <si>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</si>
  <si>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</si>
  <si>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</si>
  <si>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</si>
  <si>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</si>
  <si>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</si>
  <si>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</si>
  <si>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</si>
  <si>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</si>
  <si>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</si>
  <si>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</si>
  <si>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</si>
  <si>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</si>
  <si>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</si>
  <si>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</si>
  <si>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</si>
  <si>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</si>
  <si>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</si>
  <si>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</si>
  <si>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</si>
  <si>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</si>
  <si>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</si>
  <si>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</si>
  <si>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</si>
  <si>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</si>
  <si>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</si>
  <si>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</si>
  <si>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</si>
  <si>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</si>
  <si>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</si>
  <si>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</si>
  <si>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</si>
  <si>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</si>
  <si>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</si>
  <si>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</si>
  <si>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</si>
  <si>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</si>
  <si>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</si>
  <si>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</si>
  <si>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</si>
  <si>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</si>
  <si>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</si>
  <si>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</si>
  <si>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</si>
  <si>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</si>
  <si>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</si>
  <si>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</si>
  <si>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</si>
  <si>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</si>
  <si>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</si>
  <si>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</si>
  <si>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</si>
  <si>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</si>
  <si>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</si>
  <si>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</si>
  <si>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</si>
  <si>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</si>
  <si>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</si>
  <si>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</si>
  <si>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</si>
  <si>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</si>
  <si>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</si>
  <si>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</si>
  <si>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</si>
  <si>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</si>
  <si>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</si>
  <si>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</si>
  <si>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</si>
  <si>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</si>
  <si>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</si>
  <si>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</si>
  <si>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</si>
  <si>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</si>
  <si>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</si>
  <si>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</si>
  <si>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</si>
  <si>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</si>
  <si>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</si>
  <si>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</si>
  <si>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</si>
  <si>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</si>
  <si>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</si>
  <si>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</si>
  <si>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</si>
  <si>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</si>
  <si>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</si>
  <si>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</si>
  <si>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</si>
  <si>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</si>
  <si>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</si>
  <si>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</si>
  <si>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</si>
  <si>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</si>
  <si>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</si>
  <si>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</si>
  <si>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</si>
  <si>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</si>
  <si>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</si>
  <si>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</si>
  <si>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</si>
  <si>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</si>
  <si>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</si>
  <si>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</si>
  <si>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</si>
  <si>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</si>
  <si>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</si>
  <si>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</si>
  <si>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</si>
  <si>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</si>
  <si>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</si>
  <si>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</si>
  <si>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</si>
  <si>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</si>
  <si>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</si>
  <si>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</si>
  <si>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</si>
  <si>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</si>
  <si>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</si>
  <si>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</si>
  <si>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</si>
  <si>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</si>
  <si>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</si>
  <si>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</si>
  <si>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</si>
  <si>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</si>
  <si>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</si>
  <si>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</si>
  <si>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</si>
  <si>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</si>
  <si>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</si>
  <si>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</si>
  <si>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</si>
  <si>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</si>
  <si>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</si>
  <si>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</si>
  <si>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</si>
  <si>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</si>
  <si>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</si>
  <si>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</si>
  <si>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</si>
  <si>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</si>
  <si>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</si>
  <si>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</si>
  <si>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</si>
  <si>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</si>
  <si>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</si>
  <si>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</si>
  <si>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</si>
  <si>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</si>
  <si>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</si>
  <si>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</si>
  <si>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</si>
  <si>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</si>
  <si>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</si>
  <si>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</si>
  <si>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</si>
  <si>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</si>
  <si>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</si>
  <si>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</si>
  <si>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</si>
  <si>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</si>
  <si>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</si>
  <si>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</si>
  <si>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</si>
  <si>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</si>
  <si>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</si>
  <si>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</si>
  <si>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</si>
  <si>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</si>
  <si>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</si>
  <si>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</si>
  <si>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</si>
  <si>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</si>
  <si>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</si>
  <si>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</si>
  <si>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</si>
  <si>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</si>
  <si>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</si>
  <si>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</si>
  <si>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</si>
  <si>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</si>
  <si>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</si>
  <si>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</si>
  <si>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</si>
  <si>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</si>
  <si>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</si>
  <si>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</si>
  <si>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</si>
  <si>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</si>
  <si>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</si>
  <si>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</si>
  <si>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</si>
  <si>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</si>
  <si>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</si>
  <si>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</si>
  <si>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</si>
  <si>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</si>
  <si>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</si>
  <si>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</si>
  <si>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</si>
  <si>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</si>
  <si>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</si>
  <si>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</si>
  <si>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</si>
  <si>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</si>
  <si>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</si>
  <si>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</si>
  <si>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</si>
  <si>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</si>
  <si>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</si>
  <si>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</si>
  <si>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2, 8, 41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</si>
  <si>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</si>
  <si>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</si>
  <si>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</si>
  <si>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</si>
  <si>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</si>
  <si>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</si>
  <si>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</si>
  <si>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</si>
  <si>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</si>
  <si>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</si>
  <si>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</si>
  <si>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</si>
  <si>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</si>
  <si>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</si>
  <si>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</si>
  <si>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</si>
  <si>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</si>
  <si>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</si>
  <si>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</si>
  <si>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</si>
  <si>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38, 42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</si>
  <si>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</si>
  <si>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</si>
  <si>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</si>
  <si>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</si>
  <si>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</si>
  <si>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</si>
  <si>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wrinkle collagen</t>
  </si>
  <si>
    <t>вернула на карту 26.04.2016</t>
  </si>
  <si>
    <t>кремики под номером 5. три разных крема+пробники</t>
  </si>
  <si>
    <t>3 wrinkle collagen cream + пробники (под цифрой 4)</t>
  </si>
  <si>
    <t>первая позиция, пилинг-скатка,150 мл </t>
  </si>
  <si>
    <t>Manula</t>
  </si>
  <si>
    <t>Tess</t>
  </si>
  <si>
    <t>Shalyo</t>
  </si>
  <si>
    <t>050 sum37 peeling *16шт</t>
  </si>
  <si>
    <t>066, 067 sum37 skin 15шт +lotion 16шт (на замену 021, 022)</t>
  </si>
  <si>
    <t>pigamaVpolosku</t>
  </si>
  <si>
    <t>Светёна</t>
  </si>
  <si>
    <t>крем для лица +умывалка</t>
  </si>
  <si>
    <t>маска обезьянка (голубая упаковка)</t>
  </si>
  <si>
    <t>2, 3,4, 5, 6, 8, 10, 12, 15, 17, 21, 24, 28, 31, 32, 33, 35, 36, 43</t>
  </si>
  <si>
    <t>14, 15, 19,22, 23, 24, 25, 28, 30, 32, 33, 34, 36, 41, 43</t>
  </si>
  <si>
    <t>33, 36, 38, 40, 43</t>
  </si>
  <si>
    <t>12, 13, 14, 17, 18, 21,22, 23, 27, 29, 30, 31, 32, 34, 38, 40, 41, 43</t>
  </si>
  <si>
    <t>35, 37, 43</t>
  </si>
  <si>
    <t>sIrэna</t>
  </si>
  <si>
    <t>лак акция по 2 шт</t>
  </si>
  <si>
    <t>компакт</t>
  </si>
  <si>
    <t>праймер для век</t>
  </si>
  <si>
    <t>пенка ацерола, голубика</t>
  </si>
  <si>
    <t>N_AT_A</t>
  </si>
  <si>
    <t>парфюм</t>
  </si>
  <si>
    <t>лосьон</t>
  </si>
  <si>
    <t>крем гель для рук</t>
  </si>
  <si>
    <t>скатки 1+1</t>
  </si>
  <si>
    <t>Каждого вида по 1 штуке. Маски</t>
  </si>
  <si>
    <t>пенка 300мл (вместо нее 2 по 150, так дешевле)</t>
  </si>
  <si>
    <t>Цвяточег</t>
  </si>
  <si>
    <t>крем гель</t>
  </si>
  <si>
    <t>кушон Цвет N21 </t>
  </si>
  <si>
    <t>30, 41, 45</t>
  </si>
  <si>
    <t>маска НЕ ПРИСЛАЛИ</t>
  </si>
  <si>
    <t>Руф</t>
  </si>
  <si>
    <t>2 пенки Шисейдо из лота</t>
  </si>
  <si>
    <t>маски 4 шт подбородок</t>
  </si>
  <si>
    <t>крем с улиткой</t>
  </si>
  <si>
    <t>гель с улиткой</t>
  </si>
  <si>
    <t>рукавичка</t>
  </si>
  <si>
    <t>вв крем тон 2</t>
  </si>
  <si>
    <t>гель огурец</t>
  </si>
  <si>
    <t>Анна Коваленко</t>
  </si>
  <si>
    <t>крем для лица</t>
  </si>
  <si>
    <t>42, 46</t>
  </si>
  <si>
    <t>40, 46</t>
  </si>
  <si>
    <t>Ольга2408</t>
  </si>
  <si>
    <t>маска арома и маска коллаген</t>
  </si>
  <si>
    <t>Mango Fish</t>
  </si>
  <si>
    <t>Mizon Correct Combo Pact, оттенок 21</t>
  </si>
  <si>
    <t>Солнечная</t>
  </si>
  <si>
    <t>маска на нос</t>
  </si>
  <si>
    <t>набор масел</t>
  </si>
  <si>
    <t>№ 03 - Крем для лица Enprani, 50 мл</t>
  </si>
  <si>
    <t>№ 07 - маски Enprani, 23 мл, 20 шт</t>
  </si>
  <si>
    <t>Тушь для ресниц TONY MOLY Double needs pang mascara синяя</t>
  </si>
  <si>
    <t>тушь вово 4 тон голубой</t>
  </si>
  <si>
    <t xml:space="preserve">Тонер мизон </t>
  </si>
  <si>
    <t>крем для рук лот1+1</t>
  </si>
  <si>
    <t>ножнички</t>
  </si>
  <si>
    <t>спонж</t>
  </si>
  <si>
    <t>27, 47</t>
  </si>
  <si>
    <t>37, 47</t>
  </si>
  <si>
    <t>13,21, 23, 24, 26, 46, 47</t>
  </si>
  <si>
    <t>продавец вложил миску, лопатку, мерную ложку и средство для разведения маски</t>
  </si>
  <si>
    <t>продавец вложил крем для рук</t>
  </si>
  <si>
    <t>продавец вложил пробники</t>
  </si>
  <si>
    <t>LANEIGE Perfect Renew Firming Eye Cream</t>
  </si>
  <si>
    <t>маска лот</t>
  </si>
  <si>
    <t>ДашаrМИР</t>
  </si>
  <si>
    <t>крем для век лот 2 шт</t>
  </si>
  <si>
    <t>Ольга2804</t>
  </si>
  <si>
    <t>маска 1ши из лота</t>
  </si>
  <si>
    <t>Teardrop</t>
  </si>
  <si>
    <t>2- 5 штук </t>
  </si>
  <si>
    <t>3- 4 штуки </t>
  </si>
  <si>
    <t>5- 4 штуки </t>
  </si>
  <si>
    <t>7- 3 штуки </t>
  </si>
  <si>
    <t>крем для лица лот из 2 шт</t>
  </si>
  <si>
    <t>41, 46, 48</t>
  </si>
  <si>
    <t>21, 38, 42, 48</t>
  </si>
  <si>
    <t>47, 48</t>
  </si>
  <si>
    <t>Аня</t>
  </si>
  <si>
    <t>вв</t>
  </si>
  <si>
    <t>ночной крем</t>
  </si>
  <si>
    <t>консилеры  № 12, 13, 14  (1+1)</t>
  </si>
  <si>
    <t xml:space="preserve"> №10 помада</t>
  </si>
  <si>
    <t>№ 2, 3, 5, 7 по 5 шт и № 1 и 4 по 1 шт, итого 22 карандаша) </t>
  </si>
  <si>
    <t>карандашики: [Auto Eyeliner]10.Noir и [Auto Eyeliner]40.Angel </t>
  </si>
  <si>
    <t>Olik1000</t>
  </si>
  <si>
    <t>сыворотка и подарки</t>
  </si>
  <si>
    <t>limonnka</t>
  </si>
  <si>
    <t>палетка VDL</t>
  </si>
  <si>
    <t>оливка пенка</t>
  </si>
  <si>
    <t>пАННАчка</t>
  </si>
  <si>
    <t>крем для век 1+1</t>
  </si>
  <si>
    <t>Yulchikk</t>
  </si>
  <si>
    <t>Missha Signature Real Complete bb cream 45 гр. 23 тон - 15900 </t>
  </si>
  <si>
    <t>5+5 маски  (Клубника, биджи, киви, алое)</t>
  </si>
  <si>
    <t>innisfree Super volcanic pore clay mask: </t>
  </si>
  <si>
    <t>innisfree orchid massage cream </t>
  </si>
  <si>
    <t>Anyunya</t>
  </si>
  <si>
    <t> третий вариант крем для глаз+ коллагеновый </t>
  </si>
  <si>
    <t>крем для лица 1+1</t>
  </si>
  <si>
    <t>ВВ крем</t>
  </si>
  <si>
    <t>02 natural беж</t>
  </si>
  <si>
    <t>02 blossom беж </t>
  </si>
  <si>
    <t>ledyru</t>
  </si>
  <si>
    <t>Biore uv</t>
  </si>
  <si>
    <t>Biore очищение</t>
  </si>
  <si>
    <t>обьъемная </t>
  </si>
  <si>
    <t>34, 38, 41, 50</t>
  </si>
  <si>
    <t>12, 17,18, 25, 26, 28, 50</t>
  </si>
  <si>
    <t>42, 50</t>
  </si>
  <si>
    <t>12, 13, 14, 17, 18, 21,22, 23, 27, 29, 30, 31, 32, 34, 38, 40, 41, 43, 50</t>
  </si>
  <si>
    <t>36, 38, 44, 46, 50</t>
  </si>
  <si>
    <t>33, 36, 38, 40, 43, 47, 50</t>
  </si>
  <si>
    <t>ВЕС факт</t>
  </si>
  <si>
    <t>357р депозита вернула 12.02</t>
  </si>
  <si>
    <t>SMUZZI</t>
  </si>
  <si>
    <t xml:space="preserve"> тон 02 серо-коричневый - 2 шт. </t>
  </si>
  <si>
    <t xml:space="preserve">валериЯ80 </t>
  </si>
  <si>
    <t>Анна-В</t>
  </si>
  <si>
    <t>ZAliM</t>
  </si>
  <si>
    <t>lizakaty</t>
  </si>
  <si>
    <t>1 лот шампуни</t>
  </si>
  <si>
    <t xml:space="preserve">Медведица  </t>
  </si>
  <si>
    <t>для бровей тон 02 и 03</t>
  </si>
  <si>
    <t>49, 50</t>
  </si>
  <si>
    <t>4, 5, 6, 14, 22, 40, 50</t>
  </si>
  <si>
    <t>23 р вернула на сотовый 21.03</t>
  </si>
  <si>
    <t>серум</t>
  </si>
  <si>
    <t>Enprani крем для рук 1+1</t>
  </si>
  <si>
    <t>пенка с вулканической золой</t>
  </si>
  <si>
    <t>Lolly</t>
  </si>
  <si>
    <t>тон CR01 soft </t>
  </si>
  <si>
    <t>peach pink</t>
  </si>
  <si>
    <t>лот масло 1+1</t>
  </si>
  <si>
    <t>берлинка</t>
  </si>
  <si>
    <t xml:space="preserve">1шт из лота алоэ гель </t>
  </si>
  <si>
    <t>Onlinekate</t>
  </si>
  <si>
    <t>Снегурка</t>
  </si>
  <si>
    <t>МаленькаяПтичка</t>
  </si>
  <si>
    <t>крем коллагеновый  1+1</t>
  </si>
  <si>
    <t>klairs гидрофлка</t>
  </si>
  <si>
    <t>ночной</t>
  </si>
  <si>
    <t>klairs тоник с салфетками</t>
  </si>
  <si>
    <t>klairs вв крем</t>
  </si>
  <si>
    <t>klairs кушон со сменным блоком</t>
  </si>
  <si>
    <t>Norka87</t>
  </si>
  <si>
    <t>mizon тоник wichhazel</t>
  </si>
  <si>
    <t>яйцо</t>
  </si>
  <si>
    <t>гиалуронка 1шт из лота</t>
  </si>
  <si>
    <t>Рина-Марина</t>
  </si>
  <si>
    <t>№1 - 5 шт и №2 - 5 шт (НЕТ)</t>
  </si>
  <si>
    <t>02+04 крема</t>
  </si>
  <si>
    <t>43, 44, 47, 51</t>
  </si>
  <si>
    <t>47, 51</t>
  </si>
  <si>
    <t>21, 51</t>
  </si>
  <si>
    <t>37, 50, 51</t>
  </si>
  <si>
    <t>10р с айхерба перенесла</t>
  </si>
  <si>
    <t>убрала 550руб на оплату крема из наличия</t>
  </si>
  <si>
    <t>Яшеничка</t>
  </si>
  <si>
    <t>кушон</t>
  </si>
  <si>
    <t>Маша и Полина</t>
  </si>
  <si>
    <t>23 тон, самый темный который</t>
  </si>
  <si>
    <t>Olix</t>
  </si>
  <si>
    <t>сыворотка для век</t>
  </si>
  <si>
    <t>эссенция для волос 120мл</t>
  </si>
  <si>
    <t>42, 48, 52</t>
  </si>
  <si>
    <t>klairs крем с спф</t>
  </si>
  <si>
    <t>маски 11шт</t>
  </si>
  <si>
    <t>дневной крем в тюбике</t>
  </si>
  <si>
    <t>enprani black caviar cream</t>
  </si>
  <si>
    <t>большая баночка 100 мл, 14,45$.</t>
  </si>
  <si>
    <t>набор №2, с грибным кремом </t>
  </si>
  <si>
    <t>гранатовые маски 20+20 шт </t>
  </si>
  <si>
    <t> тон 02 - 2 шт </t>
  </si>
  <si>
    <t>тон 01 - 1 шт</t>
  </si>
  <si>
    <t>алоэ гель</t>
  </si>
  <si>
    <t xml:space="preserve">№1 и №2 по 5 штук </t>
  </si>
  <si>
    <t>краска для волос с джима цвет Natural Brown(CS) либо S3 Choko Brown </t>
  </si>
  <si>
    <t>Evgeniya24</t>
  </si>
  <si>
    <t>масло 120мл + минька 25мл</t>
  </si>
  <si>
    <t>escape</t>
  </si>
  <si>
    <t>вв мишша 23 тон 50мл</t>
  </si>
  <si>
    <t>Irisirisich</t>
  </si>
  <si>
    <t>Missha M Signature Real Complete - 23тон - 45мл</t>
  </si>
  <si>
    <t>крем для век лот*3шт</t>
  </si>
  <si>
    <t>41, 53</t>
  </si>
  <si>
    <t>30, 42, 50, 53</t>
  </si>
  <si>
    <t>36, 53</t>
  </si>
  <si>
    <t>48, 50, 51, 53</t>
  </si>
  <si>
    <t>31, 44, 53</t>
  </si>
  <si>
    <t>ВьюРок</t>
  </si>
  <si>
    <t>lala brow коричн</t>
  </si>
  <si>
    <t>ВВ крем Missha Signature Real Complete 45 гр. 23 тон.</t>
  </si>
  <si>
    <t>2, 14, 30, 45, 46, 50, 55</t>
  </si>
  <si>
    <t>50, 55</t>
  </si>
  <si>
    <t>2, 3,4, 5, 6, 8, 10, 12, 15, 17, 21, 24, 28, 31, 32, 33, 35, 36, 43, 55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</si>
</sst>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  <font>
      <sz val="6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0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6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7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" fontId="1" fillId="0" borderId="28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" fontId="0" fillId="0" borderId="31" xfId="0" applyNumberFormat="1" applyBorder="1" applyAlignment="1">
      <alignment horizontal="center"/>
    </xf>
    <xf numFmtId="0" fontId="3" fillId="0" borderId="31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  <xf numFmtId="0" fontId="11" fillId="0" borderId="1" xfId="0" applyFont="1" applyBorder="1" applyAlignment="1">
      <alignment horizontal="center"/>
    </xf>
    <xf numFmtId="1" fontId="0" fillId="0" borderId="0" xfId="0" applyNumberFormat="1"/>
    <xf numFmtId="0" fontId="0" fillId="3" borderId="1" xfId="0" applyFont="1" applyFill="1" applyBorder="1"/>
    <xf numFmtId="0" fontId="40" fillId="0" borderId="1" xfId="0" applyFont="1" applyBorder="1"/>
    <xf numFmtId="0" fontId="1" fillId="7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7" xfId="0" applyFont="1" applyBorder="1"/>
    <xf numFmtId="0" fontId="0" fillId="3" borderId="8" xfId="0" applyFont="1" applyFill="1" applyBorder="1" applyAlignment="1">
      <alignment wrapText="1"/>
    </xf>
    <xf numFmtId="0" fontId="0" fillId="0" borderId="8" xfId="0" applyFont="1" applyBorder="1"/>
    <xf numFmtId="0" fontId="0" fillId="0" borderId="0" xfId="0" applyFont="1"/>
    <xf numFmtId="1" fontId="26" fillId="12" borderId="1" xfId="0" applyNumberFormat="1" applyFont="1" applyFill="1" applyBorder="1" applyAlignment="1"/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5350" TargetMode="External"/><Relationship Id="rId2" Type="http://schemas.openxmlformats.org/officeDocument/2006/relationships/hyperlink" Target="http://forum.sibmama.ru/viewtopic.php?t=715424&amp;start=25320" TargetMode="External"/><Relationship Id="rId1" Type="http://schemas.openxmlformats.org/officeDocument/2006/relationships/hyperlink" Target="http://item2.gmarket.co.kr/English/detailview/item.aspx?goodscode=412197761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p=78007979" TargetMode="External"/><Relationship Id="rId2" Type="http://schemas.openxmlformats.org/officeDocument/2006/relationships/hyperlink" Target="http://forum.sibmama.ru/viewtopic.php?p=77935251" TargetMode="External"/><Relationship Id="rId1" Type="http://schemas.openxmlformats.org/officeDocument/2006/relationships/hyperlink" Target="http://forum.sibmama.ru/viewtopic.php?t=715424&amp;start=26430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28875" TargetMode="External"/><Relationship Id="rId1" Type="http://schemas.openxmlformats.org/officeDocument/2006/relationships/hyperlink" Target="http://forum.sibmama.ru/viewtopic.php?t=715424&amp;skw=%CA%EB%F3%E1%EE%EA&amp;sko=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9325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30195" TargetMode="External"/><Relationship Id="rId2" Type="http://schemas.openxmlformats.org/officeDocument/2006/relationships/hyperlink" Target="http://forum.sibmama.ru/viewtopic.php?p=85624875" TargetMode="External"/><Relationship Id="rId1" Type="http://schemas.openxmlformats.org/officeDocument/2006/relationships/hyperlink" Target="http://forum.sibmama.ru/viewtopic.php?t=715424&amp;start=30090" TargetMode="External"/><Relationship Id="rId4" Type="http://schemas.openxmlformats.org/officeDocument/2006/relationships/hyperlink" Target="http://forum.sibmama.ru/viewtopic.php?p=86111005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hyperlink" Target="http://item2.gmarket.co.kr/English/detailview/item.aspx?goodscode=19324370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tabSelected="1" topLeftCell="A139" zoomScale="80" zoomScaleNormal="80" workbookViewId="0">
      <selection activeCell="H165" sqref="H165"/>
    </sheetView>
  </sheetViews>
  <sheetFormatPr defaultRowHeight="15" x14ac:dyDescent="0.25"/>
  <cols>
    <col min="1" max="1" width="28" style="242" customWidth="1"/>
    <col min="2" max="2" width="16.7109375" style="160" customWidth="1"/>
    <col min="3" max="3" width="31.85546875" customWidth="1"/>
  </cols>
  <sheetData>
    <row r="1" spans="1:4" ht="46.5" x14ac:dyDescent="0.35">
      <c r="A1" s="236" t="s">
        <v>182</v>
      </c>
      <c r="B1" s="68" t="s">
        <v>188</v>
      </c>
      <c r="C1" s="68" t="s">
        <v>189</v>
      </c>
      <c r="D1" s="212" t="s">
        <v>183</v>
      </c>
    </row>
    <row r="2" spans="1:4" ht="21" x14ac:dyDescent="0.35">
      <c r="A2" s="237">
        <v>51150</v>
      </c>
      <c r="B2" s="51">
        <f>'34'!L12</f>
        <v>-0.38751000000002023</v>
      </c>
      <c r="C2" s="70">
        <v>35</v>
      </c>
      <c r="D2" s="212" t="s">
        <v>187</v>
      </c>
    </row>
    <row r="3" spans="1:4" ht="21" x14ac:dyDescent="0.35">
      <c r="A3" s="65" t="s">
        <v>449</v>
      </c>
      <c r="B3" s="51">
        <f>'17'!L27</f>
        <v>0.17795000000000982</v>
      </c>
      <c r="C3" s="70">
        <v>18</v>
      </c>
      <c r="D3" s="212" t="s">
        <v>816</v>
      </c>
    </row>
    <row r="4" spans="1:4" ht="21" x14ac:dyDescent="0.35">
      <c r="A4" s="65" t="s">
        <v>705</v>
      </c>
      <c r="B4" s="51">
        <f>'33'!L6</f>
        <v>0.1591200000000299</v>
      </c>
      <c r="C4" s="70">
        <v>34</v>
      </c>
      <c r="D4" s="212"/>
    </row>
    <row r="5" spans="1:4" x14ac:dyDescent="0.25">
      <c r="A5" s="65" t="s">
        <v>121</v>
      </c>
      <c r="B5" s="51">
        <f>'3'!L90</f>
        <v>0.43039999999996326</v>
      </c>
      <c r="C5" s="70">
        <v>3</v>
      </c>
      <c r="D5" s="69"/>
    </row>
    <row r="6" spans="1:4" x14ac:dyDescent="0.25">
      <c r="A6" s="65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25">
      <c r="A7" s="65" t="s">
        <v>179</v>
      </c>
      <c r="B7" s="51">
        <f>'4'!L25</f>
        <v>6.0853999999999928</v>
      </c>
      <c r="C7" s="70">
        <v>4</v>
      </c>
    </row>
    <row r="8" spans="1:4" x14ac:dyDescent="0.25">
      <c r="A8" s="65" t="s">
        <v>637</v>
      </c>
      <c r="B8" s="51">
        <f>'30'!L21</f>
        <v>16.747600000000148</v>
      </c>
      <c r="C8" s="70">
        <v>31</v>
      </c>
    </row>
    <row r="9" spans="1:4" x14ac:dyDescent="0.25">
      <c r="A9" s="65" t="s">
        <v>249</v>
      </c>
      <c r="B9" s="51">
        <f>'7'!L20</f>
        <v>-31.68433333333337</v>
      </c>
      <c r="C9" s="70">
        <v>7</v>
      </c>
      <c r="D9" s="69"/>
    </row>
    <row r="10" spans="1:4" x14ac:dyDescent="0.25">
      <c r="A10" s="65" t="s">
        <v>408</v>
      </c>
      <c r="B10" s="51">
        <f>'15'!L12</f>
        <v>3.9373199999999997</v>
      </c>
      <c r="C10" s="70">
        <v>15</v>
      </c>
      <c r="D10" s="69"/>
    </row>
    <row r="11" spans="1:4" x14ac:dyDescent="0.25">
      <c r="A11" s="65" t="s">
        <v>675</v>
      </c>
      <c r="B11" s="51">
        <f>'31'!L41+'33'!L24</f>
        <v>-0.44236000000000786</v>
      </c>
      <c r="C11" s="70" t="s">
        <v>721</v>
      </c>
      <c r="D11" s="69"/>
    </row>
    <row r="12" spans="1:4" x14ac:dyDescent="0.25">
      <c r="A12" s="65" t="s">
        <v>25</v>
      </c>
      <c r="B12" s="74">
        <f>'2итог'!L40+'9'!L23</f>
        <v>5.4230799999999988</v>
      </c>
      <c r="C12" s="70" t="s">
        <v>313</v>
      </c>
    </row>
    <row r="13" spans="1:4" x14ac:dyDescent="0.25">
      <c r="A13" s="65" t="s">
        <v>31</v>
      </c>
      <c r="B13" s="51">
        <f>'2итог'!L68+'8'!L6+'40'!L12</f>
        <v>8.3399999999983265E-2</v>
      </c>
      <c r="C13" s="70" t="s">
        <v>854</v>
      </c>
    </row>
    <row r="14" spans="1:4" x14ac:dyDescent="0.25">
      <c r="A14" s="238" t="s">
        <v>522</v>
      </c>
      <c r="B14" s="51">
        <f>'22'!L43</f>
        <v>5.7899999999904139E-2</v>
      </c>
      <c r="C14" s="70">
        <v>23</v>
      </c>
    </row>
    <row r="15" spans="1:4" x14ac:dyDescent="0.25">
      <c r="A15" s="238" t="s">
        <v>985</v>
      </c>
      <c r="B15" s="51">
        <f>'49'!L35</f>
        <v>-0.12899999999990541</v>
      </c>
      <c r="C15" s="70">
        <v>50</v>
      </c>
    </row>
    <row r="16" spans="1:4" x14ac:dyDescent="0.25">
      <c r="A16" s="65" t="s">
        <v>165</v>
      </c>
      <c r="B16" s="51">
        <f>'4'!L49+'5'!L60+'13'!L18+'16'!L6+'17'!L17+'19'!L19</f>
        <v>59.122805666666864</v>
      </c>
      <c r="C16" s="70" t="s">
        <v>472</v>
      </c>
    </row>
    <row r="17" spans="1:3" x14ac:dyDescent="0.25">
      <c r="A17" s="65" t="s">
        <v>130</v>
      </c>
      <c r="B17" s="51">
        <f>'3'!L12+'4'!L8</f>
        <v>4.0525399999999649</v>
      </c>
      <c r="C17" s="70">
        <v>3.4</v>
      </c>
    </row>
    <row r="18" spans="1:3" x14ac:dyDescent="0.25">
      <c r="A18" s="65" t="s">
        <v>213</v>
      </c>
      <c r="B18" s="51">
        <f>'5'!L12</f>
        <v>-2.7871300000000048</v>
      </c>
      <c r="C18" s="70">
        <v>5</v>
      </c>
    </row>
    <row r="19" spans="1:3" x14ac:dyDescent="0.25">
      <c r="A19" s="238" t="s">
        <v>519</v>
      </c>
      <c r="B19" s="51">
        <f>'22'!L39</f>
        <v>5.7899999999904139E-2</v>
      </c>
      <c r="C19" s="70">
        <v>23</v>
      </c>
    </row>
    <row r="20" spans="1:3" x14ac:dyDescent="0.25">
      <c r="A20" s="65" t="s">
        <v>339</v>
      </c>
      <c r="B20" s="51">
        <f>'12'!L23+'13'!L13</f>
        <v>7.8253999999999451</v>
      </c>
      <c r="C20" s="70" t="s">
        <v>367</v>
      </c>
    </row>
    <row r="21" spans="1:3" x14ac:dyDescent="0.25">
      <c r="A21" s="65" t="s">
        <v>21</v>
      </c>
      <c r="B21" s="51">
        <f>'2итог'!L20+'7'!L16</f>
        <v>-10.683320000000094</v>
      </c>
      <c r="C21" s="70" t="s">
        <v>269</v>
      </c>
    </row>
    <row r="22" spans="1:3" x14ac:dyDescent="0.25">
      <c r="A22" s="65" t="s">
        <v>737</v>
      </c>
      <c r="B22" s="51">
        <f>'34'!L38</f>
        <v>0.43110000000001492</v>
      </c>
      <c r="C22" s="70">
        <v>35</v>
      </c>
    </row>
    <row r="23" spans="1:3" x14ac:dyDescent="0.25">
      <c r="A23" s="65" t="s">
        <v>441</v>
      </c>
      <c r="B23" s="51">
        <f>'17'!L19</f>
        <v>1.4999999999872671E-2</v>
      </c>
      <c r="C23" s="70">
        <v>18</v>
      </c>
    </row>
    <row r="24" spans="1:3" x14ac:dyDescent="0.25">
      <c r="A24" s="65" t="s">
        <v>812</v>
      </c>
      <c r="B24" s="51">
        <f>'38'!L8</f>
        <v>0.47559999999975844</v>
      </c>
      <c r="C24" s="70">
        <v>39</v>
      </c>
    </row>
    <row r="25" spans="1:3" x14ac:dyDescent="0.25">
      <c r="A25" s="65" t="s">
        <v>198</v>
      </c>
      <c r="B25" s="51">
        <f>'5'!L20</f>
        <v>0.12885999999997466</v>
      </c>
      <c r="C25" s="70">
        <v>5</v>
      </c>
    </row>
    <row r="26" spans="1:3" x14ac:dyDescent="0.25">
      <c r="A26" s="65" t="s">
        <v>827</v>
      </c>
      <c r="B26" s="51">
        <f>'39'!L20+'45'!L8</f>
        <v>4.8746580000000677</v>
      </c>
      <c r="C26" s="70" t="s">
        <v>929</v>
      </c>
    </row>
    <row r="27" spans="1:3" x14ac:dyDescent="0.25">
      <c r="A27" s="65" t="s">
        <v>123</v>
      </c>
      <c r="B27" s="51">
        <f>'3'!L82+'5'!L27+'39'!L22</f>
        <v>0.44867999999995334</v>
      </c>
      <c r="C27" s="70" t="s">
        <v>834</v>
      </c>
    </row>
    <row r="28" spans="1:3" x14ac:dyDescent="0.25">
      <c r="A28" s="65" t="s">
        <v>38</v>
      </c>
      <c r="B28" s="51">
        <f>'2итог'!L76</f>
        <v>3.6608099999999695</v>
      </c>
      <c r="C28" s="70">
        <v>2</v>
      </c>
    </row>
    <row r="29" spans="1:3" x14ac:dyDescent="0.25">
      <c r="A29" s="65" t="s">
        <v>549</v>
      </c>
      <c r="B29" s="51">
        <f>'26'!L6</f>
        <v>-873.08860000000004</v>
      </c>
      <c r="C29" s="70">
        <v>27</v>
      </c>
    </row>
    <row r="30" spans="1:3" x14ac:dyDescent="0.25">
      <c r="A30" s="65" t="s">
        <v>759</v>
      </c>
      <c r="B30" s="51">
        <f>'35'!L14</f>
        <v>0.46999999999997044</v>
      </c>
      <c r="C30" s="70">
        <v>36</v>
      </c>
    </row>
    <row r="31" spans="1:3" x14ac:dyDescent="0.25">
      <c r="A31" s="65" t="s">
        <v>736</v>
      </c>
      <c r="B31" s="51">
        <f>'34'!L36</f>
        <v>0.43110000000001492</v>
      </c>
      <c r="C31" s="70">
        <v>35</v>
      </c>
    </row>
    <row r="32" spans="1:3" x14ac:dyDescent="0.25">
      <c r="A32" s="65" t="s">
        <v>377</v>
      </c>
      <c r="B32" s="51">
        <f>'14'!L45</f>
        <v>-0.11673999999999296</v>
      </c>
      <c r="C32" s="70">
        <v>14</v>
      </c>
    </row>
    <row r="33" spans="1:3" x14ac:dyDescent="0.25">
      <c r="A33" s="65" t="s">
        <v>493</v>
      </c>
      <c r="B33" s="51">
        <f>'21'!L16</f>
        <v>-6.2821500000000015</v>
      </c>
      <c r="C33" s="70">
        <v>22</v>
      </c>
    </row>
    <row r="34" spans="1:3" x14ac:dyDescent="0.25">
      <c r="A34" s="65" t="s">
        <v>1068</v>
      </c>
      <c r="B34" s="51">
        <f>'53'!L22</f>
        <v>9.0045966666666573</v>
      </c>
      <c r="C34" s="70">
        <v>53</v>
      </c>
    </row>
    <row r="35" spans="1:3" x14ac:dyDescent="0.25">
      <c r="A35" s="65" t="s">
        <v>1066</v>
      </c>
      <c r="B35" s="51">
        <f>'53'!L20</f>
        <v>-0.3551750000000311</v>
      </c>
      <c r="C35" s="70">
        <v>53</v>
      </c>
    </row>
    <row r="36" spans="1:3" x14ac:dyDescent="0.25">
      <c r="A36" s="65" t="s">
        <v>781</v>
      </c>
      <c r="B36" s="51">
        <f>'37'!L10</f>
        <v>-0.39253366666667944</v>
      </c>
      <c r="C36" s="70">
        <v>38</v>
      </c>
    </row>
    <row r="37" spans="1:3" x14ac:dyDescent="0.25">
      <c r="A37" s="65" t="s">
        <v>410</v>
      </c>
      <c r="B37" s="51">
        <f>'15'!L14+'19'!L12</f>
        <v>-9.8799999999528154E-3</v>
      </c>
      <c r="C37" s="70" t="s">
        <v>469</v>
      </c>
    </row>
    <row r="38" spans="1:3" x14ac:dyDescent="0.25">
      <c r="A38" s="238" t="s">
        <v>508</v>
      </c>
      <c r="B38" s="51">
        <f>'22'!L14</f>
        <v>-0.39499999999998181</v>
      </c>
      <c r="C38" s="70">
        <v>23</v>
      </c>
    </row>
    <row r="39" spans="1:3" x14ac:dyDescent="0.25">
      <c r="A39" s="238" t="s">
        <v>861</v>
      </c>
      <c r="B39" s="51">
        <f>'41'!L12</f>
        <v>0.26933000000008178</v>
      </c>
      <c r="C39" s="70">
        <v>42</v>
      </c>
    </row>
    <row r="40" spans="1:3" x14ac:dyDescent="0.25">
      <c r="A40" s="238" t="s">
        <v>682</v>
      </c>
      <c r="B40" s="51">
        <f>'32'!L12+'33'!L12+'37'!L14</f>
        <v>-5.8059100000001536</v>
      </c>
      <c r="C40" s="70" t="s">
        <v>805</v>
      </c>
    </row>
    <row r="41" spans="1:3" x14ac:dyDescent="0.25">
      <c r="A41" s="238" t="s">
        <v>534</v>
      </c>
      <c r="B41" s="51">
        <f>'23'!L14</f>
        <v>0.17160000000001219</v>
      </c>
      <c r="C41" s="70">
        <v>24</v>
      </c>
    </row>
    <row r="42" spans="1:3" x14ac:dyDescent="0.25">
      <c r="A42" s="238" t="s">
        <v>537</v>
      </c>
      <c r="B42" s="51">
        <f>'24'!L8</f>
        <v>3.8900000000012369E-2</v>
      </c>
      <c r="C42" s="70">
        <v>25</v>
      </c>
    </row>
    <row r="43" spans="1:3" x14ac:dyDescent="0.25">
      <c r="A43" s="65" t="s">
        <v>28</v>
      </c>
      <c r="B43" s="51">
        <f>'2итог'!L55+'3'!L8+'4'!L86+'20'!L15</f>
        <v>-0.3080000000002201</v>
      </c>
      <c r="C43" s="70" t="s">
        <v>485</v>
      </c>
    </row>
    <row r="44" spans="1:3" x14ac:dyDescent="0.25">
      <c r="A44" s="238" t="s">
        <v>518</v>
      </c>
      <c r="B44" s="51">
        <f>'22'!L37+'31'!L10</f>
        <v>2.7462333333332367</v>
      </c>
      <c r="C44" s="70" t="s">
        <v>678</v>
      </c>
    </row>
    <row r="45" spans="1:3" x14ac:dyDescent="0.25">
      <c r="A45" s="238" t="s">
        <v>517</v>
      </c>
      <c r="B45" s="51">
        <f>'22'!L35</f>
        <v>5.7899999999904139E-2</v>
      </c>
      <c r="C45" s="70">
        <v>23</v>
      </c>
    </row>
    <row r="46" spans="1:3" x14ac:dyDescent="0.25">
      <c r="A46" s="65" t="s">
        <v>133</v>
      </c>
      <c r="B46" s="51">
        <f>'3'!L76+'4'!L72</f>
        <v>34.322133333333426</v>
      </c>
      <c r="C46" s="70" t="s">
        <v>186</v>
      </c>
    </row>
    <row r="47" spans="1:3" x14ac:dyDescent="0.25">
      <c r="A47" s="65" t="s">
        <v>655</v>
      </c>
      <c r="B47" s="51">
        <f>'31'!L6</f>
        <v>3.1850000000000023</v>
      </c>
      <c r="C47" s="70">
        <v>32</v>
      </c>
    </row>
    <row r="48" spans="1:3" x14ac:dyDescent="0.25">
      <c r="A48" s="65" t="s">
        <v>40</v>
      </c>
      <c r="B48" s="51">
        <f>'2итог'!L80+'3'!L88+'4'!L44+'5'!L18+'6'!L18</f>
        <v>-13.151913333333596</v>
      </c>
      <c r="C48" s="70" t="s">
        <v>234</v>
      </c>
    </row>
    <row r="49" spans="1:3" x14ac:dyDescent="0.25">
      <c r="A49" s="65" t="s">
        <v>1070</v>
      </c>
      <c r="B49" s="51">
        <f>'53'!L24</f>
        <v>13.847361666666529</v>
      </c>
      <c r="C49" s="70">
        <v>53</v>
      </c>
    </row>
    <row r="50" spans="1:3" x14ac:dyDescent="0.25">
      <c r="A50" s="65" t="s">
        <v>688</v>
      </c>
      <c r="B50" s="51">
        <f>'32'!L21+'37'!L40</f>
        <v>-0.57717700000011973</v>
      </c>
      <c r="C50" s="70" t="s">
        <v>808</v>
      </c>
    </row>
    <row r="51" spans="1:3" x14ac:dyDescent="0.25">
      <c r="A51" s="65" t="s">
        <v>617</v>
      </c>
      <c r="B51" s="51">
        <f>'29'!L40</f>
        <v>0.34900000000004638</v>
      </c>
      <c r="C51" s="70">
        <v>30</v>
      </c>
    </row>
    <row r="52" spans="1:3" x14ac:dyDescent="0.25">
      <c r="A52" s="65" t="s">
        <v>30</v>
      </c>
      <c r="B52" s="51">
        <f>'2итог'!L65+'3'!L67+'4'!L14</f>
        <v>6.1778753333333043</v>
      </c>
      <c r="C52" s="70" t="s">
        <v>184</v>
      </c>
    </row>
    <row r="53" spans="1:3" x14ac:dyDescent="0.25">
      <c r="A53" s="238" t="s">
        <v>39</v>
      </c>
      <c r="B53" s="51">
        <f>'2итог'!L78+'3'!L20+'3'!L23+'5'!L48+'6'!L6+'12'!L29+'14'!L47+'16'!L12+'18'!L11+'21'!L12+'22'!L45</f>
        <v>0.2988050000000726</v>
      </c>
      <c r="C53" s="70" t="s">
        <v>528</v>
      </c>
    </row>
    <row r="54" spans="1:3" ht="30" x14ac:dyDescent="0.25">
      <c r="A54" s="238" t="s">
        <v>2</v>
      </c>
      <c r="B54" s="51">
        <f>'2итог'!L45+'3'!L30+'4'!L55+'5'!L44+'6'!L14+'8'!L12+'10'!L21+'12'!L34+'15'!L8+'16'!L10+'20'!L11+'22'!L6+'23'!L8+'27'!L13+'30'!L31+'31'!L37+'32'!L18+'34'!L16+'35'!L18+'42'!L6+'55'!L10</f>
        <v>-597.69968583333423</v>
      </c>
      <c r="C54" s="70" t="s">
        <v>1083</v>
      </c>
    </row>
    <row r="55" spans="1:3" x14ac:dyDescent="0.25">
      <c r="A55" s="238" t="s">
        <v>878</v>
      </c>
      <c r="B55" s="51">
        <f>'41'!L33</f>
        <v>1.3550000000009277E-2</v>
      </c>
      <c r="C55" s="70">
        <v>42</v>
      </c>
    </row>
    <row r="56" spans="1:3" x14ac:dyDescent="0.25">
      <c r="A56" s="238" t="s">
        <v>515</v>
      </c>
      <c r="B56" s="51">
        <f>'6'!L8+'7'!L6+'17'!L23</f>
        <v>-0.17543333333333067</v>
      </c>
      <c r="C56" s="70" t="s">
        <v>527</v>
      </c>
    </row>
    <row r="57" spans="1:3" x14ac:dyDescent="0.25">
      <c r="A57" s="238" t="s">
        <v>515</v>
      </c>
      <c r="B57" s="51">
        <f>'22'!L31</f>
        <v>5.7899999999904139E-2</v>
      </c>
      <c r="C57" s="70">
        <v>23</v>
      </c>
    </row>
    <row r="58" spans="1:3" x14ac:dyDescent="0.25">
      <c r="A58" s="238" t="s">
        <v>876</v>
      </c>
      <c r="B58" s="51">
        <f>'41'!L25</f>
        <v>-10.476200000000063</v>
      </c>
      <c r="C58" s="70">
        <v>42</v>
      </c>
    </row>
    <row r="59" spans="1:3" x14ac:dyDescent="0.25">
      <c r="A59" s="65" t="s">
        <v>124</v>
      </c>
      <c r="B59" s="51">
        <f>'3'!L71+'5'!L30</f>
        <v>-13.888610000000085</v>
      </c>
      <c r="C59" s="70" t="s">
        <v>214</v>
      </c>
    </row>
    <row r="60" spans="1:3" x14ac:dyDescent="0.25">
      <c r="A60" s="65" t="s">
        <v>24</v>
      </c>
      <c r="B60" s="51">
        <f>'2итог'!L33+'3'!L33+'7'!L29</f>
        <v>-18.222000000000207</v>
      </c>
      <c r="C60" s="70" t="s">
        <v>270</v>
      </c>
    </row>
    <row r="61" spans="1:3" x14ac:dyDescent="0.25">
      <c r="A61" s="65" t="s">
        <v>538</v>
      </c>
      <c r="B61" s="51">
        <f>'24'!L10</f>
        <v>5.4800000000000182E-2</v>
      </c>
      <c r="C61" s="70">
        <v>25</v>
      </c>
    </row>
    <row r="62" spans="1:3" x14ac:dyDescent="0.25">
      <c r="A62" s="65" t="s">
        <v>20</v>
      </c>
      <c r="B62" s="51">
        <f>'2итог'!L15+'4'!L88+'7'!L14+'15'!L6+'19'!L17</f>
        <v>0.1099366666660444</v>
      </c>
      <c r="C62" s="70" t="s">
        <v>470</v>
      </c>
    </row>
    <row r="63" spans="1:3" x14ac:dyDescent="0.25">
      <c r="A63" s="238" t="s">
        <v>991</v>
      </c>
      <c r="B63" s="51">
        <f>'49'!L42+'50'!L18</f>
        <v>-6.0069999999882384E-2</v>
      </c>
      <c r="C63" s="70" t="s">
        <v>1012</v>
      </c>
    </row>
    <row r="64" spans="1:3" x14ac:dyDescent="0.25">
      <c r="A64" s="65" t="s">
        <v>42</v>
      </c>
      <c r="B64" s="51">
        <f>'2итог'!L84+'3'!L96</f>
        <v>3.2574099999999362</v>
      </c>
      <c r="C64" s="70" t="s">
        <v>185</v>
      </c>
    </row>
    <row r="65" spans="1:3" x14ac:dyDescent="0.25">
      <c r="A65" s="65" t="s">
        <v>877</v>
      </c>
      <c r="B65" s="51" t="e">
        <f>'41'!#REF!</f>
        <v>#REF!</v>
      </c>
      <c r="C65" s="70">
        <v>42</v>
      </c>
    </row>
    <row r="66" spans="1:3" x14ac:dyDescent="0.25">
      <c r="A66" s="65" t="s">
        <v>560</v>
      </c>
      <c r="B66" s="51">
        <f>'26'!L22+'31'!L25</f>
        <v>0.30173333333345909</v>
      </c>
      <c r="C66" s="70" t="s">
        <v>679</v>
      </c>
    </row>
    <row r="67" spans="1:3" x14ac:dyDescent="0.25">
      <c r="A67" s="238" t="s">
        <v>975</v>
      </c>
      <c r="B67" s="51">
        <f>'49'!L20</f>
        <v>-5.5000000000291038E-2</v>
      </c>
      <c r="C67" s="70">
        <v>49</v>
      </c>
    </row>
    <row r="68" spans="1:3" x14ac:dyDescent="0.25">
      <c r="A68" s="238" t="s">
        <v>1008</v>
      </c>
      <c r="B68" s="51">
        <f>'50'!L20</f>
        <v>0.44139999999993051</v>
      </c>
      <c r="C68" s="70">
        <v>50</v>
      </c>
    </row>
    <row r="69" spans="1:3" x14ac:dyDescent="0.25">
      <c r="A69" s="238" t="s">
        <v>1018</v>
      </c>
      <c r="B69" s="51">
        <f>'51'!L19</f>
        <v>-0.33796266666649899</v>
      </c>
      <c r="C69" s="70">
        <v>51</v>
      </c>
    </row>
    <row r="70" spans="1:3" x14ac:dyDescent="0.25">
      <c r="A70" s="65" t="s">
        <v>191</v>
      </c>
      <c r="B70" s="51">
        <f>'5'!L8+'8'!L8+'12'!L32</f>
        <v>-1.2971199999999641</v>
      </c>
      <c r="C70" s="70" t="s">
        <v>353</v>
      </c>
    </row>
    <row r="71" spans="1:3" x14ac:dyDescent="0.25">
      <c r="A71" s="65" t="s">
        <v>0</v>
      </c>
      <c r="B71" s="51">
        <f>'2итог'!L23+'4'!L22</f>
        <v>16.694627999999966</v>
      </c>
      <c r="C71" s="70">
        <v>2.4</v>
      </c>
    </row>
    <row r="72" spans="1:3" x14ac:dyDescent="0.25">
      <c r="A72" s="65" t="s">
        <v>750</v>
      </c>
      <c r="B72" s="51">
        <f>'34'!L32+'36'!L15+'42'!L21</f>
        <v>-12.330452166666532</v>
      </c>
      <c r="C72" s="70" t="s">
        <v>900</v>
      </c>
    </row>
    <row r="73" spans="1:3" x14ac:dyDescent="0.25">
      <c r="A73" s="65" t="s">
        <v>932</v>
      </c>
      <c r="B73" s="51">
        <f>'46'!L8</f>
        <v>-9.2895999999996093E-2</v>
      </c>
      <c r="C73" s="70">
        <v>47</v>
      </c>
    </row>
    <row r="74" spans="1:3" x14ac:dyDescent="0.25">
      <c r="A74" s="65" t="s">
        <v>887</v>
      </c>
      <c r="B74" s="51">
        <f>'42'!L13</f>
        <v>0.45487199999979566</v>
      </c>
      <c r="C74" s="70">
        <v>43</v>
      </c>
    </row>
    <row r="75" spans="1:3" x14ac:dyDescent="0.25">
      <c r="A75" s="65" t="s">
        <v>611</v>
      </c>
      <c r="B75" s="51">
        <f>'29'!L32+'30'!L6</f>
        <v>319.11960000000045</v>
      </c>
      <c r="C75" s="70" t="s">
        <v>649</v>
      </c>
    </row>
    <row r="76" spans="1:3" x14ac:dyDescent="0.25">
      <c r="A76" s="65" t="s">
        <v>562</v>
      </c>
      <c r="B76" s="51">
        <f>'26'!L24</f>
        <v>-0.12247999999999593</v>
      </c>
      <c r="C76" s="70">
        <v>27</v>
      </c>
    </row>
    <row r="77" spans="1:3" x14ac:dyDescent="0.25">
      <c r="A77" s="65" t="s">
        <v>32</v>
      </c>
      <c r="B77" s="51">
        <f>'2итог'!L70+'3'!L57+'4'!L33+'5'!L51+'13'!L16</f>
        <v>-8.3208633333331932</v>
      </c>
      <c r="C77" s="70" t="s">
        <v>369</v>
      </c>
    </row>
    <row r="78" spans="1:3" x14ac:dyDescent="0.25">
      <c r="A78" s="65" t="s">
        <v>242</v>
      </c>
      <c r="B78" s="51">
        <f>'7'!L10</f>
        <v>0.34850000000000136</v>
      </c>
      <c r="C78" s="70">
        <v>7</v>
      </c>
    </row>
    <row r="79" spans="1:3" x14ac:dyDescent="0.25">
      <c r="A79" s="65" t="s">
        <v>151</v>
      </c>
      <c r="B79" s="51">
        <f>'4'!L84</f>
        <v>15.043000000000006</v>
      </c>
      <c r="C79" s="70">
        <v>4</v>
      </c>
    </row>
    <row r="80" spans="1:3" x14ac:dyDescent="0.25">
      <c r="A80" s="238" t="s">
        <v>267</v>
      </c>
      <c r="B80" s="51">
        <f>'7'!L37</f>
        <v>-38.592800000000352</v>
      </c>
      <c r="C80" s="70">
        <v>7</v>
      </c>
    </row>
    <row r="81" spans="1:3" x14ac:dyDescent="0.25">
      <c r="A81" s="238" t="s">
        <v>407</v>
      </c>
      <c r="B81" s="51">
        <f>'15'!L10+'29'!L42</f>
        <v>10.796320000000094</v>
      </c>
      <c r="C81" s="70" t="s">
        <v>628</v>
      </c>
    </row>
    <row r="82" spans="1:3" x14ac:dyDescent="0.25">
      <c r="A82" s="238" t="s">
        <v>711</v>
      </c>
      <c r="B82" s="51">
        <f>'33'!L14+'36'!L8</f>
        <v>7.4962400000000571</v>
      </c>
      <c r="C82" s="70" t="s">
        <v>774</v>
      </c>
    </row>
    <row r="83" spans="1:3" x14ac:dyDescent="0.25">
      <c r="A83" s="238" t="s">
        <v>524</v>
      </c>
      <c r="B83" s="51">
        <f>'22'!L49</f>
        <v>0.36810000000002674</v>
      </c>
      <c r="C83" s="70">
        <v>23</v>
      </c>
    </row>
    <row r="84" spans="1:3" x14ac:dyDescent="0.25">
      <c r="A84" s="65" t="s">
        <v>41</v>
      </c>
      <c r="B84" s="51">
        <f>'2итог'!L82+'4'!L16</f>
        <v>6.7462099999999623</v>
      </c>
      <c r="C84" s="70">
        <v>2.4</v>
      </c>
    </row>
    <row r="85" spans="1:3" x14ac:dyDescent="0.25">
      <c r="A85" s="65" t="s">
        <v>906</v>
      </c>
      <c r="B85" s="51">
        <f>'44'!L6</f>
        <v>1.6312500000000227</v>
      </c>
      <c r="C85" s="70">
        <v>45</v>
      </c>
    </row>
    <row r="86" spans="1:3" x14ac:dyDescent="0.25">
      <c r="A86" s="65" t="s">
        <v>644</v>
      </c>
      <c r="B86" s="51">
        <f>'30'!L28+'43'!L6+'53'!L18</f>
        <v>-0.38903500000014901</v>
      </c>
      <c r="C86" s="70" t="s">
        <v>1077</v>
      </c>
    </row>
    <row r="87" spans="1:3" x14ac:dyDescent="0.25">
      <c r="A87" s="238" t="s">
        <v>354</v>
      </c>
      <c r="B87" s="51">
        <f>'12'!L38+'13'!L22+'16'!L16+'22'!L11+'31'!L34+'34'!L44</f>
        <v>0.30054599999994025</v>
      </c>
      <c r="C87" s="70" t="s">
        <v>751</v>
      </c>
    </row>
    <row r="88" spans="1:3" x14ac:dyDescent="0.25">
      <c r="A88" s="238" t="s">
        <v>616</v>
      </c>
      <c r="B88" s="51">
        <f>'29'!L38+'40'!L31+'44'!L12</f>
        <v>1.975949999999898</v>
      </c>
      <c r="C88" s="70" t="s">
        <v>916</v>
      </c>
    </row>
    <row r="89" spans="1:3" x14ac:dyDescent="0.25">
      <c r="A89" s="65" t="s">
        <v>322</v>
      </c>
      <c r="B89" s="51">
        <f>'10'!L8</f>
        <v>-0.73066666666665014</v>
      </c>
      <c r="C89" s="70">
        <v>10</v>
      </c>
    </row>
    <row r="90" spans="1:3" x14ac:dyDescent="0.25">
      <c r="A90" s="65" t="s">
        <v>729</v>
      </c>
      <c r="B90" s="51">
        <f>'34'!L20</f>
        <v>-0.38751000000002023</v>
      </c>
      <c r="C90" s="70">
        <v>35</v>
      </c>
    </row>
    <row r="91" spans="1:3" x14ac:dyDescent="0.25">
      <c r="A91" s="65" t="s">
        <v>1033</v>
      </c>
      <c r="B91" s="51">
        <f>'51'!L33</f>
        <v>6.5792000000044482E-2</v>
      </c>
      <c r="C91" s="70">
        <v>51</v>
      </c>
    </row>
    <row r="92" spans="1:3" x14ac:dyDescent="0.25">
      <c r="A92" s="65" t="s">
        <v>297</v>
      </c>
      <c r="B92" s="51">
        <f>'9'!L17+'10'!L17+'12'!L26</f>
        <v>0.41207499999973152</v>
      </c>
      <c r="C92" s="70" t="s">
        <v>352</v>
      </c>
    </row>
    <row r="93" spans="1:3" x14ac:dyDescent="0.25">
      <c r="A93" s="65" t="s">
        <v>181</v>
      </c>
      <c r="B93" s="51">
        <f>'4'!L12+'5'!L34+'6'!L21+'10'!L17+'33'!L18+'34'!L22</f>
        <v>0.28793000000018765</v>
      </c>
      <c r="C93" s="70" t="s">
        <v>746</v>
      </c>
    </row>
    <row r="94" spans="1:3" x14ac:dyDescent="0.25">
      <c r="A94" s="238" t="s">
        <v>973</v>
      </c>
      <c r="B94" s="51">
        <f>'49'!L16</f>
        <v>30.736899999999991</v>
      </c>
      <c r="C94" s="70">
        <v>50</v>
      </c>
    </row>
    <row r="95" spans="1:3" x14ac:dyDescent="0.25">
      <c r="A95" s="238" t="s">
        <v>160</v>
      </c>
      <c r="B95" s="51">
        <f>'3'!L92+'4'!L60+'21'!L10+'22'!L24+'24'!L16</f>
        <v>0.14769999999964512</v>
      </c>
      <c r="C95" s="70" t="s">
        <v>545</v>
      </c>
    </row>
    <row r="96" spans="1:3" x14ac:dyDescent="0.25">
      <c r="A96" s="238" t="s">
        <v>1050</v>
      </c>
      <c r="B96" s="51">
        <f>'52'!L18</f>
        <v>0.49219999999968422</v>
      </c>
      <c r="C96" s="70">
        <v>52</v>
      </c>
    </row>
    <row r="97" spans="1:3" x14ac:dyDescent="0.25">
      <c r="A97" s="238" t="s">
        <v>1024</v>
      </c>
      <c r="B97" s="51">
        <f>'51'!L27</f>
        <v>-0.40679199999999582</v>
      </c>
      <c r="C97" s="70">
        <v>51</v>
      </c>
    </row>
    <row r="98" spans="1:3" x14ac:dyDescent="0.25">
      <c r="A98" s="238" t="s">
        <v>892</v>
      </c>
      <c r="B98" s="51">
        <f>'42'!L26+'43'!L8+'46'!L24+'51'!L12</f>
        <v>-0.75860699999986991</v>
      </c>
      <c r="C98" s="70" t="s">
        <v>1040</v>
      </c>
    </row>
    <row r="99" spans="1:3" x14ac:dyDescent="0.25">
      <c r="A99" s="65" t="s">
        <v>271</v>
      </c>
      <c r="B99" s="51">
        <f>'8'!L10</f>
        <v>-513.98759999999993</v>
      </c>
      <c r="C99" s="70">
        <v>8</v>
      </c>
    </row>
    <row r="100" spans="1:3" x14ac:dyDescent="0.25">
      <c r="A100" s="65" t="s">
        <v>302</v>
      </c>
      <c r="B100" s="51">
        <f>'9'!L10+'10'!L10+'27'!L10</f>
        <v>-0.39733333333361998</v>
      </c>
      <c r="C100" s="70" t="s">
        <v>578</v>
      </c>
    </row>
    <row r="101" spans="1:3" x14ac:dyDescent="0.25">
      <c r="A101" s="65" t="s">
        <v>169</v>
      </c>
      <c r="B101" s="51">
        <f>'4'!L40+'12'!L13+'20'!L32+'21'!L6+'32'!L15</f>
        <v>2.4106666666625642E-2</v>
      </c>
      <c r="C101" s="70" t="s">
        <v>699</v>
      </c>
    </row>
    <row r="102" spans="1:3" x14ac:dyDescent="0.25">
      <c r="A102" s="65" t="s">
        <v>726</v>
      </c>
      <c r="B102" s="51">
        <f>'34'!L10</f>
        <v>-0.38751000000002023</v>
      </c>
      <c r="C102" s="70">
        <v>35</v>
      </c>
    </row>
    <row r="103" spans="1:3" x14ac:dyDescent="0.25">
      <c r="A103" s="65" t="s">
        <v>769</v>
      </c>
      <c r="B103" s="51">
        <f>'36'!L12+'37'!L32</f>
        <v>21.110982666666587</v>
      </c>
      <c r="C103" s="70" t="s">
        <v>807</v>
      </c>
    </row>
    <row r="104" spans="1:3" x14ac:dyDescent="0.25">
      <c r="A104" s="65" t="s">
        <v>19</v>
      </c>
      <c r="B104" s="51">
        <f>'2итог'!L10+'3'!L26</f>
        <v>0.39273999999977605</v>
      </c>
      <c r="C104" s="70" t="s">
        <v>185</v>
      </c>
    </row>
    <row r="105" spans="1:3" x14ac:dyDescent="0.25">
      <c r="A105" s="65" t="s">
        <v>325</v>
      </c>
      <c r="B105" s="51">
        <f>'11'!L15</f>
        <v>-26.911399999999958</v>
      </c>
      <c r="C105" s="70">
        <v>11</v>
      </c>
    </row>
    <row r="106" spans="1:3" x14ac:dyDescent="0.25">
      <c r="A106" s="65" t="s">
        <v>288</v>
      </c>
      <c r="B106" s="51">
        <f>'9'!L35+'11'!L6+'13'!L24+'25'!L8+'29'!L19</f>
        <v>235.05027000000041</v>
      </c>
      <c r="C106" s="70" t="s">
        <v>626</v>
      </c>
    </row>
    <row r="107" spans="1:3" x14ac:dyDescent="0.25">
      <c r="A107" s="65" t="s">
        <v>204</v>
      </c>
      <c r="B107" s="51">
        <f>'5'!L38</f>
        <v>-0.15830500000015491</v>
      </c>
      <c r="C107" s="70">
        <v>5</v>
      </c>
    </row>
    <row r="108" spans="1:3" x14ac:dyDescent="0.25">
      <c r="A108" s="65" t="s">
        <v>889</v>
      </c>
      <c r="B108" s="51">
        <f>'42'!L19</f>
        <v>-0.23391800000001695</v>
      </c>
      <c r="C108" s="70">
        <v>43</v>
      </c>
    </row>
    <row r="109" spans="1:3" x14ac:dyDescent="0.25">
      <c r="A109" s="238" t="s">
        <v>763</v>
      </c>
      <c r="B109" s="51">
        <f>'35'!L21+'37'!L36+'43'!L13+'45'!L20+'49'!L38</f>
        <v>60.982155999999577</v>
      </c>
      <c r="C109" s="70" t="s">
        <v>999</v>
      </c>
    </row>
    <row r="110" spans="1:3" ht="30" x14ac:dyDescent="0.25">
      <c r="A110" s="238" t="s">
        <v>331</v>
      </c>
      <c r="B110" s="51">
        <f>'12'!L6+'13'!L6+'14'!L17+'16'!L21+'17'!L13+'20'!L24+'21'!L22+'22'!L27+'26'!L8+'28'!L10+'29'!L27+'30'!L17+'31'!L31+'33'!L20+'37'!L24+'39'!L6+'40'!L27+'42'!L23+'49'!L32</f>
        <v>1.59678333334341E-2</v>
      </c>
      <c r="C110" s="70" t="s">
        <v>998</v>
      </c>
    </row>
    <row r="111" spans="1:3" x14ac:dyDescent="0.25">
      <c r="A111" s="239" t="s">
        <v>901</v>
      </c>
      <c r="B111" s="126">
        <f>'43'!L11</f>
        <v>-0.25829399999997804</v>
      </c>
      <c r="C111" s="127">
        <v>44</v>
      </c>
    </row>
    <row r="112" spans="1:3" x14ac:dyDescent="0.25">
      <c r="A112" s="239" t="s">
        <v>868</v>
      </c>
      <c r="B112" s="126">
        <f>'41'!L18+'49'!L46</f>
        <v>52.627929999999651</v>
      </c>
      <c r="C112" s="127" t="s">
        <v>997</v>
      </c>
    </row>
    <row r="113" spans="1:3" x14ac:dyDescent="0.25">
      <c r="A113" s="239" t="s">
        <v>1003</v>
      </c>
      <c r="B113" s="126">
        <f>'50'!L6</f>
        <v>22.172085714285686</v>
      </c>
      <c r="C113" s="127">
        <v>50</v>
      </c>
    </row>
    <row r="114" spans="1:3" x14ac:dyDescent="0.25">
      <c r="A114" s="239" t="s">
        <v>709</v>
      </c>
      <c r="B114" s="126">
        <f>'33'!L10</f>
        <v>-0.37227999999993244</v>
      </c>
      <c r="C114" s="127">
        <v>34</v>
      </c>
    </row>
    <row r="115" spans="1:3" x14ac:dyDescent="0.25">
      <c r="A115" s="65" t="s">
        <v>466</v>
      </c>
      <c r="B115" s="51">
        <f>'19'!L15</f>
        <v>-0.17499999999995453</v>
      </c>
      <c r="C115" s="70">
        <v>20</v>
      </c>
    </row>
    <row r="116" spans="1:3" x14ac:dyDescent="0.25">
      <c r="A116" s="240" t="s">
        <v>29</v>
      </c>
      <c r="B116" s="110">
        <f>'2итог'!L61+'3'!L47+'4'!L70+'5'!L10+'7'!L25+'8'!L16+'9'!L45+'11'!L11+'19'!L9</f>
        <v>-0.18192700000054174</v>
      </c>
      <c r="C116" s="111" t="s">
        <v>468</v>
      </c>
    </row>
    <row r="117" spans="1:3" x14ac:dyDescent="0.25">
      <c r="A117" s="241" t="s">
        <v>520</v>
      </c>
      <c r="B117" s="110">
        <f>'22'!L41</f>
        <v>5.7899999999904139E-2</v>
      </c>
      <c r="C117" s="111">
        <v>23</v>
      </c>
    </row>
    <row r="118" spans="1:3" x14ac:dyDescent="0.25">
      <c r="A118" s="241" t="s">
        <v>757</v>
      </c>
      <c r="B118" s="110">
        <f>'35'!L12</f>
        <v>-1.0000000000331966E-3</v>
      </c>
      <c r="C118" s="111">
        <v>36</v>
      </c>
    </row>
    <row r="119" spans="1:3" x14ac:dyDescent="0.25">
      <c r="A119" s="238" t="s">
        <v>22</v>
      </c>
      <c r="B119" s="51">
        <f>'2итог'!L26+'14'!L37+'29'!L13+'44'!L10+'45'!L12+'50'!L16+'55'!L6</f>
        <v>-1042.0177200000003</v>
      </c>
      <c r="C119" s="70" t="s">
        <v>1081</v>
      </c>
    </row>
    <row r="120" spans="1:3" x14ac:dyDescent="0.25">
      <c r="A120" s="238" t="s">
        <v>661</v>
      </c>
      <c r="B120" s="51">
        <f>'31'!L16</f>
        <v>134.9849999999999</v>
      </c>
      <c r="C120" s="70">
        <v>32</v>
      </c>
    </row>
    <row r="121" spans="1:3" x14ac:dyDescent="0.25">
      <c r="A121" s="65" t="s">
        <v>680</v>
      </c>
      <c r="B121" s="51">
        <f>'32'!L8+'35'!L16+'37'!L28+'39'!L13+'42'!L11+'46'!L18+'49'!L18</f>
        <v>0.19355599999994411</v>
      </c>
      <c r="C121" s="70" t="s">
        <v>1000</v>
      </c>
    </row>
    <row r="122" spans="1:3" x14ac:dyDescent="0.25">
      <c r="A122" s="238" t="s">
        <v>766</v>
      </c>
      <c r="B122" s="51">
        <f>'36'!L6+'49'!L22+'51'!L35</f>
        <v>-10.27467466666667</v>
      </c>
      <c r="C122" s="70" t="s">
        <v>1043</v>
      </c>
    </row>
    <row r="123" spans="1:3" x14ac:dyDescent="0.25">
      <c r="A123" s="65" t="s">
        <v>145</v>
      </c>
      <c r="B123" s="51">
        <f>'4'!L100</f>
        <v>7.1284999999999741</v>
      </c>
      <c r="C123" s="70">
        <v>4</v>
      </c>
    </row>
    <row r="124" spans="1:3" x14ac:dyDescent="0.25">
      <c r="A124" s="65" t="s">
        <v>460</v>
      </c>
      <c r="B124" s="51">
        <f>'19'!L6+'20'!L22</f>
        <v>0.45680000000004384</v>
      </c>
      <c r="C124" s="70" t="s">
        <v>486</v>
      </c>
    </row>
    <row r="125" spans="1:3" x14ac:dyDescent="0.25">
      <c r="A125" s="65" t="s">
        <v>825</v>
      </c>
      <c r="B125" s="51">
        <f>'39'!L18+'40'!L10+'41'!L37</f>
        <v>-13.193450000000041</v>
      </c>
      <c r="C125" s="70" t="s">
        <v>880</v>
      </c>
    </row>
    <row r="126" spans="1:3" x14ac:dyDescent="0.25">
      <c r="A126" s="65" t="s">
        <v>957</v>
      </c>
      <c r="B126" s="51">
        <f>'47'!L17+'49'!L10+'51'!L41+'53'!L16</f>
        <v>836.98155499999984</v>
      </c>
      <c r="C126" s="70" t="s">
        <v>1076</v>
      </c>
    </row>
    <row r="127" spans="1:3" x14ac:dyDescent="0.25">
      <c r="A127" s="65" t="s">
        <v>888</v>
      </c>
      <c r="B127" s="51">
        <f>'42'!L16</f>
        <v>158.62328600000001</v>
      </c>
      <c r="C127" s="70">
        <v>43</v>
      </c>
    </row>
    <row r="128" spans="1:3" x14ac:dyDescent="0.25">
      <c r="A128" s="238" t="s">
        <v>344</v>
      </c>
      <c r="B128" s="51">
        <f>'12'!L36+'16'!L14+'17'!L7+'24'!L14+'25'!L11+'27'!L8+'49'!L26</f>
        <v>3.7127519999999095</v>
      </c>
      <c r="C128" s="70" t="s">
        <v>996</v>
      </c>
    </row>
    <row r="129" spans="1:3" x14ac:dyDescent="0.25">
      <c r="A129" s="65" t="s">
        <v>315</v>
      </c>
      <c r="B129" s="51">
        <f>'10'!L12</f>
        <v>-0.33226666666632809</v>
      </c>
      <c r="C129" s="70">
        <v>10</v>
      </c>
    </row>
    <row r="130" spans="1:3" x14ac:dyDescent="0.25">
      <c r="A130" s="65" t="s">
        <v>373</v>
      </c>
      <c r="B130" s="51">
        <f>'3'!L98+'7'!L12+'14'!L39+'34'!L8</f>
        <v>-3.236686666666742</v>
      </c>
      <c r="C130" s="70" t="s">
        <v>745</v>
      </c>
    </row>
    <row r="131" spans="1:3" x14ac:dyDescent="0.25">
      <c r="A131" s="65" t="s">
        <v>727</v>
      </c>
      <c r="B131" s="51">
        <f>'34'!L14</f>
        <v>-0.38751000000002023</v>
      </c>
      <c r="C131" s="70">
        <v>35</v>
      </c>
    </row>
    <row r="132" spans="1:3" x14ac:dyDescent="0.25">
      <c r="A132" s="65" t="s">
        <v>546</v>
      </c>
      <c r="B132" s="51">
        <f>'25'!L6+'29'!L23+'31'!L20+'34'!L6</f>
        <v>-2.8495100000000093</v>
      </c>
      <c r="C132" s="70" t="s">
        <v>744</v>
      </c>
    </row>
    <row r="133" spans="1:3" x14ac:dyDescent="0.25">
      <c r="A133" s="65" t="s">
        <v>412</v>
      </c>
      <c r="B133" s="51">
        <f>'15'!L16+'24'!L6</f>
        <v>-0.16707999999994172</v>
      </c>
      <c r="C133" s="70" t="s">
        <v>544</v>
      </c>
    </row>
    <row r="134" spans="1:3" x14ac:dyDescent="0.25">
      <c r="A134" s="65" t="s">
        <v>609</v>
      </c>
      <c r="B134" s="51">
        <f>'29'!L30</f>
        <v>-0.12299999999999045</v>
      </c>
      <c r="C134" s="70">
        <v>30</v>
      </c>
    </row>
    <row r="135" spans="1:3" x14ac:dyDescent="0.25">
      <c r="A135" s="65" t="s">
        <v>384</v>
      </c>
      <c r="B135" s="51">
        <f>'14'!L26</f>
        <v>0.30554000000006454</v>
      </c>
      <c r="C135" s="70">
        <v>14</v>
      </c>
    </row>
    <row r="136" spans="1:3" x14ac:dyDescent="0.25">
      <c r="A136" s="65" t="s">
        <v>778</v>
      </c>
      <c r="B136" s="51">
        <f>'37'!L6+'39'!L16</f>
        <v>-0.42564666666675066</v>
      </c>
      <c r="C136" s="70" t="s">
        <v>833</v>
      </c>
    </row>
    <row r="137" spans="1:3" x14ac:dyDescent="0.25">
      <c r="A137" s="65" t="s">
        <v>846</v>
      </c>
      <c r="B137" s="51">
        <f>'40'!L24+'53'!L6</f>
        <v>0.1094540000001416</v>
      </c>
      <c r="C137" s="70" t="s">
        <v>1073</v>
      </c>
    </row>
    <row r="138" spans="1:3" x14ac:dyDescent="0.25">
      <c r="A138" s="238" t="s">
        <v>513</v>
      </c>
      <c r="B138" s="51">
        <f>'22'!L29</f>
        <v>-0.1440000000000623</v>
      </c>
      <c r="C138" s="70">
        <v>23</v>
      </c>
    </row>
    <row r="139" spans="1:3" x14ac:dyDescent="0.25">
      <c r="A139" s="65" t="s">
        <v>492</v>
      </c>
      <c r="B139" s="51">
        <f>'21'!L14+'28'!L6</f>
        <v>-4.7300000000063847E-2</v>
      </c>
      <c r="C139" s="70" t="s">
        <v>587</v>
      </c>
    </row>
    <row r="140" spans="1:3" x14ac:dyDescent="0.25">
      <c r="A140" s="65" t="s">
        <v>399</v>
      </c>
      <c r="B140" s="51">
        <f>'7'!L18</f>
        <v>-1.4548666666666747</v>
      </c>
      <c r="C140" s="70">
        <v>7</v>
      </c>
    </row>
    <row r="141" spans="1:3" x14ac:dyDescent="0.25">
      <c r="A141" s="65" t="s">
        <v>546</v>
      </c>
      <c r="B141" s="51">
        <f>'53'!L26</f>
        <v>-33.369710000000168</v>
      </c>
      <c r="C141" s="70">
        <v>53</v>
      </c>
    </row>
    <row r="142" spans="1:3" x14ac:dyDescent="0.25">
      <c r="A142" s="65" t="s">
        <v>119</v>
      </c>
      <c r="B142" s="51">
        <f>'3'!L86</f>
        <v>0.19479999999995812</v>
      </c>
      <c r="C142" s="70">
        <v>3</v>
      </c>
    </row>
    <row r="143" spans="1:3" x14ac:dyDescent="0.25">
      <c r="A143" s="238" t="s">
        <v>980</v>
      </c>
      <c r="B143" s="51">
        <f>'49'!L28+'55'!L12</f>
        <v>-844.3044000000001</v>
      </c>
      <c r="C143" s="70" t="s">
        <v>1082</v>
      </c>
    </row>
    <row r="144" spans="1:3" x14ac:dyDescent="0.25">
      <c r="A144" s="65" t="s">
        <v>294</v>
      </c>
      <c r="B144" s="51">
        <f>'9'!L30</f>
        <v>-464.01600000000002</v>
      </c>
      <c r="C144" s="70">
        <v>9</v>
      </c>
    </row>
    <row r="145" spans="1:3" x14ac:dyDescent="0.25">
      <c r="A145" s="238" t="s">
        <v>1007</v>
      </c>
      <c r="B145" s="51">
        <f>'50'!L14</f>
        <v>-3.4265200000000391</v>
      </c>
      <c r="C145" s="70">
        <v>50</v>
      </c>
    </row>
    <row r="146" spans="1:3" x14ac:dyDescent="0.25">
      <c r="A146" s="238" t="s">
        <v>364</v>
      </c>
      <c r="B146" s="51">
        <f>'13'!L26+'20'!L30+'22'!L47+'23'!L6+'25'!L13+'45'!L14+'46'!L27</f>
        <v>18.869788600000106</v>
      </c>
      <c r="C146" s="70" t="s">
        <v>947</v>
      </c>
    </row>
    <row r="147" spans="1:3" ht="30" x14ac:dyDescent="0.25">
      <c r="A147" s="238" t="s">
        <v>382</v>
      </c>
      <c r="B147" s="51">
        <f>'14'!L22+'15'!L24+'18'!L6+'21'!L18+'22'!L20+'23'!L12+'24'!L18+'27'!L17+'29'!L16+'31'!L22+'32'!L6+'33'!L16+'35'!L8+'40'!L18+'42'!L8</f>
        <v>0.3627319999993972</v>
      </c>
      <c r="C147" s="70" t="s">
        <v>897</v>
      </c>
    </row>
    <row r="148" spans="1:3" x14ac:dyDescent="0.25">
      <c r="A148" s="238" t="s">
        <v>131</v>
      </c>
      <c r="B148" s="51">
        <f>'3'!L80+'4'!L91+'9'!L32+'12'!L20+'13'!L10+'14'!L43+'22'!L22</f>
        <v>-0.45483333333339715</v>
      </c>
      <c r="C148" s="70" t="s">
        <v>526</v>
      </c>
    </row>
    <row r="149" spans="1:3" x14ac:dyDescent="0.25">
      <c r="A149" s="65" t="s">
        <v>177</v>
      </c>
      <c r="B149" s="51">
        <f>'4'!L27+'5'!L55</f>
        <v>-6.702649999999835</v>
      </c>
      <c r="C149" s="70" t="s">
        <v>212</v>
      </c>
    </row>
    <row r="150" spans="1:3" x14ac:dyDescent="0.25">
      <c r="A150" s="65" t="s">
        <v>260</v>
      </c>
      <c r="B150" s="51">
        <f>'7'!L33+'9'!L42+'21'!L26</f>
        <v>-1.8000000002302841E-3</v>
      </c>
      <c r="C150" s="70" t="s">
        <v>502</v>
      </c>
    </row>
    <row r="151" spans="1:3" x14ac:dyDescent="0.25">
      <c r="A151" s="65" t="s">
        <v>926</v>
      </c>
      <c r="B151" s="51">
        <f>'45'!L23</f>
        <v>0.32263499999999112</v>
      </c>
      <c r="C151" s="70">
        <v>46</v>
      </c>
    </row>
    <row r="152" spans="1:3" x14ac:dyDescent="0.25">
      <c r="A152" s="238" t="s">
        <v>1006</v>
      </c>
      <c r="B152" s="51">
        <f>'50'!L12</f>
        <v>-0.42652000000003909</v>
      </c>
      <c r="C152" s="70">
        <v>50</v>
      </c>
    </row>
    <row r="153" spans="1:3" x14ac:dyDescent="0.25">
      <c r="A153" s="65" t="s">
        <v>810</v>
      </c>
      <c r="B153" s="51">
        <f>'38'!L6</f>
        <v>0.24300000000005184</v>
      </c>
      <c r="C153" s="70">
        <v>39</v>
      </c>
    </row>
    <row r="154" spans="1:3" x14ac:dyDescent="0.25">
      <c r="A154" s="65" t="s">
        <v>311</v>
      </c>
      <c r="B154" s="51">
        <f>'9'!L26</f>
        <v>30.248000000000047</v>
      </c>
      <c r="C154" s="70">
        <v>9</v>
      </c>
    </row>
    <row r="155" spans="1:3" x14ac:dyDescent="0.25">
      <c r="A155" s="65" t="s">
        <v>26</v>
      </c>
      <c r="B155" s="51">
        <f>'2итог'!L42+'4'!L20+'5'!L24+'14'!L33</f>
        <v>1.8727999999999554</v>
      </c>
      <c r="C155" s="70" t="s">
        <v>400</v>
      </c>
    </row>
    <row r="156" spans="1:3" x14ac:dyDescent="0.25">
      <c r="A156" s="65" t="s">
        <v>613</v>
      </c>
      <c r="B156" s="51">
        <f>'29'!L34</f>
        <v>7.6499999999999773</v>
      </c>
      <c r="C156" s="70">
        <v>30</v>
      </c>
    </row>
    <row r="157" spans="1:3" x14ac:dyDescent="0.25">
      <c r="A157" s="238" t="s">
        <v>775</v>
      </c>
      <c r="B157" s="51">
        <f>'36'!L10+'46'!L21</f>
        <v>-2.2423786666666956</v>
      </c>
      <c r="C157" s="70" t="s">
        <v>946</v>
      </c>
    </row>
    <row r="158" spans="1:3" x14ac:dyDescent="0.25">
      <c r="A158" s="238" t="s">
        <v>516</v>
      </c>
      <c r="B158" s="51">
        <f>'22'!L33</f>
        <v>5.7899999999904139E-2</v>
      </c>
      <c r="C158" s="70">
        <v>23</v>
      </c>
    </row>
    <row r="159" spans="1:3" x14ac:dyDescent="0.25">
      <c r="A159" s="65" t="s">
        <v>500</v>
      </c>
      <c r="B159" s="51">
        <f>'21'!L28+'24'!L12+'27'!L6+'28'!L8+'31'!L28+'32'!L10+'33'!L27+'34'!L34+'37'!L21</f>
        <v>-129.20393700000136</v>
      </c>
      <c r="C159" s="70" t="s">
        <v>806</v>
      </c>
    </row>
    <row r="160" spans="1:3" x14ac:dyDescent="0.25">
      <c r="A160" s="65" t="s">
        <v>479</v>
      </c>
      <c r="B160" s="51">
        <f>'20'!L18+'30'!L12</f>
        <v>66.089624999999955</v>
      </c>
      <c r="C160" s="70" t="s">
        <v>650</v>
      </c>
    </row>
    <row r="161" spans="1:3" x14ac:dyDescent="0.25">
      <c r="A161" s="65" t="s">
        <v>1022</v>
      </c>
      <c r="B161" s="51">
        <f>'51'!L25</f>
        <v>-0.40679199999999582</v>
      </c>
      <c r="C161" s="70">
        <v>51</v>
      </c>
    </row>
    <row r="162" spans="1:3" x14ac:dyDescent="0.25">
      <c r="A162" s="65" t="s">
        <v>627</v>
      </c>
      <c r="B162" s="51">
        <f>'29'!L36</f>
        <v>0.14750000000003638</v>
      </c>
      <c r="C162" s="70">
        <v>30</v>
      </c>
    </row>
    <row r="163" spans="1:3" x14ac:dyDescent="0.25">
      <c r="A163" s="238" t="s">
        <v>619</v>
      </c>
      <c r="B163" s="51">
        <f>'29'!L44+'41'!L27+'50'!L8+'53'!L10</f>
        <v>52.933364214285604</v>
      </c>
      <c r="C163" s="70" t="s">
        <v>1074</v>
      </c>
    </row>
    <row r="164" spans="1:3" x14ac:dyDescent="0.25">
      <c r="A164" s="238" t="s">
        <v>1005</v>
      </c>
      <c r="B164" s="51">
        <f>'50'!L10</f>
        <v>-10.211700000000008</v>
      </c>
      <c r="C164" s="70">
        <v>50</v>
      </c>
    </row>
    <row r="165" spans="1:3" x14ac:dyDescent="0.25">
      <c r="A165" s="238" t="s">
        <v>458</v>
      </c>
      <c r="B165" s="51">
        <f>'6'!L12+'18'!L13+'22'!L17+'31'!L8+'34'!L40</f>
        <v>-0.73690000000016198</v>
      </c>
      <c r="C165" s="70" t="s">
        <v>747</v>
      </c>
    </row>
    <row r="166" spans="1:3" x14ac:dyDescent="0.25">
      <c r="A166" s="65" t="s">
        <v>268</v>
      </c>
      <c r="B166" s="51">
        <f>'7'!L8</f>
        <v>-5.2999999999883585E-2</v>
      </c>
      <c r="C166" s="70">
        <v>7</v>
      </c>
    </row>
    <row r="167" spans="1:3" x14ac:dyDescent="0.25">
      <c r="A167" s="65" t="s">
        <v>879</v>
      </c>
      <c r="B167" s="51">
        <f>'41'!L35</f>
        <v>1.0135500000000093</v>
      </c>
      <c r="C167" s="70">
        <v>42</v>
      </c>
    </row>
    <row r="168" spans="1:3" x14ac:dyDescent="0.25">
      <c r="A168" s="65" t="s">
        <v>1078</v>
      </c>
      <c r="B168" s="51">
        <f>'55'!L8</f>
        <v>-345.8</v>
      </c>
      <c r="C168" s="70">
        <v>55</v>
      </c>
    </row>
    <row r="169" spans="1:3" x14ac:dyDescent="0.25">
      <c r="A169" s="65" t="s">
        <v>588</v>
      </c>
      <c r="B169" s="51">
        <f>'28'!L14+'29'!L6</f>
        <v>0.3159899999998288</v>
      </c>
      <c r="C169" s="70" t="s">
        <v>625</v>
      </c>
    </row>
    <row r="170" spans="1:3" x14ac:dyDescent="0.25">
      <c r="A170" s="65" t="s">
        <v>132</v>
      </c>
      <c r="B170" s="51">
        <f>'3'!L74</f>
        <v>0.20140000000000668</v>
      </c>
      <c r="C170" s="70">
        <v>3</v>
      </c>
    </row>
    <row r="171" spans="1:3" x14ac:dyDescent="0.25">
      <c r="A171" s="65" t="s">
        <v>429</v>
      </c>
      <c r="B171" s="51">
        <f>'16'!L18+'17'!L31</f>
        <v>2.072428000000059</v>
      </c>
      <c r="C171" s="70" t="s">
        <v>451</v>
      </c>
    </row>
    <row r="172" spans="1:3" x14ac:dyDescent="0.25">
      <c r="A172" s="65" t="s">
        <v>953</v>
      </c>
      <c r="B172" s="51">
        <f>'47'!L10</f>
        <v>-9.4241599999999153</v>
      </c>
      <c r="C172" s="70">
        <v>48</v>
      </c>
    </row>
    <row r="173" spans="1:3" x14ac:dyDescent="0.25">
      <c r="A173" s="65" t="s">
        <v>447</v>
      </c>
      <c r="B173" s="51">
        <f>'17'!L25+'20'!L6+'41'!L39</f>
        <v>-0.36147500000004129</v>
      </c>
      <c r="C173" s="70" t="s">
        <v>881</v>
      </c>
    </row>
    <row r="174" spans="1:3" x14ac:dyDescent="0.25">
      <c r="A174" s="65" t="s">
        <v>731</v>
      </c>
      <c r="B174" s="51">
        <f>'34'!L26</f>
        <v>-48.345210000000066</v>
      </c>
      <c r="C174" s="70">
        <v>35</v>
      </c>
    </row>
    <row r="175" spans="1:3" x14ac:dyDescent="0.25">
      <c r="A175" s="65" t="s">
        <v>558</v>
      </c>
      <c r="B175" s="51">
        <f>'26'!L20+'46'!L15</f>
        <v>13.509439999999813</v>
      </c>
      <c r="C175" s="70" t="s">
        <v>945</v>
      </c>
    </row>
    <row r="176" spans="1:3" x14ac:dyDescent="0.25">
      <c r="A176" s="65" t="s">
        <v>346</v>
      </c>
      <c r="B176" s="51">
        <f>'12'!L41+'14'!L30+'15'!L21+'16'!L8</f>
        <v>1.9577440000000479</v>
      </c>
      <c r="C176" s="70" t="s">
        <v>436</v>
      </c>
    </row>
    <row r="177" spans="1:3" x14ac:dyDescent="0.25">
      <c r="A177" s="65" t="s">
        <v>314</v>
      </c>
      <c r="B177" s="51">
        <f>'10'!L6+'17'!L21</f>
        <v>-0.46703333333331898</v>
      </c>
      <c r="C177" s="70" t="s">
        <v>452</v>
      </c>
    </row>
    <row r="178" spans="1:3" x14ac:dyDescent="0.25">
      <c r="A178" s="65" t="s">
        <v>856</v>
      </c>
      <c r="B178" s="51">
        <f>'41'!L6</f>
        <v>0.49729999999999563</v>
      </c>
      <c r="C178" s="70">
        <v>42</v>
      </c>
    </row>
    <row r="179" spans="1:3" x14ac:dyDescent="0.25">
      <c r="A179" s="65" t="s">
        <v>841</v>
      </c>
      <c r="B179" s="51">
        <f>'40'!L14+'45'!L10+'47'!L12</f>
        <v>-6.6975949999998647</v>
      </c>
      <c r="C179" s="70" t="s">
        <v>963</v>
      </c>
    </row>
    <row r="180" spans="1:3" x14ac:dyDescent="0.25">
      <c r="A180" s="65" t="s">
        <v>158</v>
      </c>
      <c r="B180" s="51">
        <f>'4'!L67</f>
        <v>10.197400000000016</v>
      </c>
      <c r="C180" s="70">
        <v>4</v>
      </c>
    </row>
    <row r="181" spans="1:3" x14ac:dyDescent="0.25">
      <c r="A181" s="65" t="s">
        <v>870</v>
      </c>
      <c r="B181" s="51">
        <f>'41'!L29+'47'!L6+'52'!L14</f>
        <v>41.263512000000446</v>
      </c>
      <c r="C181" s="70" t="s">
        <v>1053</v>
      </c>
    </row>
    <row r="182" spans="1:3" x14ac:dyDescent="0.25">
      <c r="A182" s="65" t="s">
        <v>730</v>
      </c>
      <c r="B182" s="51">
        <f>'34'!L24</f>
        <v>-0.18632000000002336</v>
      </c>
      <c r="C182" s="70">
        <v>35</v>
      </c>
    </row>
    <row r="183" spans="1:3" x14ac:dyDescent="0.25">
      <c r="A183" s="65" t="s">
        <v>398</v>
      </c>
      <c r="B183" s="51">
        <f>'14'!L6+'39'!L26+'40'!L6</f>
        <v>1.3850766666666345</v>
      </c>
      <c r="C183" s="70" t="s">
        <v>852</v>
      </c>
    </row>
    <row r="184" spans="1:3" x14ac:dyDescent="0.25">
      <c r="A184" s="65" t="s">
        <v>443</v>
      </c>
      <c r="B184" s="51">
        <f>'17'!L29</f>
        <v>0.23699999999996635</v>
      </c>
      <c r="C184" s="70">
        <v>18</v>
      </c>
    </row>
    <row r="185" spans="1:3" x14ac:dyDescent="0.25">
      <c r="A185" s="65" t="s">
        <v>37</v>
      </c>
      <c r="B185" s="51">
        <f>'2итог'!L74</f>
        <v>3.6608099999999695</v>
      </c>
      <c r="C185" s="70">
        <v>2</v>
      </c>
    </row>
    <row r="186" spans="1:3" x14ac:dyDescent="0.25">
      <c r="A186" s="65" t="s">
        <v>786</v>
      </c>
      <c r="B186" s="51">
        <f>'37'!L16+'41'!L21</f>
        <v>126.37200333333328</v>
      </c>
      <c r="C186" s="70" t="s">
        <v>875</v>
      </c>
    </row>
    <row r="187" spans="1:3" x14ac:dyDescent="0.25">
      <c r="A187" s="65" t="s">
        <v>872</v>
      </c>
      <c r="B187" s="51">
        <f>'41'!L31</f>
        <v>-8.8054500000000644</v>
      </c>
      <c r="C187" s="70">
        <v>42</v>
      </c>
    </row>
    <row r="188" spans="1:3" x14ac:dyDescent="0.25">
      <c r="A188" s="65" t="s">
        <v>663</v>
      </c>
      <c r="B188" s="51">
        <f>'31'!L18</f>
        <v>73.960000000000036</v>
      </c>
      <c r="C188" s="70">
        <v>32</v>
      </c>
    </row>
    <row r="189" spans="1:3" x14ac:dyDescent="0.25">
      <c r="A189" s="65" t="s">
        <v>1026</v>
      </c>
      <c r="B189" s="51"/>
      <c r="C189" s="70">
        <v>51</v>
      </c>
    </row>
    <row r="190" spans="1:3" x14ac:dyDescent="0.25">
      <c r="A190" s="65" t="s">
        <v>480</v>
      </c>
      <c r="B190" s="51">
        <f>'20'!L20+'51'!L23</f>
        <v>0.30985799999996289</v>
      </c>
      <c r="C190" s="70" t="s">
        <v>1042</v>
      </c>
    </row>
    <row r="191" spans="1:3" x14ac:dyDescent="0.25">
      <c r="A191" s="65" t="s">
        <v>1048</v>
      </c>
      <c r="B191" s="51">
        <f>'52'!L16</f>
        <v>-20.531469999999956</v>
      </c>
      <c r="C191" s="70">
        <v>52</v>
      </c>
    </row>
    <row r="192" spans="1:3" x14ac:dyDescent="0.25">
      <c r="A192" s="65" t="s">
        <v>830</v>
      </c>
      <c r="B192" s="51">
        <f>'39'!L24+'40'!L8</f>
        <v>2.1206666666666365</v>
      </c>
      <c r="C192" s="70" t="s">
        <v>853</v>
      </c>
    </row>
    <row r="193" spans="1:3" x14ac:dyDescent="0.25">
      <c r="A193" s="65" t="s">
        <v>585</v>
      </c>
      <c r="B193" s="51">
        <f>'28'!L12</f>
        <v>-0.14359999999999218</v>
      </c>
      <c r="C193" s="70">
        <v>29</v>
      </c>
    </row>
    <row r="194" spans="1:3" x14ac:dyDescent="0.25">
      <c r="A194" s="65" t="s">
        <v>251</v>
      </c>
      <c r="B194" s="51">
        <f>'7'!L22</f>
        <v>0.30279999999993379</v>
      </c>
      <c r="C194" s="70">
        <v>7</v>
      </c>
    </row>
    <row r="195" spans="1:3" x14ac:dyDescent="0.25">
      <c r="A195" s="238" t="s">
        <v>1010</v>
      </c>
      <c r="B195" s="51">
        <f>'4'!L31+'5'!L22+'6'!L10+'14'!L35+'21'!L24+'40'!L16+'50'!L22</f>
        <v>6.8398573333333275</v>
      </c>
      <c r="C195" s="70" t="s">
        <v>1013</v>
      </c>
    </row>
    <row r="196" spans="1:3" x14ac:dyDescent="0.25">
      <c r="A196" s="65" t="s">
        <v>455</v>
      </c>
      <c r="B196" s="51">
        <f>'18'!L9</f>
        <v>0.20499999999992724</v>
      </c>
      <c r="C196" s="70">
        <v>19</v>
      </c>
    </row>
    <row r="197" spans="1:3" x14ac:dyDescent="0.25">
      <c r="A197" s="65" t="s">
        <v>641</v>
      </c>
      <c r="B197" s="51">
        <f>'30'!L25</f>
        <v>-0.40159999999991669</v>
      </c>
      <c r="C197" s="70">
        <v>31</v>
      </c>
    </row>
    <row r="198" spans="1:3" x14ac:dyDescent="0.25">
      <c r="A198" s="65" t="s">
        <v>728</v>
      </c>
      <c r="B198" s="51">
        <f>'34'!L18</f>
        <v>0.22497999999995955</v>
      </c>
      <c r="C198" s="70">
        <v>35</v>
      </c>
    </row>
    <row r="199" spans="1:3" x14ac:dyDescent="0.25">
      <c r="A199" s="65" t="s">
        <v>780</v>
      </c>
      <c r="B199" s="51">
        <f>'37'!L8</f>
        <v>-6.0313333333340324E-2</v>
      </c>
      <c r="C199" s="70">
        <v>38</v>
      </c>
    </row>
    <row r="200" spans="1:3" x14ac:dyDescent="0.25">
      <c r="A200" s="238" t="s">
        <v>707</v>
      </c>
      <c r="B200" s="51">
        <f>'33'!L8+'37'!L12+'40'!L21+'49'!L30</f>
        <v>188.54347666666672</v>
      </c>
      <c r="C200" s="70" t="s">
        <v>995</v>
      </c>
    </row>
    <row r="201" spans="1:3" x14ac:dyDescent="0.25">
      <c r="A201" s="65" t="s">
        <v>27</v>
      </c>
      <c r="B201" s="51">
        <f>'2итог'!L51+'3'!L18+'3'!L15+'4'!L65</f>
        <v>14.655219999999872</v>
      </c>
      <c r="C201" s="70" t="s">
        <v>184</v>
      </c>
    </row>
    <row r="202" spans="1:3" x14ac:dyDescent="0.25">
      <c r="A202" s="65" t="s">
        <v>36</v>
      </c>
      <c r="B202" s="51">
        <f>'2итог'!L72+'3'!L78</f>
        <v>6.7244199999999523</v>
      </c>
      <c r="C202" s="70" t="s">
        <v>185</v>
      </c>
    </row>
    <row r="203" spans="1:3" x14ac:dyDescent="0.25">
      <c r="A203" s="65" t="s">
        <v>104</v>
      </c>
      <c r="B203" s="51">
        <f>'3'!L41+'4'!L77+'5'!L14+'8'!L19+'9'!L8+'15'!L18+'21'!L20</f>
        <v>0.72930000000025075</v>
      </c>
      <c r="C203" s="70" t="s">
        <v>501</v>
      </c>
    </row>
    <row r="204" spans="1:3" x14ac:dyDescent="0.25">
      <c r="A204" s="65" t="s">
        <v>146</v>
      </c>
      <c r="B204" s="51">
        <f>'4'!L97</f>
        <v>0.31649999999990541</v>
      </c>
      <c r="C204" s="70">
        <v>4</v>
      </c>
    </row>
    <row r="205" spans="1:3" x14ac:dyDescent="0.25">
      <c r="A205" s="65" t="s">
        <v>930</v>
      </c>
      <c r="B205" s="51">
        <f>'46'!L6+'47'!L14</f>
        <v>-63.913825999999972</v>
      </c>
      <c r="C205" s="70" t="s">
        <v>965</v>
      </c>
    </row>
    <row r="206" spans="1:3" x14ac:dyDescent="0.25">
      <c r="A206" s="65" t="s">
        <v>385</v>
      </c>
      <c r="B206" s="51">
        <f>'14'!L12</f>
        <v>0.47583400000030451</v>
      </c>
      <c r="C206" s="70">
        <v>14</v>
      </c>
    </row>
    <row r="207" spans="1:3" x14ac:dyDescent="0.25">
      <c r="A207" s="65" t="s">
        <v>23</v>
      </c>
      <c r="B207" s="51">
        <f>'2итог'!L30+'3'!L94+'4'!L10+'20'!L28+'38'!L10</f>
        <v>-3.048000000006823E-2</v>
      </c>
      <c r="C207" s="70" t="s">
        <v>815</v>
      </c>
    </row>
    <row r="208" spans="1:3" x14ac:dyDescent="0.25">
      <c r="A208" s="238" t="s">
        <v>978</v>
      </c>
      <c r="B208" s="51">
        <f>'49'!L24</f>
        <v>-0.25070000000005166</v>
      </c>
      <c r="C208" s="70">
        <v>50</v>
      </c>
    </row>
    <row r="209" spans="1:3" x14ac:dyDescent="0.25">
      <c r="A209" s="65" t="s">
        <v>755</v>
      </c>
      <c r="B209" s="51">
        <f>'35'!L10+'53'!L13</f>
        <v>1158.6933302</v>
      </c>
      <c r="C209" s="70" t="s">
        <v>1075</v>
      </c>
    </row>
    <row r="210" spans="1:3" x14ac:dyDescent="0.25">
      <c r="A210" s="65" t="s">
        <v>1037</v>
      </c>
      <c r="B210" s="51">
        <f>'51'!L38</f>
        <v>-9.2799999997623672E-3</v>
      </c>
      <c r="C210" s="70">
        <v>51</v>
      </c>
    </row>
    <row r="211" spans="1:3" x14ac:dyDescent="0.25">
      <c r="A211" s="65" t="s">
        <v>863</v>
      </c>
      <c r="B211" s="51">
        <f>'41'!L23+'45'!L6</f>
        <v>42.93527000000006</v>
      </c>
      <c r="C211" s="70" t="s">
        <v>928</v>
      </c>
    </row>
    <row r="212" spans="1:3" x14ac:dyDescent="0.25">
      <c r="A212" s="65" t="s">
        <v>893</v>
      </c>
      <c r="B212" s="51">
        <f>'42'!L28</f>
        <v>3.5413959999996223</v>
      </c>
      <c r="C212" s="70">
        <v>43</v>
      </c>
    </row>
    <row r="213" spans="1:3" x14ac:dyDescent="0.25">
      <c r="A213" s="65" t="s">
        <v>195</v>
      </c>
      <c r="B213" s="51">
        <f>'5'!L16+'6'!L16+'14'!L41+'39'!L10</f>
        <v>84.023439999999937</v>
      </c>
      <c r="C213" s="70" t="s">
        <v>835</v>
      </c>
    </row>
    <row r="214" spans="1:3" x14ac:dyDescent="0.25">
      <c r="A214" s="65" t="s">
        <v>660</v>
      </c>
      <c r="B214" s="51">
        <f>'31'!L14</f>
        <v>2.6883333333333326</v>
      </c>
      <c r="C214" s="70">
        <v>32</v>
      </c>
    </row>
    <row r="215" spans="1:3" x14ac:dyDescent="0.25">
      <c r="A215" s="65" t="s">
        <v>1025</v>
      </c>
      <c r="B215" s="51">
        <f>'51'!L29</f>
        <v>-0.40679199999999582</v>
      </c>
      <c r="C215" s="70">
        <v>51</v>
      </c>
    </row>
    <row r="216" spans="1:3" x14ac:dyDescent="0.25">
      <c r="A216" s="65" t="s">
        <v>934</v>
      </c>
      <c r="B216" s="51">
        <f>'46'!L10+'51'!L17</f>
        <v>0.51918399999993881</v>
      </c>
      <c r="C216" s="70" t="s">
        <v>1041</v>
      </c>
    </row>
    <row r="217" spans="1:3" x14ac:dyDescent="0.25">
      <c r="A217" s="65" t="s">
        <v>693</v>
      </c>
      <c r="B217" s="51">
        <f>'32'!L26</f>
        <v>-12.987500000000182</v>
      </c>
      <c r="C217" s="70">
        <v>33</v>
      </c>
    </row>
    <row r="218" spans="1:3" x14ac:dyDescent="0.25">
      <c r="A218" s="65" t="s">
        <v>732</v>
      </c>
      <c r="B218" s="51">
        <f>'34'!L28+'35'!L6</f>
        <v>27.733160000000225</v>
      </c>
      <c r="C218" s="70" t="s">
        <v>765</v>
      </c>
    </row>
    <row r="219" spans="1:3" x14ac:dyDescent="0.25">
      <c r="A219" s="65" t="s">
        <v>296</v>
      </c>
      <c r="B219" s="51">
        <f>'9'!L6</f>
        <v>0.37600000000000477</v>
      </c>
      <c r="C219" s="70">
        <v>9</v>
      </c>
    </row>
    <row r="220" spans="1:3" x14ac:dyDescent="0.25">
      <c r="A220" s="65" t="s">
        <v>180</v>
      </c>
      <c r="B220" s="51">
        <f>'4'!L18</f>
        <v>4.1119999999999948</v>
      </c>
      <c r="C220" s="70">
        <v>4</v>
      </c>
    </row>
    <row r="221" spans="1:3" x14ac:dyDescent="0.25">
      <c r="A221" s="65" t="s">
        <v>552</v>
      </c>
      <c r="B221" s="51">
        <f>'26'!L11</f>
        <v>0.17039999999997235</v>
      </c>
      <c r="C221" s="70">
        <v>27</v>
      </c>
    </row>
    <row r="222" spans="1:3" x14ac:dyDescent="0.25">
      <c r="A222" s="65" t="s">
        <v>913</v>
      </c>
      <c r="B222" s="51">
        <f>'44'!L8</f>
        <v>2.6502500000000282</v>
      </c>
      <c r="C222" s="70">
        <v>45</v>
      </c>
    </row>
    <row r="223" spans="1:3" x14ac:dyDescent="0.25">
      <c r="A223" s="65" t="s">
        <v>482</v>
      </c>
      <c r="B223" s="51">
        <f>'20'!L26+'37'!L18+'41'!L15+'47'!L8</f>
        <v>-17.608371333333594</v>
      </c>
      <c r="C223" s="70" t="s">
        <v>964</v>
      </c>
    </row>
    <row r="224" spans="1:3" x14ac:dyDescent="0.25">
      <c r="A224" s="65" t="s">
        <v>659</v>
      </c>
      <c r="B224" s="51">
        <f>'31'!L12</f>
        <v>2.6883333333333326</v>
      </c>
      <c r="C224" s="70">
        <v>32</v>
      </c>
    </row>
    <row r="225" spans="1:3" x14ac:dyDescent="0.25">
      <c r="A225" s="65" t="s">
        <v>117</v>
      </c>
      <c r="B225" s="51">
        <f>'3'!L84</f>
        <v>0.38571999999993523</v>
      </c>
      <c r="C225" s="70">
        <v>3</v>
      </c>
    </row>
    <row r="226" spans="1:3" x14ac:dyDescent="0.25">
      <c r="A226" s="238" t="s">
        <v>525</v>
      </c>
      <c r="B226" s="51">
        <f>'22'!L51</f>
        <v>0.36810000000002674</v>
      </c>
      <c r="C226" s="70">
        <v>23</v>
      </c>
    </row>
    <row r="227" spans="1:3" x14ac:dyDescent="0.25">
      <c r="A227" s="238" t="s">
        <v>1046</v>
      </c>
      <c r="B227" s="51">
        <f>'52'!L12</f>
        <v>6.2092000000000098</v>
      </c>
      <c r="C227" s="70">
        <v>52</v>
      </c>
    </row>
  </sheetData>
  <sortState ref="A2:D216">
    <sortCondition ref="A2:A216"/>
  </sortState>
  <hyperlinks>
    <hyperlink ref="A186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41623</v>
      </c>
      <c r="D1" s="30"/>
    </row>
    <row r="2" spans="1:12" ht="38.25" x14ac:dyDescent="0.35">
      <c r="A2" s="55" t="s">
        <v>239</v>
      </c>
      <c r="B2" s="4"/>
      <c r="C2" s="16">
        <v>6835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>K10-J10</f>
        <v>-1.2240000000001601</v>
      </c>
    </row>
    <row r="11" spans="1:12" x14ac:dyDescent="0.25">
      <c r="A11" s="3" t="s">
        <v>303</v>
      </c>
      <c r="B11" s="21">
        <v>1</v>
      </c>
      <c r="C11" s="21">
        <v>19900</v>
      </c>
      <c r="D11" s="4">
        <f t="shared" ref="D11:D16" si="0">B11*C11</f>
        <v>19900</v>
      </c>
      <c r="E11" s="4">
        <f t="shared" ref="E11:E16" si="1">D11*0.05</f>
        <v>995</v>
      </c>
      <c r="F11" s="21">
        <v>0</v>
      </c>
      <c r="G11" s="21">
        <v>0.3</v>
      </c>
      <c r="H11" s="4">
        <f t="shared" ref="H11:H16" si="2">G11</f>
        <v>0.3</v>
      </c>
      <c r="I11" s="4">
        <f t="shared" ref="I11:I16" si="3">H11*$C$2</f>
        <v>2050.5</v>
      </c>
      <c r="J11" s="51">
        <f t="shared" ref="J11:J16" si="4">(D11+E11+F11+I11)*$C$3</f>
        <v>734.25599999999997</v>
      </c>
      <c r="K11" s="6"/>
      <c r="L11" s="17"/>
    </row>
    <row r="12" spans="1:12" ht="30" x14ac:dyDescent="0.25">
      <c r="A12" s="3" t="s">
        <v>304</v>
      </c>
      <c r="B12" s="21">
        <v>1</v>
      </c>
      <c r="C12" s="21">
        <v>17400</v>
      </c>
      <c r="D12" s="4">
        <f t="shared" si="0"/>
        <v>17400</v>
      </c>
      <c r="E12" s="4">
        <f t="shared" si="1"/>
        <v>870</v>
      </c>
      <c r="F12" s="21">
        <v>2500</v>
      </c>
      <c r="G12" s="21">
        <v>0.3</v>
      </c>
      <c r="H12" s="4">
        <f t="shared" si="2"/>
        <v>0.3</v>
      </c>
      <c r="I12" s="4">
        <f t="shared" si="3"/>
        <v>2050.5</v>
      </c>
      <c r="J12" s="51">
        <f t="shared" si="4"/>
        <v>730.25599999999997</v>
      </c>
      <c r="K12" s="6"/>
      <c r="L12" s="17"/>
    </row>
    <row r="13" spans="1:12" ht="30" x14ac:dyDescent="0.25">
      <c r="A13" s="3" t="s">
        <v>305</v>
      </c>
      <c r="B13" s="21">
        <v>1</v>
      </c>
      <c r="C13" s="21">
        <v>17400</v>
      </c>
      <c r="D13" s="4">
        <f t="shared" si="0"/>
        <v>17400</v>
      </c>
      <c r="E13" s="4">
        <f t="shared" si="1"/>
        <v>870</v>
      </c>
      <c r="F13" s="21">
        <v>2500</v>
      </c>
      <c r="G13" s="21">
        <v>0.3</v>
      </c>
      <c r="H13" s="4">
        <f t="shared" si="2"/>
        <v>0.3</v>
      </c>
      <c r="I13" s="4">
        <f t="shared" si="3"/>
        <v>2050.5</v>
      </c>
      <c r="J13" s="51">
        <f t="shared" si="4"/>
        <v>730.25599999999997</v>
      </c>
      <c r="K13" s="6"/>
      <c r="L13" s="17"/>
    </row>
    <row r="14" spans="1:12" x14ac:dyDescent="0.25">
      <c r="A14" s="3" t="s">
        <v>306</v>
      </c>
      <c r="B14" s="21">
        <v>1</v>
      </c>
      <c r="C14" s="21">
        <v>36900</v>
      </c>
      <c r="D14" s="4">
        <f t="shared" si="0"/>
        <v>36900</v>
      </c>
      <c r="E14" s="4">
        <f t="shared" si="1"/>
        <v>1845</v>
      </c>
      <c r="F14" s="21">
        <v>0</v>
      </c>
      <c r="G14" s="21">
        <v>0.3</v>
      </c>
      <c r="H14" s="4">
        <f t="shared" si="2"/>
        <v>0.3</v>
      </c>
      <c r="I14" s="4">
        <f t="shared" si="3"/>
        <v>2050.5</v>
      </c>
      <c r="J14" s="51">
        <f t="shared" si="4"/>
        <v>1305.4560000000001</v>
      </c>
      <c r="K14" s="6"/>
      <c r="L14" s="17"/>
    </row>
    <row r="15" spans="1:12" x14ac:dyDescent="0.25">
      <c r="A15" s="3" t="s">
        <v>307</v>
      </c>
      <c r="B15" s="21">
        <v>1</v>
      </c>
      <c r="C15" s="21">
        <v>46900</v>
      </c>
      <c r="D15" s="4">
        <f t="shared" si="0"/>
        <v>46900</v>
      </c>
      <c r="E15" s="4">
        <f t="shared" si="1"/>
        <v>2345</v>
      </c>
      <c r="F15" s="21">
        <v>0</v>
      </c>
      <c r="G15" s="21">
        <v>0.3</v>
      </c>
      <c r="H15" s="4">
        <f t="shared" si="2"/>
        <v>0.3</v>
      </c>
      <c r="I15" s="4">
        <f t="shared" si="3"/>
        <v>2050.5</v>
      </c>
      <c r="J15" s="51">
        <f t="shared" si="4"/>
        <v>1641.4560000000001</v>
      </c>
      <c r="K15" s="6"/>
      <c r="L15" s="17"/>
    </row>
    <row r="16" spans="1:12" ht="30" x14ac:dyDescent="0.25">
      <c r="A16" s="3" t="s">
        <v>308</v>
      </c>
      <c r="B16" s="21">
        <v>1</v>
      </c>
      <c r="C16" s="21">
        <v>11400</v>
      </c>
      <c r="D16" s="4">
        <f t="shared" si="0"/>
        <v>11400</v>
      </c>
      <c r="E16" s="4">
        <f t="shared" si="1"/>
        <v>570</v>
      </c>
      <c r="F16" s="21">
        <v>0</v>
      </c>
      <c r="G16" s="18">
        <f>3.9/2</f>
        <v>1.95</v>
      </c>
      <c r="H16" s="4">
        <f t="shared" si="2"/>
        <v>1.95</v>
      </c>
      <c r="I16" s="4">
        <f t="shared" si="3"/>
        <v>13328.25</v>
      </c>
      <c r="J16" s="51">
        <f t="shared" si="4"/>
        <v>809.54399999999998</v>
      </c>
      <c r="K16" s="6"/>
      <c r="L16" s="17"/>
    </row>
    <row r="17" spans="1:13" ht="26.25" x14ac:dyDescent="0.4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>K17-J17</f>
        <v>13.255999999999858</v>
      </c>
    </row>
    <row r="18" spans="1:13" x14ac:dyDescent="0.25">
      <c r="A18" s="3" t="s">
        <v>298</v>
      </c>
      <c r="B18" s="4">
        <v>1</v>
      </c>
      <c r="C18" s="4">
        <v>9900</v>
      </c>
      <c r="D18" s="4">
        <f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299</v>
      </c>
      <c r="B19" s="4">
        <v>1</v>
      </c>
      <c r="C19" s="4">
        <v>8900</v>
      </c>
      <c r="D19" s="4">
        <f>B19*C19</f>
        <v>8900</v>
      </c>
      <c r="E19" s="4">
        <f>D19*0.05</f>
        <v>445</v>
      </c>
      <c r="F19" s="4">
        <v>0</v>
      </c>
      <c r="G19" s="4">
        <v>0.2</v>
      </c>
      <c r="H19" s="4">
        <f>G19</f>
        <v>0.2</v>
      </c>
      <c r="I19" s="4">
        <f>H19*$C$2</f>
        <v>1367</v>
      </c>
      <c r="J19" s="51">
        <f>(D19+E19+F19+I19)*$C$3</f>
        <v>342.78399999999999</v>
      </c>
      <c r="K19" s="6"/>
      <c r="L19" s="17"/>
    </row>
    <row r="20" spans="1:13" x14ac:dyDescent="0.25">
      <c r="A20" s="3" t="s">
        <v>300</v>
      </c>
      <c r="B20" s="4">
        <v>1</v>
      </c>
      <c r="C20" s="4">
        <v>9900</v>
      </c>
      <c r="D20" s="4">
        <f>B20*C20</f>
        <v>9900</v>
      </c>
      <c r="E20" s="4">
        <f>D20*0.05</f>
        <v>495</v>
      </c>
      <c r="F20" s="4">
        <v>0</v>
      </c>
      <c r="G20" s="4">
        <v>0.45</v>
      </c>
      <c r="H20" s="4">
        <f>G20</f>
        <v>0.45</v>
      </c>
      <c r="I20" s="4">
        <f>H20*$C$2</f>
        <v>3075.75</v>
      </c>
      <c r="J20" s="51">
        <f>(D20+E20+F20+I20)*$C$3</f>
        <v>431.06400000000002</v>
      </c>
      <c r="K20" s="6"/>
      <c r="L20" s="17"/>
    </row>
    <row r="21" spans="1:13" x14ac:dyDescent="0.25">
      <c r="A21" s="3" t="s">
        <v>301</v>
      </c>
      <c r="B21" s="4">
        <v>1</v>
      </c>
      <c r="C21" s="4">
        <v>9900</v>
      </c>
      <c r="D21" s="4">
        <f>B21*C21</f>
        <v>9900</v>
      </c>
      <c r="E21" s="4">
        <f>D21*0.05</f>
        <v>495</v>
      </c>
      <c r="F21" s="4">
        <v>2500</v>
      </c>
      <c r="G21" s="4">
        <v>0.2</v>
      </c>
      <c r="H21" s="4">
        <f>G21</f>
        <v>0.2</v>
      </c>
      <c r="I21" s="4">
        <f>H21*$C$2</f>
        <v>1367</v>
      </c>
      <c r="J21" s="51">
        <f>(D21+E21+F21+I21)*$C$3</f>
        <v>456.38400000000001</v>
      </c>
      <c r="K21" s="6"/>
      <c r="L21" s="17"/>
    </row>
    <row r="22" spans="1:13" x14ac:dyDescent="0.25">
      <c r="A22" s="3" t="s">
        <v>291</v>
      </c>
      <c r="B22" s="4">
        <v>1</v>
      </c>
      <c r="C22" s="4">
        <v>9900</v>
      </c>
      <c r="D22" s="4">
        <f>B22*C22</f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>K23-J23</f>
        <v>-7.2000000000002728E-2</v>
      </c>
    </row>
    <row r="24" spans="1:13" x14ac:dyDescent="0.25">
      <c r="A24" s="3" t="s">
        <v>309</v>
      </c>
      <c r="B24" s="4">
        <v>1</v>
      </c>
      <c r="C24" s="4">
        <v>6900</v>
      </c>
      <c r="D24" s="4">
        <f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310</v>
      </c>
      <c r="B25" s="4">
        <v>2</v>
      </c>
      <c r="C25" s="4">
        <v>4230</v>
      </c>
      <c r="D25" s="4">
        <f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>K26-J26</f>
        <v>30.248000000000047</v>
      </c>
    </row>
    <row r="27" spans="1:13" x14ac:dyDescent="0.25">
      <c r="A27" s="3" t="s">
        <v>309</v>
      </c>
      <c r="B27" s="4">
        <v>1</v>
      </c>
      <c r="C27" s="4">
        <v>6900</v>
      </c>
      <c r="D27" s="4">
        <f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312</v>
      </c>
      <c r="B29" s="21">
        <v>1</v>
      </c>
      <c r="C29" s="21">
        <v>11400</v>
      </c>
      <c r="D29" s="4">
        <f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>K30-J30</f>
        <v>-464.01600000000002</v>
      </c>
    </row>
    <row r="31" spans="1:13" x14ac:dyDescent="0.25">
      <c r="A31" s="3" t="s">
        <v>295</v>
      </c>
      <c r="B31" s="4">
        <v>1</v>
      </c>
      <c r="C31" s="4">
        <v>9000</v>
      </c>
      <c r="D31" s="4">
        <f>B31*C31</f>
        <v>9000</v>
      </c>
      <c r="E31" s="4">
        <f>D31*0.05</f>
        <v>450</v>
      </c>
      <c r="F31" s="4">
        <v>3000</v>
      </c>
      <c r="G31" s="4">
        <v>0.3</v>
      </c>
      <c r="H31" s="4">
        <f>G31*B31</f>
        <v>0.3</v>
      </c>
      <c r="I31" s="4">
        <f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>B33*C33</f>
        <v>3300</v>
      </c>
      <c r="E33" s="4">
        <f>D33*0.05</f>
        <v>165</v>
      </c>
      <c r="F33" s="4">
        <f>2500/3</f>
        <v>833.33333333333337</v>
      </c>
      <c r="G33" s="4">
        <f>0.2/3</f>
        <v>6.6666666666666666E-2</v>
      </c>
      <c r="H33" s="4">
        <f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>B34*C34</f>
        <v>3966.6666666666665</v>
      </c>
      <c r="E34" s="4">
        <f>D34*0.05</f>
        <v>198.33333333333334</v>
      </c>
      <c r="F34" s="4">
        <v>0</v>
      </c>
      <c r="G34" s="4">
        <f>0.74/3</f>
        <v>0.24666666666666667</v>
      </c>
      <c r="H34" s="4">
        <f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52.5" x14ac:dyDescent="0.4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289</v>
      </c>
      <c r="B36" s="4">
        <v>1</v>
      </c>
      <c r="C36" s="4">
        <v>11900</v>
      </c>
      <c r="D36" s="4">
        <f t="shared" ref="D36:D41" si="5">B36*C36</f>
        <v>11900</v>
      </c>
      <c r="E36" s="4">
        <f t="shared" ref="E36:E41" si="6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41" si="7">H36*$C$2</f>
        <v>5057.8999999999996</v>
      </c>
      <c r="J36" s="51">
        <f t="shared" ref="J36:J41" si="8">(D36+E36+F36+I36)*$C$3</f>
        <v>561.69280000000003</v>
      </c>
      <c r="K36" s="6"/>
      <c r="L36" s="17"/>
    </row>
    <row r="37" spans="1:12" x14ac:dyDescent="0.25">
      <c r="A37" s="3" t="s">
        <v>290</v>
      </c>
      <c r="B37" s="4">
        <v>1</v>
      </c>
      <c r="C37" s="4">
        <v>12000</v>
      </c>
      <c r="D37" s="4">
        <f t="shared" si="5"/>
        <v>12000</v>
      </c>
      <c r="E37" s="4">
        <f t="shared" si="6"/>
        <v>600</v>
      </c>
      <c r="F37" s="4">
        <v>0</v>
      </c>
      <c r="G37" s="4">
        <v>0.2</v>
      </c>
      <c r="H37" s="4">
        <f>G37</f>
        <v>0.2</v>
      </c>
      <c r="I37" s="4">
        <f t="shared" si="7"/>
        <v>1367</v>
      </c>
      <c r="J37" s="51">
        <f t="shared" si="8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5"/>
        <v>3300</v>
      </c>
      <c r="E38" s="4">
        <f t="shared" si="6"/>
        <v>165</v>
      </c>
      <c r="F38" s="4">
        <f>2500/3</f>
        <v>833.33333333333337</v>
      </c>
      <c r="G38" s="4">
        <f>0.2/3</f>
        <v>6.6666666666666666E-2</v>
      </c>
      <c r="H38" s="4">
        <f>G38</f>
        <v>6.6666666666666666E-2</v>
      </c>
      <c r="I38" s="4">
        <f t="shared" si="7"/>
        <v>455.66666666666669</v>
      </c>
      <c r="J38" s="51">
        <f t="shared" si="8"/>
        <v>152.12800000000001</v>
      </c>
      <c r="K38" s="6"/>
      <c r="L38" s="17"/>
    </row>
    <row r="39" spans="1:12" x14ac:dyDescent="0.25">
      <c r="A39" s="3" t="s">
        <v>291</v>
      </c>
      <c r="B39" s="4">
        <v>1</v>
      </c>
      <c r="C39" s="4">
        <v>9900</v>
      </c>
      <c r="D39" s="4">
        <f t="shared" si="5"/>
        <v>9900</v>
      </c>
      <c r="E39" s="4">
        <f t="shared" si="6"/>
        <v>495</v>
      </c>
      <c r="F39" s="4">
        <v>2500</v>
      </c>
      <c r="G39" s="4">
        <v>0.4</v>
      </c>
      <c r="H39" s="4">
        <f>G39*B39</f>
        <v>0.4</v>
      </c>
      <c r="I39" s="4">
        <f t="shared" si="7"/>
        <v>2734</v>
      </c>
      <c r="J39" s="51">
        <f t="shared" si="8"/>
        <v>500.12799999999999</v>
      </c>
      <c r="K39" s="6"/>
      <c r="L39" s="17"/>
    </row>
    <row r="40" spans="1:12" x14ac:dyDescent="0.25">
      <c r="A40" s="3" t="s">
        <v>292</v>
      </c>
      <c r="B40" s="4">
        <v>1</v>
      </c>
      <c r="C40" s="4">
        <v>8900</v>
      </c>
      <c r="D40" s="4">
        <f t="shared" si="5"/>
        <v>8900</v>
      </c>
      <c r="E40" s="4">
        <f t="shared" si="6"/>
        <v>445</v>
      </c>
      <c r="F40" s="4">
        <v>0</v>
      </c>
      <c r="G40" s="4">
        <v>0.2</v>
      </c>
      <c r="H40" s="4">
        <f>G40</f>
        <v>0.2</v>
      </c>
      <c r="I40" s="4">
        <f t="shared" si="7"/>
        <v>1367</v>
      </c>
      <c r="J40" s="51">
        <f t="shared" si="8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5"/>
        <v>3300</v>
      </c>
      <c r="E41" s="4">
        <f t="shared" si="6"/>
        <v>165</v>
      </c>
      <c r="F41" s="4">
        <v>0</v>
      </c>
      <c r="G41" s="4">
        <v>0.2</v>
      </c>
      <c r="H41" s="4">
        <f>G41</f>
        <v>0.2</v>
      </c>
      <c r="I41" s="4">
        <f t="shared" si="7"/>
        <v>1367</v>
      </c>
      <c r="J41" s="51">
        <f t="shared" si="8"/>
        <v>154.624</v>
      </c>
      <c r="K41" s="6"/>
      <c r="L41" s="17"/>
    </row>
    <row r="42" spans="1:12" ht="26.25" x14ac:dyDescent="0.4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286</v>
      </c>
      <c r="B43" s="4">
        <v>3</v>
      </c>
      <c r="C43" s="4">
        <v>3500</v>
      </c>
      <c r="D43" s="4">
        <f>B43*C43</f>
        <v>10500</v>
      </c>
      <c r="E43" s="4">
        <f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287</v>
      </c>
      <c r="B44" s="4">
        <v>1</v>
      </c>
      <c r="C44" s="4">
        <v>4600</v>
      </c>
      <c r="D44" s="4">
        <f>B44*C44</f>
        <v>4600</v>
      </c>
      <c r="E44" s="4">
        <f>D44*0.05</f>
        <v>230</v>
      </c>
      <c r="F44" s="4">
        <v>2500</v>
      </c>
      <c r="G44" s="4">
        <v>1.53</v>
      </c>
      <c r="H44" s="4">
        <f>G44</f>
        <v>1.53</v>
      </c>
      <c r="I44" s="4">
        <f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282</v>
      </c>
      <c r="B46" s="66">
        <v>2</v>
      </c>
      <c r="C46" s="4">
        <v>3300</v>
      </c>
      <c r="D46" s="4">
        <f t="shared" ref="D46:D52" si="9">B46*C46</f>
        <v>6600</v>
      </c>
      <c r="E46" s="4">
        <f t="shared" ref="E46:E52" si="10">D46*0.05</f>
        <v>330</v>
      </c>
      <c r="F46" s="4">
        <v>2500</v>
      </c>
      <c r="G46" s="4">
        <f>0.3</f>
        <v>0.3</v>
      </c>
      <c r="H46" s="4">
        <f t="shared" ref="H46:H51" si="11">G46*B46</f>
        <v>0.6</v>
      </c>
      <c r="I46" s="4">
        <f t="shared" ref="I46:I52" si="12">H46*$C$2</f>
        <v>4101</v>
      </c>
      <c r="J46" s="51">
        <f t="shared" ref="J46:J52" si="13"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9"/>
        <v>2800</v>
      </c>
      <c r="E47" s="4">
        <f t="shared" si="10"/>
        <v>140</v>
      </c>
      <c r="F47" s="4">
        <v>2300</v>
      </c>
      <c r="G47" s="4">
        <v>0.2</v>
      </c>
      <c r="H47" s="4">
        <f t="shared" si="11"/>
        <v>0.2</v>
      </c>
      <c r="I47" s="4">
        <f t="shared" si="12"/>
        <v>1367</v>
      </c>
      <c r="J47" s="51">
        <f t="shared" si="13"/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9"/>
        <v>3000</v>
      </c>
      <c r="E48" s="4">
        <f t="shared" si="10"/>
        <v>150</v>
      </c>
      <c r="F48" s="4">
        <v>2500</v>
      </c>
      <c r="G48" s="4">
        <v>0.2</v>
      </c>
      <c r="H48" s="4">
        <f t="shared" si="11"/>
        <v>0.2</v>
      </c>
      <c r="I48" s="4">
        <f t="shared" si="12"/>
        <v>1367</v>
      </c>
      <c r="J48" s="51">
        <f t="shared" si="13"/>
        <v>224.54400000000001</v>
      </c>
      <c r="K48" s="6"/>
      <c r="L48" s="17"/>
    </row>
    <row r="49" spans="1:12" x14ac:dyDescent="0.25">
      <c r="A49" s="3" t="s">
        <v>243</v>
      </c>
      <c r="B49" s="66">
        <v>2</v>
      </c>
      <c r="C49" s="4">
        <v>3500</v>
      </c>
      <c r="D49" s="4">
        <f t="shared" si="9"/>
        <v>7000</v>
      </c>
      <c r="E49" s="4">
        <f t="shared" si="10"/>
        <v>350</v>
      </c>
      <c r="F49" s="4">
        <v>2500</v>
      </c>
      <c r="G49" s="4">
        <v>0.3</v>
      </c>
      <c r="H49" s="4">
        <f t="shared" si="11"/>
        <v>0.6</v>
      </c>
      <c r="I49" s="4">
        <f t="shared" si="12"/>
        <v>4101</v>
      </c>
      <c r="J49" s="51">
        <f t="shared" si="13"/>
        <v>446.43200000000002</v>
      </c>
      <c r="K49" s="6"/>
      <c r="L49" s="17"/>
    </row>
    <row r="50" spans="1:12" x14ac:dyDescent="0.25">
      <c r="A50" s="3" t="s">
        <v>283</v>
      </c>
      <c r="B50" s="4">
        <v>1</v>
      </c>
      <c r="C50" s="4">
        <v>12000</v>
      </c>
      <c r="D50" s="4">
        <f t="shared" si="9"/>
        <v>12000</v>
      </c>
      <c r="E50" s="4">
        <f t="shared" si="10"/>
        <v>600</v>
      </c>
      <c r="F50" s="4">
        <v>2500</v>
      </c>
      <c r="G50" s="4">
        <v>0.3</v>
      </c>
      <c r="H50" s="4">
        <f t="shared" si="11"/>
        <v>0.3</v>
      </c>
      <c r="I50" s="4">
        <f t="shared" si="12"/>
        <v>2050.5</v>
      </c>
      <c r="J50" s="51">
        <f t="shared" si="13"/>
        <v>548.81600000000003</v>
      </c>
      <c r="K50" s="6"/>
      <c r="L50" s="17"/>
    </row>
    <row r="51" spans="1:12" x14ac:dyDescent="0.25">
      <c r="A51" s="3" t="s">
        <v>284</v>
      </c>
      <c r="B51" s="4">
        <v>1</v>
      </c>
      <c r="C51" s="4">
        <v>3000</v>
      </c>
      <c r="D51" s="4">
        <f t="shared" si="9"/>
        <v>3000</v>
      </c>
      <c r="E51" s="4">
        <f t="shared" si="10"/>
        <v>150</v>
      </c>
      <c r="F51" s="4">
        <v>2500</v>
      </c>
      <c r="G51" s="4">
        <v>0.2</v>
      </c>
      <c r="H51" s="4">
        <f t="shared" si="11"/>
        <v>0.2</v>
      </c>
      <c r="I51" s="4">
        <f t="shared" si="12"/>
        <v>1367</v>
      </c>
      <c r="J51" s="51">
        <f t="shared" si="13"/>
        <v>224.54400000000001</v>
      </c>
      <c r="K51" s="6"/>
      <c r="L51" s="17"/>
    </row>
    <row r="52" spans="1:12" x14ac:dyDescent="0.25">
      <c r="A52" s="3" t="s">
        <v>285</v>
      </c>
      <c r="B52" s="6">
        <v>1</v>
      </c>
      <c r="C52" s="4">
        <v>1500</v>
      </c>
      <c r="D52" s="4">
        <f t="shared" si="9"/>
        <v>1500</v>
      </c>
      <c r="E52" s="4">
        <f t="shared" si="10"/>
        <v>75</v>
      </c>
      <c r="F52" s="4">
        <v>2500</v>
      </c>
      <c r="G52" s="4">
        <v>0.3</v>
      </c>
      <c r="H52" s="4">
        <f>G52</f>
        <v>0.3</v>
      </c>
      <c r="I52" s="4">
        <f t="shared" si="12"/>
        <v>2050.5</v>
      </c>
      <c r="J52" s="51">
        <f t="shared" si="13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41626</v>
      </c>
      <c r="D1" s="30"/>
    </row>
    <row r="2" spans="1:12" ht="38.25" x14ac:dyDescent="0.35">
      <c r="A2" s="55" t="s">
        <v>239</v>
      </c>
      <c r="B2" s="4"/>
      <c r="C2" s="16">
        <v>6910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>K8-J8</f>
        <v>-0.73066666666665014</v>
      </c>
    </row>
    <row r="9" spans="1:12" x14ac:dyDescent="0.25">
      <c r="A9" s="3" t="s">
        <v>323</v>
      </c>
      <c r="B9" s="4">
        <v>1</v>
      </c>
      <c r="C9" s="4">
        <v>6900</v>
      </c>
      <c r="D9" s="4">
        <f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>K12-J12</f>
        <v>-0.33226666666632809</v>
      </c>
    </row>
    <row r="13" spans="1:12" x14ac:dyDescent="0.25">
      <c r="A13" s="17" t="s">
        <v>316</v>
      </c>
      <c r="B13" s="4">
        <v>2</v>
      </c>
      <c r="C13" s="66">
        <v>19000</v>
      </c>
      <c r="D13" s="4">
        <f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317</v>
      </c>
      <c r="B14" s="4">
        <v>3</v>
      </c>
      <c r="C14" s="4">
        <v>19000</v>
      </c>
      <c r="D14" s="4">
        <f>B14*C14</f>
        <v>57000</v>
      </c>
      <c r="E14" s="4">
        <f>D14*0.05</f>
        <v>2850</v>
      </c>
      <c r="F14" s="4">
        <v>0</v>
      </c>
      <c r="G14" s="4">
        <v>0.3</v>
      </c>
      <c r="H14" s="4">
        <f>G14*B14</f>
        <v>0.89999999999999991</v>
      </c>
      <c r="I14" s="4">
        <f>H14*$C$2</f>
        <v>6218.9999999999991</v>
      </c>
      <c r="J14" s="51">
        <f>(D14+E14+F14+I14)*$C$3</f>
        <v>2114.2080000000001</v>
      </c>
      <c r="K14" s="6"/>
      <c r="L14" s="17"/>
    </row>
    <row r="15" spans="1:12" x14ac:dyDescent="0.25">
      <c r="A15" s="17" t="s">
        <v>318</v>
      </c>
      <c r="B15" s="4">
        <v>4</v>
      </c>
      <c r="C15" s="4">
        <v>19000</v>
      </c>
      <c r="D15" s="4">
        <f>B15*C15</f>
        <v>76000</v>
      </c>
      <c r="E15" s="4">
        <f>D15*0.05</f>
        <v>3800</v>
      </c>
      <c r="F15" s="4">
        <v>0</v>
      </c>
      <c r="G15" s="4">
        <v>0.2</v>
      </c>
      <c r="H15" s="4">
        <f>G15*B15</f>
        <v>0.8</v>
      </c>
      <c r="I15" s="4">
        <f>H15*$C$2</f>
        <v>5528</v>
      </c>
      <c r="J15" s="51">
        <f>(D15+E15+F15+I15)*$C$3</f>
        <v>2730.4960000000001</v>
      </c>
      <c r="K15" s="6"/>
      <c r="L15" s="17"/>
    </row>
    <row r="16" spans="1:12" x14ac:dyDescent="0.25">
      <c r="A16" s="17" t="s">
        <v>319</v>
      </c>
      <c r="B16" s="5">
        <v>5</v>
      </c>
      <c r="C16" s="5">
        <v>6420</v>
      </c>
      <c r="D16" s="4">
        <f>B16*C16</f>
        <v>32100</v>
      </c>
      <c r="E16" s="4">
        <f>D16*0.05</f>
        <v>1605</v>
      </c>
      <c r="F16" s="5">
        <f>2500/6*5</f>
        <v>2083.3333333333335</v>
      </c>
      <c r="G16" s="5">
        <v>0.4</v>
      </c>
      <c r="H16" s="4">
        <f>G16*B16</f>
        <v>2</v>
      </c>
      <c r="I16" s="4">
        <f>H16*$C$2</f>
        <v>13820</v>
      </c>
      <c r="J16" s="51">
        <f>(D16+E16+F16+I16)*$C$3</f>
        <v>1587.4666666666667</v>
      </c>
      <c r="K16" s="6"/>
      <c r="L16" s="17"/>
    </row>
    <row r="17" spans="1:13" ht="26.25" x14ac:dyDescent="0.4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324</v>
      </c>
      <c r="B19" s="4">
        <v>1</v>
      </c>
      <c r="C19" s="4">
        <v>11900</v>
      </c>
      <c r="D19" s="4">
        <f>B19*C19</f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323</v>
      </c>
      <c r="B20" s="4">
        <v>1</v>
      </c>
      <c r="C20" s="4">
        <v>14700</v>
      </c>
      <c r="D20" s="4">
        <f>B20*C20</f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>K21-J21</f>
        <v>-84.954666666666753</v>
      </c>
    </row>
    <row r="22" spans="1:13" x14ac:dyDescent="0.25">
      <c r="A22" s="17" t="s">
        <v>320</v>
      </c>
      <c r="B22" s="4">
        <v>1</v>
      </c>
      <c r="C22" s="4">
        <v>4900</v>
      </c>
      <c r="D22" s="4">
        <f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321</v>
      </c>
      <c r="B23" s="4">
        <v>1</v>
      </c>
      <c r="C23" s="4">
        <v>7000</v>
      </c>
      <c r="D23" s="4">
        <f>B23*C23</f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281</v>
      </c>
      <c r="B1" s="4"/>
      <c r="C1" s="15">
        <v>41669</v>
      </c>
      <c r="D1" s="30"/>
    </row>
    <row r="2" spans="1:13" ht="21" x14ac:dyDescent="0.35">
      <c r="A2" s="55" t="s">
        <v>239</v>
      </c>
      <c r="B2" s="4"/>
      <c r="C2" s="16">
        <v>7110</v>
      </c>
      <c r="D2" s="30"/>
    </row>
    <row r="3" spans="1:13" ht="21" x14ac:dyDescent="0.35">
      <c r="A3" s="55" t="s">
        <v>240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25">
      <c r="A7" s="17" t="s">
        <v>329</v>
      </c>
      <c r="B7" s="4">
        <v>1</v>
      </c>
      <c r="C7" s="4">
        <v>9900</v>
      </c>
      <c r="D7" s="4">
        <f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329</v>
      </c>
      <c r="B8" s="4">
        <v>2</v>
      </c>
      <c r="C8" s="4">
        <v>10900</v>
      </c>
      <c r="D8" s="4">
        <f>B8*C8</f>
        <v>21800</v>
      </c>
      <c r="E8" s="4">
        <f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329</v>
      </c>
      <c r="B9" s="4">
        <v>1</v>
      </c>
      <c r="C9" s="4">
        <v>9900</v>
      </c>
      <c r="D9" s="4">
        <f>B9*C9</f>
        <v>9900</v>
      </c>
      <c r="E9" s="4">
        <f>D9*0.05</f>
        <v>495</v>
      </c>
      <c r="F9" s="4">
        <v>2500</v>
      </c>
      <c r="G9" s="4">
        <v>0.2</v>
      </c>
      <c r="H9" s="4">
        <f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329</v>
      </c>
      <c r="B10" s="4">
        <v>1</v>
      </c>
      <c r="C10" s="4">
        <v>9900</v>
      </c>
      <c r="D10" s="4">
        <f>B10*C10</f>
        <v>9900</v>
      </c>
      <c r="E10" s="4">
        <f>D10*0.05</f>
        <v>495</v>
      </c>
      <c r="F10" s="4">
        <v>2500</v>
      </c>
      <c r="G10" s="4">
        <v>0.2</v>
      </c>
      <c r="H10" s="4">
        <f>G10*B10</f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25">
      <c r="A12" s="4" t="s">
        <v>327</v>
      </c>
      <c r="B12" s="47">
        <v>2</v>
      </c>
      <c r="C12" s="4">
        <v>3000</v>
      </c>
      <c r="D12" s="4">
        <f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>B13*C13</f>
        <v>2300</v>
      </c>
      <c r="E13" s="4">
        <f>D13*0.05</f>
        <v>115</v>
      </c>
      <c r="F13" s="4">
        <v>2500</v>
      </c>
      <c r="G13" s="4">
        <v>0.25</v>
      </c>
      <c r="H13" s="4">
        <f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328</v>
      </c>
      <c r="B14" s="4">
        <v>1</v>
      </c>
      <c r="C14" s="4">
        <v>9900</v>
      </c>
      <c r="D14" s="4">
        <f>B14*C14</f>
        <v>9900</v>
      </c>
      <c r="E14" s="4">
        <f>D14*0.05</f>
        <v>495</v>
      </c>
      <c r="F14" s="4">
        <v>3000</v>
      </c>
      <c r="G14" s="4">
        <v>0.3</v>
      </c>
      <c r="H14" s="4">
        <f>G14*B14</f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>K15-J15</f>
        <v>-26.911399999999958</v>
      </c>
    </row>
    <row r="16" spans="1:13" x14ac:dyDescent="0.25">
      <c r="A16" s="3" t="s">
        <v>326</v>
      </c>
      <c r="B16" s="4">
        <v>1</v>
      </c>
      <c r="C16" s="4">
        <v>8500</v>
      </c>
      <c r="D16" s="4">
        <f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281</v>
      </c>
      <c r="B1" s="4"/>
      <c r="C1" s="15">
        <v>41689</v>
      </c>
      <c r="D1" s="30"/>
    </row>
    <row r="2" spans="1:13" ht="21" x14ac:dyDescent="0.35">
      <c r="A2" s="55" t="s">
        <v>239</v>
      </c>
      <c r="B2" s="4"/>
      <c r="C2" s="16">
        <v>6645</v>
      </c>
      <c r="D2" s="30"/>
    </row>
    <row r="3" spans="1:13" ht="21" x14ac:dyDescent="0.35">
      <c r="A3" s="55" t="s">
        <v>217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>K6-J6</f>
        <v>-2.4956499999998414</v>
      </c>
      <c r="M6" s="133" t="s">
        <v>419</v>
      </c>
    </row>
    <row r="7" spans="1:13" x14ac:dyDescent="0.25">
      <c r="A7" s="39" t="s">
        <v>332</v>
      </c>
      <c r="B7" s="98">
        <v>1</v>
      </c>
      <c r="C7" s="99">
        <v>8900</v>
      </c>
      <c r="D7" s="37">
        <f t="shared" ref="D7:D12" si="0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>B8*C8</f>
        <v>12350</v>
      </c>
      <c r="E8" s="39">
        <f>D8*0.05</f>
        <v>617.5</v>
      </c>
      <c r="F8" s="98">
        <v>2500</v>
      </c>
      <c r="G8" s="99">
        <v>0.2</v>
      </c>
      <c r="H8" s="37">
        <f>G8*B8</f>
        <v>0.2</v>
      </c>
      <c r="I8" s="4">
        <f>H8*$C$2</f>
        <v>1329</v>
      </c>
      <c r="J8" s="51">
        <f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>B9*C9</f>
        <v>11400</v>
      </c>
      <c r="E9" s="39">
        <f>D9*0.05</f>
        <v>570</v>
      </c>
      <c r="F9" s="98">
        <v>2500</v>
      </c>
      <c r="G9" s="99">
        <v>0.2</v>
      </c>
      <c r="H9" s="37">
        <f>G9*B9</f>
        <v>0.2</v>
      </c>
      <c r="I9" s="4">
        <f>H9*$C$2</f>
        <v>1329</v>
      </c>
      <c r="J9" s="51">
        <f>(D9+E9+F9+I9)*$C$3</f>
        <v>538.74590000000001</v>
      </c>
      <c r="K9" s="6"/>
      <c r="L9" s="17"/>
    </row>
    <row r="10" spans="1:13" x14ac:dyDescent="0.25">
      <c r="A10" s="112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0"/>
        <v>14800</v>
      </c>
      <c r="E11" s="39">
        <f>D11*0.05</f>
        <v>740</v>
      </c>
      <c r="F11" s="98">
        <v>2500</v>
      </c>
      <c r="G11" s="99">
        <v>0.3</v>
      </c>
      <c r="H11" s="37">
        <f>G11*B11</f>
        <v>0.3</v>
      </c>
      <c r="I11" s="4">
        <f>H11*$C$2</f>
        <v>1993.5</v>
      </c>
      <c r="J11" s="51">
        <f>(D11+E11+F11+I11)*$C$3</f>
        <v>683.14234999999996</v>
      </c>
      <c r="K11" s="6"/>
      <c r="L11" s="17"/>
    </row>
    <row r="12" spans="1:13" x14ac:dyDescent="0.25">
      <c r="A12" s="39" t="s">
        <v>333</v>
      </c>
      <c r="B12" s="98">
        <v>1</v>
      </c>
      <c r="C12" s="99">
        <v>7000</v>
      </c>
      <c r="D12" s="37">
        <f t="shared" si="0"/>
        <v>7000</v>
      </c>
      <c r="E12" s="39">
        <f>D12*0.05</f>
        <v>350</v>
      </c>
      <c r="F12" s="98">
        <v>0</v>
      </c>
      <c r="G12" s="99">
        <v>0.3</v>
      </c>
      <c r="H12" s="37">
        <f>G12*B12</f>
        <v>0.3</v>
      </c>
      <c r="I12" s="4">
        <f>H12*$C$2</f>
        <v>1993.5</v>
      </c>
      <c r="J12" s="51">
        <f>(D12+E12+F12+I12)*$C$3</f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334</v>
      </c>
      <c r="B15" s="98">
        <v>1</v>
      </c>
      <c r="C15" s="99">
        <v>12000</v>
      </c>
      <c r="D15" s="37">
        <f>B15*C15</f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335</v>
      </c>
      <c r="B16" s="98">
        <v>1</v>
      </c>
      <c r="C16" s="99">
        <v>9900</v>
      </c>
      <c r="D16" s="37">
        <f>B16*C16</f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2" t="s">
        <v>356</v>
      </c>
    </row>
    <row r="18" spans="1:13" x14ac:dyDescent="0.25">
      <c r="A18" s="39" t="s">
        <v>337</v>
      </c>
      <c r="B18" s="98">
        <v>1</v>
      </c>
      <c r="C18" s="99">
        <v>9900</v>
      </c>
      <c r="D18" s="37">
        <f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2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>K20-J20</f>
        <v>128.6309</v>
      </c>
    </row>
    <row r="21" spans="1:13" x14ac:dyDescent="0.25">
      <c r="A21" s="39" t="s">
        <v>355</v>
      </c>
      <c r="B21" s="98">
        <v>1</v>
      </c>
      <c r="C21" s="99">
        <f>9900/3</f>
        <v>3300</v>
      </c>
      <c r="D21" s="37">
        <f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2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>B25*C25</f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>B28*C28</f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>K29-J29</f>
        <v>-5.17499999998563E-2</v>
      </c>
    </row>
    <row r="30" spans="1:13" x14ac:dyDescent="0.25">
      <c r="A30" s="106" t="s">
        <v>341</v>
      </c>
      <c r="B30" s="107">
        <v>2</v>
      </c>
      <c r="C30" s="99">
        <v>3900</v>
      </c>
      <c r="D30" s="37">
        <f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342</v>
      </c>
      <c r="B31" s="98">
        <v>1</v>
      </c>
      <c r="C31" s="99">
        <v>4200</v>
      </c>
      <c r="D31" s="37">
        <f>B31*C31</f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>K32-J32</f>
        <v>0.36081000000001495</v>
      </c>
    </row>
    <row r="33" spans="1:12" x14ac:dyDescent="0.25">
      <c r="A33" s="39" t="s">
        <v>337</v>
      </c>
      <c r="B33" s="98">
        <v>1</v>
      </c>
      <c r="C33" s="99">
        <v>9900</v>
      </c>
      <c r="D33" s="37">
        <f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>K34-J34</f>
        <v>-0.24039999999990869</v>
      </c>
    </row>
    <row r="35" spans="1:12" x14ac:dyDescent="0.25">
      <c r="A35" s="39" t="s">
        <v>343</v>
      </c>
      <c r="B35" s="98">
        <v>1</v>
      </c>
      <c r="C35" s="99">
        <v>26300</v>
      </c>
      <c r="D35" s="37">
        <f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>K38-J38</f>
        <v>128.6309</v>
      </c>
    </row>
    <row r="39" spans="1:12" x14ac:dyDescent="0.25">
      <c r="A39" s="39" t="s">
        <v>355</v>
      </c>
      <c r="B39" s="98">
        <v>1</v>
      </c>
      <c r="C39" s="99">
        <f>9900/3</f>
        <v>3300</v>
      </c>
      <c r="D39" s="37">
        <f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2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>K41-J41</f>
        <v>0.30860000000006949</v>
      </c>
    </row>
    <row r="42" spans="1:12" ht="15.75" thickBot="1" x14ac:dyDescent="0.3">
      <c r="A42" s="39" t="s">
        <v>347</v>
      </c>
      <c r="B42" s="102">
        <v>1</v>
      </c>
      <c r="C42" s="103">
        <v>19600</v>
      </c>
      <c r="D42" s="37">
        <f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281</v>
      </c>
      <c r="B1" s="4"/>
      <c r="C1" s="15">
        <v>41737</v>
      </c>
      <c r="D1" s="30"/>
    </row>
    <row r="2" spans="1:12" ht="21" x14ac:dyDescent="0.35">
      <c r="A2" s="55" t="s">
        <v>239</v>
      </c>
      <c r="B2" s="4"/>
      <c r="C2" s="16">
        <v>6320</v>
      </c>
      <c r="D2" s="30"/>
    </row>
    <row r="3" spans="1:12" ht="21" x14ac:dyDescent="0.35">
      <c r="A3" s="55" t="s">
        <v>240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>K6-J6</f>
        <v>9.7216666666663514</v>
      </c>
    </row>
    <row r="7" spans="1:12" x14ac:dyDescent="0.25">
      <c r="A7" s="39" t="s">
        <v>57</v>
      </c>
      <c r="B7" s="114">
        <v>1</v>
      </c>
      <c r="C7" s="115">
        <v>15000</v>
      </c>
      <c r="D7" s="37">
        <f>B7*C7</f>
        <v>15000</v>
      </c>
      <c r="E7" s="39">
        <f>D7*0.05</f>
        <v>750</v>
      </c>
      <c r="F7" s="114">
        <v>0</v>
      </c>
      <c r="G7" s="115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366</v>
      </c>
      <c r="B8" s="114">
        <v>1</v>
      </c>
      <c r="C8" s="115">
        <v>12350</v>
      </c>
      <c r="D8" s="37">
        <f>B8*C8</f>
        <v>12350</v>
      </c>
      <c r="E8" s="39">
        <f>D8*0.05</f>
        <v>617.5</v>
      </c>
      <c r="F8" s="114">
        <v>2500</v>
      </c>
      <c r="G8" s="115">
        <v>0.2</v>
      </c>
      <c r="H8" s="37">
        <f>G8*B8</f>
        <v>0.2</v>
      </c>
      <c r="I8" s="4">
        <f>H8*$C$2</f>
        <v>1264</v>
      </c>
      <c r="J8" s="51">
        <f>(D8+E8+F8+I8)*$C$3</f>
        <v>568.87100000000009</v>
      </c>
      <c r="K8" s="6"/>
      <c r="L8" s="17"/>
    </row>
    <row r="9" spans="1:12" x14ac:dyDescent="0.25">
      <c r="A9" s="39" t="s">
        <v>358</v>
      </c>
      <c r="B9" s="114">
        <v>1</v>
      </c>
      <c r="C9" s="115">
        <f>8900/3</f>
        <v>2966.6666666666665</v>
      </c>
      <c r="D9" s="37">
        <f>B9*C9</f>
        <v>2966.6666666666665</v>
      </c>
      <c r="E9" s="39">
        <f>D9*0.05</f>
        <v>148.33333333333334</v>
      </c>
      <c r="F9" s="118">
        <v>0</v>
      </c>
      <c r="G9" s="115">
        <f>1.55/3</f>
        <v>0.51666666666666672</v>
      </c>
      <c r="H9" s="37">
        <f>G9*B9</f>
        <v>0.51666666666666672</v>
      </c>
      <c r="I9" s="4">
        <f>H9*$C$2</f>
        <v>3265.3333333333335</v>
      </c>
      <c r="J9" s="51">
        <f>(D9+E9+F9+I9)*$C$3</f>
        <v>216.93133333333336</v>
      </c>
      <c r="K9" s="6"/>
      <c r="L9" s="17"/>
    </row>
    <row r="10" spans="1:12" ht="26.25" x14ac:dyDescent="0.4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358</v>
      </c>
      <c r="B11" s="114">
        <v>1</v>
      </c>
      <c r="C11" s="115">
        <f>8900/3</f>
        <v>2966.6666666666665</v>
      </c>
      <c r="D11" s="37">
        <f>B11*C11</f>
        <v>2966.6666666666665</v>
      </c>
      <c r="E11" s="39">
        <f>D11*0.05</f>
        <v>148.33333333333334</v>
      </c>
      <c r="F11" s="118">
        <v>0</v>
      </c>
      <c r="G11" s="115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338</v>
      </c>
      <c r="B12" s="98">
        <v>1</v>
      </c>
      <c r="C12" s="99">
        <f>10900/3</f>
        <v>3633.3333333333335</v>
      </c>
      <c r="D12" s="37">
        <f>B12*C12</f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3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>K13-J13</f>
        <v>7.6240000000000236</v>
      </c>
    </row>
    <row r="14" spans="1:12" x14ac:dyDescent="0.25">
      <c r="A14" s="39" t="s">
        <v>262</v>
      </c>
      <c r="B14" s="98">
        <v>1</v>
      </c>
      <c r="C14" s="99">
        <v>8800</v>
      </c>
      <c r="D14" s="37">
        <f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>B15*C15</f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3" t="s">
        <v>32</v>
      </c>
      <c r="B16" s="116"/>
      <c r="C16" s="117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360</v>
      </c>
      <c r="B17" s="98">
        <v>1</v>
      </c>
      <c r="C17" s="99">
        <v>12000</v>
      </c>
      <c r="D17" s="37">
        <f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3" t="s">
        <v>165</v>
      </c>
      <c r="B18" s="116"/>
      <c r="C18" s="117"/>
      <c r="D18" s="32"/>
      <c r="E18" s="92"/>
      <c r="F18" s="116"/>
      <c r="G18" s="117"/>
      <c r="H18" s="32"/>
      <c r="I18" s="2"/>
      <c r="J18" s="52">
        <f>J19</f>
        <v>454.69900000000001</v>
      </c>
      <c r="K18" s="10">
        <v>458</v>
      </c>
      <c r="L18" s="10">
        <f>K18-J18</f>
        <v>3.3009999999999877</v>
      </c>
    </row>
    <row r="19" spans="1:12" x14ac:dyDescent="0.25">
      <c r="A19" s="39" t="s">
        <v>361</v>
      </c>
      <c r="B19" s="98">
        <v>1</v>
      </c>
      <c r="C19" s="99">
        <v>8550</v>
      </c>
      <c r="D19" s="37">
        <f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>K20-J20</f>
        <v>3.5939999999999941</v>
      </c>
    </row>
    <row r="21" spans="1:12" x14ac:dyDescent="0.25">
      <c r="A21" s="39" t="s">
        <v>362</v>
      </c>
      <c r="B21" s="98">
        <v>1</v>
      </c>
      <c r="C21" s="99">
        <v>9900</v>
      </c>
      <c r="D21" s="37">
        <f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>K22-J22</f>
        <v>-110.7516</v>
      </c>
    </row>
    <row r="23" spans="1:12" x14ac:dyDescent="0.25">
      <c r="A23" s="106" t="s">
        <v>338</v>
      </c>
      <c r="B23" s="98">
        <v>1</v>
      </c>
      <c r="C23" s="99">
        <f>10900/3</f>
        <v>3633.3333333333335</v>
      </c>
      <c r="D23" s="37">
        <f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>K24-J24</f>
        <v>17.205999999999904</v>
      </c>
    </row>
    <row r="25" spans="1:12" x14ac:dyDescent="0.25">
      <c r="A25" s="39" t="s">
        <v>363</v>
      </c>
      <c r="B25" s="98">
        <v>1</v>
      </c>
      <c r="C25" s="99">
        <v>8900</v>
      </c>
      <c r="D25" s="37">
        <f>B25*C25</f>
        <v>8900</v>
      </c>
      <c r="E25" s="39">
        <f>D25*0.05</f>
        <v>445</v>
      </c>
      <c r="F25" s="118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>K26-J26</f>
        <v>2.3739999999999668</v>
      </c>
    </row>
    <row r="27" spans="1:12" ht="15.75" thickBot="1" x14ac:dyDescent="0.3">
      <c r="A27" s="39" t="s">
        <v>365</v>
      </c>
      <c r="B27" s="102">
        <v>1</v>
      </c>
      <c r="C27" s="103">
        <v>4500</v>
      </c>
      <c r="D27" s="37">
        <f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281</v>
      </c>
      <c r="B1" s="4"/>
      <c r="C1" s="15">
        <v>41744</v>
      </c>
      <c r="D1" s="30"/>
    </row>
    <row r="2" spans="1:13" ht="21" x14ac:dyDescent="0.35">
      <c r="A2" s="55" t="s">
        <v>239</v>
      </c>
      <c r="B2" s="4"/>
      <c r="C2" s="16">
        <v>6640</v>
      </c>
      <c r="D2" s="30"/>
    </row>
    <row r="3" spans="1:13" ht="21" x14ac:dyDescent="0.35">
      <c r="A3" s="55" t="s">
        <v>240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>K6-J6</f>
        <v>-9.7989999999981592E-2</v>
      </c>
      <c r="M6" t="s">
        <v>405</v>
      </c>
    </row>
    <row r="7" spans="1:13" x14ac:dyDescent="0.25">
      <c r="A7" s="17" t="s">
        <v>392</v>
      </c>
      <c r="B7" s="128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393</v>
      </c>
      <c r="B8" s="37">
        <v>1</v>
      </c>
      <c r="C8" s="99">
        <v>14800</v>
      </c>
      <c r="D8" s="37">
        <f>B8*C8</f>
        <v>14800</v>
      </c>
      <c r="E8" s="39">
        <f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394</v>
      </c>
      <c r="B9" s="37">
        <v>1</v>
      </c>
      <c r="C9" s="99">
        <v>8000</v>
      </c>
      <c r="D9" s="37">
        <f>B9*C9</f>
        <v>8000</v>
      </c>
      <c r="E9" s="39">
        <f>D9*0.1</f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395</v>
      </c>
      <c r="B10" s="37">
        <v>1</v>
      </c>
      <c r="C10" s="99">
        <v>2450</v>
      </c>
      <c r="D10" s="37">
        <f>B10*C10</f>
        <v>2450</v>
      </c>
      <c r="E10" s="39">
        <f>D10*0.1</f>
        <v>245</v>
      </c>
      <c r="F10" s="98">
        <v>2500</v>
      </c>
      <c r="G10" s="99">
        <v>0.2</v>
      </c>
      <c r="H10" s="37">
        <f>G10*B10</f>
        <v>0.2</v>
      </c>
      <c r="I10" s="4">
        <f>H10*$C$2</f>
        <v>1328</v>
      </c>
      <c r="J10" s="51">
        <f>(D10+E10+F10+I10)*$C$3</f>
        <v>230.45759000000001</v>
      </c>
      <c r="K10" s="6"/>
      <c r="L10" s="17"/>
    </row>
    <row r="11" spans="1:13" x14ac:dyDescent="0.25">
      <c r="A11" s="119" t="s">
        <v>396</v>
      </c>
      <c r="B11" s="120" t="s">
        <v>403</v>
      </c>
      <c r="C11" s="115"/>
      <c r="D11" s="37"/>
      <c r="E11" s="39"/>
      <c r="F11" s="114"/>
      <c r="G11" s="115"/>
      <c r="H11" s="37"/>
      <c r="I11" s="4"/>
      <c r="J11" s="51"/>
      <c r="K11" s="6"/>
      <c r="L11" s="17"/>
    </row>
    <row r="12" spans="1:13" ht="31.5" x14ac:dyDescent="0.5">
      <c r="A12" s="104" t="s">
        <v>385</v>
      </c>
      <c r="B12" s="123"/>
      <c r="C12" s="124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>K12-J12</f>
        <v>0.47583400000030451</v>
      </c>
    </row>
    <row r="13" spans="1:13" x14ac:dyDescent="0.25">
      <c r="A13" s="121" t="s">
        <v>386</v>
      </c>
      <c r="B13" s="98">
        <v>1</v>
      </c>
      <c r="C13" s="99">
        <v>5990</v>
      </c>
      <c r="D13" s="37">
        <f>B13*C13</f>
        <v>5990</v>
      </c>
      <c r="E13" s="39">
        <f>D13*0.1</f>
        <v>599</v>
      </c>
      <c r="F13" s="98">
        <v>2500</v>
      </c>
      <c r="G13" s="99">
        <v>0.2</v>
      </c>
      <c r="H13" s="37">
        <f>G13*B13</f>
        <v>0.2</v>
      </c>
      <c r="I13" s="4">
        <f>H13*$C$2</f>
        <v>1328</v>
      </c>
      <c r="J13" s="51">
        <f>(D13+E13+F13+I13)*$C$3</f>
        <v>368.03260999999998</v>
      </c>
      <c r="K13" s="6"/>
      <c r="L13" s="17"/>
    </row>
    <row r="14" spans="1:13" x14ac:dyDescent="0.25">
      <c r="A14" s="121" t="s">
        <v>387</v>
      </c>
      <c r="B14" s="98">
        <v>1</v>
      </c>
      <c r="C14" s="99">
        <v>19000</v>
      </c>
      <c r="D14" s="37">
        <f>B14*C14</f>
        <v>19000</v>
      </c>
      <c r="E14" s="39">
        <f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1" t="s">
        <v>388</v>
      </c>
      <c r="B15" s="98">
        <v>1</v>
      </c>
      <c r="C15" s="99">
        <v>12600</v>
      </c>
      <c r="D15" s="37">
        <f>B15*C15</f>
        <v>12600</v>
      </c>
      <c r="E15" s="39">
        <f>D15*0.1</f>
        <v>1260</v>
      </c>
      <c r="F15" s="98">
        <v>0</v>
      </c>
      <c r="G15" s="99">
        <v>0.39</v>
      </c>
      <c r="H15" s="37">
        <f>G15*B15</f>
        <v>0.39</v>
      </c>
      <c r="I15" s="4">
        <f>H15*$C$2</f>
        <v>2589.6</v>
      </c>
      <c r="J15" s="51">
        <f>(D15+E15+F15+I15)*$C$3</f>
        <v>581.16436799999997</v>
      </c>
      <c r="K15" s="6"/>
      <c r="L15" s="17"/>
    </row>
    <row r="16" spans="1:13" x14ac:dyDescent="0.25">
      <c r="A16" s="121" t="s">
        <v>389</v>
      </c>
      <c r="B16" s="98">
        <v>1</v>
      </c>
      <c r="C16" s="99">
        <v>12900</v>
      </c>
      <c r="D16" s="37">
        <f>B16*C16</f>
        <v>12900</v>
      </c>
      <c r="E16" s="39">
        <f>D16*0.1</f>
        <v>1290</v>
      </c>
      <c r="F16" s="98">
        <v>0</v>
      </c>
      <c r="G16" s="99">
        <v>0.28999999999999998</v>
      </c>
      <c r="H16" s="37">
        <f>G16*B16</f>
        <v>0.28999999999999998</v>
      </c>
      <c r="I16" s="4">
        <f>H16*$C$2</f>
        <v>1925.6</v>
      </c>
      <c r="J16" s="51">
        <f>(D16+E16+F16+I16)*$C$3</f>
        <v>569.364148</v>
      </c>
      <c r="K16" s="6"/>
      <c r="L16" s="17"/>
    </row>
    <row r="17" spans="1:12" ht="31.5" x14ac:dyDescent="0.5">
      <c r="A17" s="104" t="s">
        <v>331</v>
      </c>
      <c r="B17" s="123"/>
      <c r="C17" s="124"/>
      <c r="D17" s="32"/>
      <c r="E17" s="92"/>
      <c r="F17" s="123"/>
      <c r="G17" s="124"/>
      <c r="H17" s="32"/>
      <c r="I17" s="2"/>
      <c r="J17" s="52">
        <f>SUM(J18:J21)</f>
        <v>2581.3511199999998</v>
      </c>
      <c r="K17" s="10">
        <f>2189+95</f>
        <v>2284</v>
      </c>
      <c r="L17" s="10">
        <f>K17-J17</f>
        <v>-297.35111999999981</v>
      </c>
    </row>
    <row r="18" spans="1:12" x14ac:dyDescent="0.25">
      <c r="A18" s="121" t="s">
        <v>397</v>
      </c>
      <c r="B18" s="98">
        <v>1</v>
      </c>
      <c r="C18" s="99">
        <v>11900</v>
      </c>
      <c r="D18" s="37">
        <f>B18*C18</f>
        <v>11900</v>
      </c>
      <c r="E18" s="39">
        <f>D18*0.1</f>
        <v>1190</v>
      </c>
      <c r="F18" s="98">
        <v>0</v>
      </c>
      <c r="G18" s="99">
        <v>0.4</v>
      </c>
      <c r="H18" s="37">
        <f>G18*B18</f>
        <v>0.4</v>
      </c>
      <c r="I18" s="4">
        <f>H18*$C$2</f>
        <v>2656</v>
      </c>
      <c r="J18" s="51">
        <f>(D18+E18+F18+I18)*$C$3</f>
        <v>556.30618000000004</v>
      </c>
      <c r="K18" s="6"/>
      <c r="L18" s="17"/>
    </row>
    <row r="19" spans="1:12" x14ac:dyDescent="0.25">
      <c r="A19" s="121" t="s">
        <v>277</v>
      </c>
      <c r="B19" s="98">
        <v>1</v>
      </c>
      <c r="C19" s="99">
        <v>23900</v>
      </c>
      <c r="D19" s="37">
        <f>B19*C19</f>
        <v>23900</v>
      </c>
      <c r="E19" s="39">
        <f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1" t="s">
        <v>57</v>
      </c>
      <c r="B20" s="98">
        <v>1</v>
      </c>
      <c r="C20" s="99">
        <v>15300</v>
      </c>
      <c r="D20" s="37">
        <f>B20*C20</f>
        <v>15300</v>
      </c>
      <c r="E20" s="39">
        <f>D20*0.1</f>
        <v>1530</v>
      </c>
      <c r="F20" s="98">
        <v>2500</v>
      </c>
      <c r="G20" s="99">
        <v>0.3</v>
      </c>
      <c r="H20" s="37">
        <f>G20*B20</f>
        <v>0.3</v>
      </c>
      <c r="I20" s="4">
        <f>H20*$C$2</f>
        <v>1992</v>
      </c>
      <c r="J20" s="51">
        <f>(D20+E20+F20+I20)*$C$3</f>
        <v>753.30625999999995</v>
      </c>
      <c r="K20" s="6"/>
      <c r="L20" s="17"/>
    </row>
    <row r="21" spans="1:12" x14ac:dyDescent="0.25">
      <c r="A21" s="121" t="s">
        <v>390</v>
      </c>
      <c r="B21" s="98">
        <v>1</v>
      </c>
      <c r="C21" s="99">
        <v>3000</v>
      </c>
      <c r="D21" s="37">
        <f>B21*C21</f>
        <v>3000</v>
      </c>
      <c r="E21" s="39">
        <f>D21*0.1</f>
        <v>300</v>
      </c>
      <c r="F21" s="125">
        <f>2500/2</f>
        <v>1250</v>
      </c>
      <c r="G21" s="99">
        <v>0.2</v>
      </c>
      <c r="H21" s="37">
        <f>G21*B21</f>
        <v>0.2</v>
      </c>
      <c r="I21" s="4">
        <f>H21*$C$2</f>
        <v>1328</v>
      </c>
      <c r="J21" s="51">
        <f>(D21+E21+F21+I21)*$C$3</f>
        <v>207.66973999999999</v>
      </c>
      <c r="K21" s="6"/>
      <c r="L21" s="17"/>
    </row>
    <row r="22" spans="1:12" ht="31.5" x14ac:dyDescent="0.5">
      <c r="A22" s="104" t="s">
        <v>382</v>
      </c>
      <c r="B22" s="123"/>
      <c r="C22" s="124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>K22-J22</f>
        <v>0.30138999999985572</v>
      </c>
    </row>
    <row r="23" spans="1:12" x14ac:dyDescent="0.25">
      <c r="A23" s="121" t="s">
        <v>379</v>
      </c>
      <c r="B23" s="98">
        <v>1</v>
      </c>
      <c r="C23" s="99">
        <f>16800/2</f>
        <v>8400</v>
      </c>
      <c r="D23" s="37">
        <f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1" t="s">
        <v>374</v>
      </c>
      <c r="B24" s="98">
        <v>1</v>
      </c>
      <c r="C24" s="99">
        <f>14900/2</f>
        <v>7450</v>
      </c>
      <c r="D24" s="37">
        <f>B24*C24</f>
        <v>7450</v>
      </c>
      <c r="E24" s="39">
        <f>D24*0.1</f>
        <v>745</v>
      </c>
      <c r="F24" s="98">
        <v>0</v>
      </c>
      <c r="G24" s="99">
        <v>0.8</v>
      </c>
      <c r="H24" s="37">
        <f>G24*B24</f>
        <v>0.8</v>
      </c>
      <c r="I24" s="4">
        <f>H24*$C$2</f>
        <v>5312</v>
      </c>
      <c r="J24" s="51">
        <f>(D24+E24+F24+I24)*$C$3</f>
        <v>477.20231000000001</v>
      </c>
      <c r="K24" s="6"/>
      <c r="L24" s="17"/>
    </row>
    <row r="25" spans="1:12" x14ac:dyDescent="0.25">
      <c r="A25" s="121" t="s">
        <v>383</v>
      </c>
      <c r="B25" s="98">
        <v>1</v>
      </c>
      <c r="C25" s="99">
        <v>3000</v>
      </c>
      <c r="D25" s="37">
        <f>B25*C25</f>
        <v>3000</v>
      </c>
      <c r="E25" s="39">
        <f>D25*0.1</f>
        <v>300</v>
      </c>
      <c r="F25" s="125">
        <f>2500/2</f>
        <v>1250</v>
      </c>
      <c r="G25" s="99">
        <v>0.2</v>
      </c>
      <c r="H25" s="37">
        <f>G25*B25</f>
        <v>0.2</v>
      </c>
      <c r="I25" s="4">
        <f>H25*$C$2</f>
        <v>1328</v>
      </c>
      <c r="J25" s="51">
        <f>(D25+E25+F25+I25)*$C$3</f>
        <v>207.66973999999999</v>
      </c>
      <c r="K25" s="6"/>
      <c r="L25" s="17"/>
    </row>
    <row r="26" spans="1:12" ht="31.5" x14ac:dyDescent="0.5">
      <c r="A26" s="104" t="s">
        <v>384</v>
      </c>
      <c r="B26" s="123"/>
      <c r="C26" s="124"/>
      <c r="D26" s="32"/>
      <c r="E26" s="92"/>
      <c r="F26" s="123"/>
      <c r="G26" s="124"/>
      <c r="H26" s="32"/>
      <c r="I26" s="2"/>
      <c r="J26" s="52">
        <f>SUM(J27:J29)</f>
        <v>1019.6944599999999</v>
      </c>
      <c r="K26" s="10">
        <f>978+42</f>
        <v>1020</v>
      </c>
      <c r="L26" s="10">
        <f>K26-J26</f>
        <v>0.30554000000006454</v>
      </c>
    </row>
    <row r="27" spans="1:12" x14ac:dyDescent="0.25">
      <c r="A27" s="121" t="s">
        <v>97</v>
      </c>
      <c r="B27" s="98">
        <v>1</v>
      </c>
      <c r="C27" s="99">
        <v>3100</v>
      </c>
      <c r="D27" s="37">
        <f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1" t="s">
        <v>172</v>
      </c>
      <c r="B28" s="98">
        <v>1</v>
      </c>
      <c r="C28" s="99">
        <v>6500</v>
      </c>
      <c r="D28" s="37">
        <f>B28*C28</f>
        <v>6500</v>
      </c>
      <c r="E28" s="39">
        <f>D28*0.1</f>
        <v>650</v>
      </c>
      <c r="F28" s="98">
        <v>2500</v>
      </c>
      <c r="G28" s="99">
        <v>0.2</v>
      </c>
      <c r="H28" s="37">
        <f>G28*B28</f>
        <v>0.2</v>
      </c>
      <c r="I28" s="4">
        <f>H28*$C$2</f>
        <v>1328</v>
      </c>
      <c r="J28" s="51">
        <f>(D28+E28+F28+I28)*$C$3</f>
        <v>387.85273999999998</v>
      </c>
      <c r="K28" s="6"/>
      <c r="L28" s="17"/>
    </row>
    <row r="29" spans="1:12" x14ac:dyDescent="0.25">
      <c r="A29" s="121" t="s">
        <v>379</v>
      </c>
      <c r="B29" s="98">
        <v>1</v>
      </c>
      <c r="C29" s="99">
        <f>16800/2</f>
        <v>8400</v>
      </c>
      <c r="D29" s="37">
        <f>B29*C29</f>
        <v>8400</v>
      </c>
      <c r="E29" s="39">
        <f>D29*0.1</f>
        <v>840</v>
      </c>
      <c r="F29" s="98">
        <v>0</v>
      </c>
      <c r="G29" s="99">
        <v>0.3</v>
      </c>
      <c r="H29" s="37">
        <f>G29*B29</f>
        <v>0.3</v>
      </c>
      <c r="I29" s="4">
        <f>H29*$C$2</f>
        <v>1992</v>
      </c>
      <c r="J29" s="51">
        <f>(D29+E29+F29+I29)*$C$3</f>
        <v>396.82656000000003</v>
      </c>
      <c r="K29" s="6"/>
      <c r="L29" s="17"/>
    </row>
    <row r="30" spans="1:12" ht="26.25" x14ac:dyDescent="0.4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1" t="s">
        <v>380</v>
      </c>
      <c r="B31" s="98">
        <v>1</v>
      </c>
      <c r="C31" s="99">
        <f>9900+2900</f>
        <v>12800</v>
      </c>
      <c r="D31" s="37">
        <f>B31*C31</f>
        <v>12800</v>
      </c>
      <c r="E31" s="39">
        <f>D31*0.1</f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1" t="s">
        <v>381</v>
      </c>
      <c r="B32" s="98">
        <v>1</v>
      </c>
      <c r="C32" s="99">
        <v>9800</v>
      </c>
      <c r="D32" s="37">
        <f>B32*C32</f>
        <v>9800</v>
      </c>
      <c r="E32" s="39">
        <f>D32*0.1</f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1" t="s">
        <v>370</v>
      </c>
      <c r="B34" s="98">
        <v>1</v>
      </c>
      <c r="C34" s="99">
        <v>5230</v>
      </c>
      <c r="D34" s="37">
        <f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>K35-J35</f>
        <v>0.33157600000004095</v>
      </c>
    </row>
    <row r="36" spans="1:13" x14ac:dyDescent="0.25">
      <c r="A36" s="121" t="s">
        <v>371</v>
      </c>
      <c r="B36" s="98">
        <v>1</v>
      </c>
      <c r="C36" s="99">
        <v>12000</v>
      </c>
      <c r="D36" s="37">
        <f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>K37-J37</f>
        <v>0.98483999999999128</v>
      </c>
    </row>
    <row r="38" spans="1:13" x14ac:dyDescent="0.25">
      <c r="A38" s="121" t="s">
        <v>97</v>
      </c>
      <c r="B38" s="98">
        <v>1</v>
      </c>
      <c r="C38" s="99">
        <v>3100</v>
      </c>
      <c r="D38" s="37">
        <f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373</v>
      </c>
      <c r="B39" s="123"/>
      <c r="C39" s="124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>K39-J39</f>
        <v>2.7976899999999887</v>
      </c>
      <c r="M39" t="s">
        <v>404</v>
      </c>
    </row>
    <row r="40" spans="1:13" x14ac:dyDescent="0.25">
      <c r="A40" s="121" t="s">
        <v>374</v>
      </c>
      <c r="B40" s="98">
        <v>1</v>
      </c>
      <c r="C40" s="99">
        <f>14900/2</f>
        <v>7450</v>
      </c>
      <c r="D40" s="37">
        <f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195</v>
      </c>
      <c r="B41" s="123"/>
      <c r="C41" s="124"/>
      <c r="D41" s="32"/>
      <c r="E41" s="92"/>
      <c r="F41" s="123"/>
      <c r="G41" s="124"/>
      <c r="H41" s="32"/>
      <c r="I41" s="2"/>
      <c r="J41" s="52">
        <f>J42</f>
        <v>636.78791999999999</v>
      </c>
      <c r="K41" s="10">
        <f>611+21+6</f>
        <v>638</v>
      </c>
      <c r="L41" s="10">
        <f>K41-J41</f>
        <v>1.2120800000000145</v>
      </c>
    </row>
    <row r="42" spans="1:13" ht="30" x14ac:dyDescent="0.25">
      <c r="A42" s="121" t="s">
        <v>375</v>
      </c>
      <c r="B42" s="114">
        <v>1</v>
      </c>
      <c r="C42" s="99">
        <v>12000</v>
      </c>
      <c r="D42" s="37">
        <f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>K43-J43</f>
        <v>0.33805999999998448</v>
      </c>
    </row>
    <row r="44" spans="1:13" x14ac:dyDescent="0.25">
      <c r="A44" s="121" t="s">
        <v>376</v>
      </c>
      <c r="B44" s="98">
        <v>1</v>
      </c>
      <c r="C44" s="99">
        <v>9900</v>
      </c>
      <c r="D44" s="37">
        <f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>K45-J45</f>
        <v>-0.11673999999999296</v>
      </c>
    </row>
    <row r="46" spans="1:13" x14ac:dyDescent="0.25">
      <c r="A46" s="122" t="s">
        <v>378</v>
      </c>
      <c r="B46" s="98">
        <v>1</v>
      </c>
      <c r="C46" s="99">
        <f>19000/2</f>
        <v>9500</v>
      </c>
      <c r="D46" s="37">
        <f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3"/>
      <c r="C47" s="124"/>
      <c r="D47" s="32"/>
      <c r="E47" s="92"/>
      <c r="F47" s="123"/>
      <c r="G47" s="124"/>
      <c r="H47" s="32"/>
      <c r="I47" s="2"/>
      <c r="J47" s="52">
        <f>J48</f>
        <v>396.82656000000003</v>
      </c>
      <c r="K47" s="10">
        <v>380</v>
      </c>
      <c r="L47" s="10">
        <f>K47-J47</f>
        <v>-16.826560000000029</v>
      </c>
    </row>
    <row r="48" spans="1:13" ht="15.75" thickBot="1" x14ac:dyDescent="0.3">
      <c r="A48" s="121" t="s">
        <v>379</v>
      </c>
      <c r="B48" s="102">
        <v>1</v>
      </c>
      <c r="C48" s="103">
        <f>16800/2</f>
        <v>8400</v>
      </c>
      <c r="D48" s="37">
        <f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281</v>
      </c>
      <c r="B1" s="4"/>
      <c r="C1" s="15">
        <v>41777</v>
      </c>
      <c r="D1" s="30"/>
    </row>
    <row r="2" spans="1:13" ht="21" x14ac:dyDescent="0.35">
      <c r="A2" s="55" t="s">
        <v>239</v>
      </c>
      <c r="B2" s="4"/>
      <c r="C2" s="16">
        <v>6780</v>
      </c>
      <c r="D2" s="30"/>
    </row>
    <row r="3" spans="1:13" ht="21" x14ac:dyDescent="0.35">
      <c r="A3" s="55" t="s">
        <v>240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20</v>
      </c>
      <c r="B6" s="123"/>
      <c r="C6" s="124"/>
      <c r="D6" s="32"/>
      <c r="E6" s="92"/>
      <c r="F6" s="123"/>
      <c r="G6" s="124"/>
      <c r="H6" s="32"/>
      <c r="I6" s="2"/>
      <c r="J6" s="52">
        <f>J7</f>
        <v>464.63567999999998</v>
      </c>
      <c r="K6" s="10">
        <v>470</v>
      </c>
      <c r="L6" s="10">
        <f>K6-J6</f>
        <v>5.3643200000000206</v>
      </c>
    </row>
    <row r="7" spans="1:13" x14ac:dyDescent="0.25">
      <c r="A7" s="130" t="s">
        <v>406</v>
      </c>
      <c r="B7" s="114">
        <v>1</v>
      </c>
      <c r="C7" s="99">
        <v>11000</v>
      </c>
      <c r="D7" s="37">
        <f>B7*C7</f>
        <v>11000</v>
      </c>
      <c r="E7" s="39">
        <f>D7*0.1</f>
        <v>1100</v>
      </c>
      <c r="F7" s="98">
        <v>0</v>
      </c>
      <c r="G7" s="131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29" t="s">
        <v>2</v>
      </c>
      <c r="B8" s="123"/>
      <c r="C8" s="124"/>
      <c r="D8" s="32"/>
      <c r="E8" s="92"/>
      <c r="F8" s="123"/>
      <c r="G8" s="124"/>
      <c r="H8" s="32"/>
      <c r="I8" s="2"/>
      <c r="J8" s="52">
        <f>J9</f>
        <v>532.52166</v>
      </c>
      <c r="K8" s="10">
        <f>604-71</f>
        <v>533</v>
      </c>
      <c r="L8" s="10">
        <f>K8-J8</f>
        <v>0.47834000000000287</v>
      </c>
      <c r="M8" s="133" t="s">
        <v>420</v>
      </c>
    </row>
    <row r="9" spans="1:13" x14ac:dyDescent="0.25">
      <c r="A9" s="39" t="s">
        <v>320</v>
      </c>
      <c r="B9" s="98">
        <v>2</v>
      </c>
      <c r="C9" s="99">
        <v>3100</v>
      </c>
      <c r="D9" s="37">
        <f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29" t="s">
        <v>407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304.07117999999997</v>
      </c>
      <c r="K10" s="10">
        <v>310</v>
      </c>
      <c r="L10" s="10">
        <f>K10-J10</f>
        <v>5.9288200000000302</v>
      </c>
    </row>
    <row r="11" spans="1:13" x14ac:dyDescent="0.25">
      <c r="A11" s="130" t="s">
        <v>417</v>
      </c>
      <c r="B11" s="98">
        <v>1</v>
      </c>
      <c r="C11" s="99">
        <v>4500</v>
      </c>
      <c r="D11" s="37">
        <f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29" t="s">
        <v>408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323.06268</v>
      </c>
      <c r="K12" s="10">
        <v>327</v>
      </c>
      <c r="L12" s="10">
        <f>K12-J12</f>
        <v>3.9373199999999997</v>
      </c>
    </row>
    <row r="13" spans="1:13" x14ac:dyDescent="0.25">
      <c r="A13" s="130" t="s">
        <v>409</v>
      </c>
      <c r="B13" s="98">
        <v>1</v>
      </c>
      <c r="C13" s="99">
        <v>5000</v>
      </c>
      <c r="D13" s="37">
        <f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29" t="s">
        <v>410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1387.62258</v>
      </c>
      <c r="K14" s="10">
        <v>1403</v>
      </c>
      <c r="L14" s="10">
        <f>K14-J14</f>
        <v>15.377420000000029</v>
      </c>
    </row>
    <row r="15" spans="1:13" x14ac:dyDescent="0.25">
      <c r="A15" s="130" t="s">
        <v>411</v>
      </c>
      <c r="B15" s="98">
        <v>1</v>
      </c>
      <c r="C15" s="99">
        <v>28000</v>
      </c>
      <c r="D15" s="37">
        <f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29" t="s">
        <v>412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1387.62258</v>
      </c>
      <c r="K16" s="10">
        <v>1403</v>
      </c>
      <c r="L16" s="10">
        <f>K16-J16</f>
        <v>15.377420000000029</v>
      </c>
    </row>
    <row r="17" spans="1:12" x14ac:dyDescent="0.25">
      <c r="A17" s="130" t="s">
        <v>411</v>
      </c>
      <c r="B17" s="98">
        <v>1</v>
      </c>
      <c r="C17" s="99">
        <v>28000</v>
      </c>
      <c r="D17" s="37">
        <f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29" t="s">
        <v>193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321.86563999999998</v>
      </c>
      <c r="K18" s="10">
        <v>316</v>
      </c>
      <c r="L18" s="10">
        <f>K18-J18</f>
        <v>-5.8656399999999849</v>
      </c>
    </row>
    <row r="19" spans="1:12" x14ac:dyDescent="0.25">
      <c r="A19" s="39" t="s">
        <v>413</v>
      </c>
      <c r="B19" s="98">
        <v>1</v>
      </c>
      <c r="C19" s="99">
        <v>500</v>
      </c>
      <c r="D19" s="37">
        <f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>B20*C20</f>
        <v>3300</v>
      </c>
      <c r="E20" s="39">
        <f>D20*0.1</f>
        <v>330</v>
      </c>
      <c r="F20" s="98">
        <f>2500/3</f>
        <v>833.33333333333337</v>
      </c>
      <c r="G20" s="99">
        <f>0.2/3</f>
        <v>6.6666666666666666E-2</v>
      </c>
      <c r="H20" s="37">
        <f>G20*B20</f>
        <v>6.6666666666666666E-2</v>
      </c>
      <c r="I20" s="4">
        <f>H20*$C$2</f>
        <v>452</v>
      </c>
      <c r="J20" s="51">
        <f>(D20+E20+F20+I20)*$C$3</f>
        <v>169.72645999999997</v>
      </c>
      <c r="K20" s="6"/>
      <c r="L20" s="17"/>
    </row>
    <row r="21" spans="1:12" ht="31.5" x14ac:dyDescent="0.5">
      <c r="A21" s="129" t="s">
        <v>346</v>
      </c>
      <c r="B21" s="123"/>
      <c r="C21" s="124"/>
      <c r="D21" s="32"/>
      <c r="E21" s="92"/>
      <c r="F21" s="123"/>
      <c r="G21" s="124"/>
      <c r="H21" s="32"/>
      <c r="I21" s="2"/>
      <c r="J21" s="52">
        <f>SUM(J22:J23)</f>
        <v>604.28881200000001</v>
      </c>
      <c r="K21" s="10">
        <v>612</v>
      </c>
      <c r="L21" s="10">
        <f>K21-J21</f>
        <v>7.7111879999999928</v>
      </c>
    </row>
    <row r="22" spans="1:12" x14ac:dyDescent="0.25">
      <c r="A22" s="130" t="s">
        <v>414</v>
      </c>
      <c r="B22" s="98">
        <v>1</v>
      </c>
      <c r="C22" s="99">
        <v>8300</v>
      </c>
      <c r="D22" s="37">
        <f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415</v>
      </c>
      <c r="B23" s="98">
        <v>1</v>
      </c>
      <c r="C23" s="99">
        <v>6500</v>
      </c>
      <c r="D23" s="37">
        <f>B23*C23</f>
        <v>6500</v>
      </c>
      <c r="E23" s="39">
        <f>D23*0.1</f>
        <v>650</v>
      </c>
      <c r="F23" s="98">
        <v>0</v>
      </c>
      <c r="G23" s="99">
        <v>0.09</v>
      </c>
      <c r="H23" s="37">
        <f>G23*B23</f>
        <v>0.09</v>
      </c>
      <c r="I23" s="4">
        <f>H23*$C$2</f>
        <v>610.19999999999993</v>
      </c>
      <c r="J23" s="51">
        <f>(D23+E23+F23+I23)*$C$3</f>
        <v>267.95970599999998</v>
      </c>
      <c r="K23" s="6"/>
      <c r="L23" s="17"/>
    </row>
    <row r="24" spans="1:12" ht="31.5" x14ac:dyDescent="0.5">
      <c r="A24" s="129" t="s">
        <v>382</v>
      </c>
      <c r="B24" s="123"/>
      <c r="C24" s="124"/>
      <c r="D24" s="32"/>
      <c r="E24" s="92"/>
      <c r="F24" s="123"/>
      <c r="G24" s="124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0" t="s">
        <v>418</v>
      </c>
      <c r="B25" s="98">
        <v>1</v>
      </c>
      <c r="C25" s="99">
        <f>9900/2</f>
        <v>4950</v>
      </c>
      <c r="D25" s="37">
        <f>B25*C25</f>
        <v>4950</v>
      </c>
      <c r="E25" s="39">
        <f>D25*0.1</f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416</v>
      </c>
      <c r="B26" s="102">
        <v>1</v>
      </c>
      <c r="C26" s="103">
        <v>12900</v>
      </c>
      <c r="D26" s="37">
        <f>B26*C26</f>
        <v>12900</v>
      </c>
      <c r="E26" s="39">
        <f>D26*0.1</f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281</v>
      </c>
      <c r="B1" s="4"/>
      <c r="C1" s="15">
        <v>41817</v>
      </c>
      <c r="D1" s="30"/>
    </row>
    <row r="2" spans="1:13" ht="21" x14ac:dyDescent="0.35">
      <c r="A2" s="55" t="s">
        <v>239</v>
      </c>
      <c r="B2" s="4"/>
      <c r="C2" s="16">
        <v>7420</v>
      </c>
      <c r="D2" s="30"/>
    </row>
    <row r="3" spans="1:13" ht="21" x14ac:dyDescent="0.35">
      <c r="A3" s="55" t="s">
        <v>240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29" t="s">
        <v>165</v>
      </c>
      <c r="B6" s="123"/>
      <c r="C6" s="124"/>
      <c r="D6" s="32"/>
      <c r="E6" s="92"/>
      <c r="F6" s="123"/>
      <c r="G6" s="124"/>
      <c r="H6" s="32"/>
      <c r="I6" s="2"/>
      <c r="J6" s="52">
        <f>J7</f>
        <v>1723.6853039999999</v>
      </c>
      <c r="K6" s="10">
        <v>1739</v>
      </c>
      <c r="L6" s="10">
        <f>K6-J6</f>
        <v>15.31469600000014</v>
      </c>
    </row>
    <row r="7" spans="1:13" x14ac:dyDescent="0.25">
      <c r="A7" s="39" t="s">
        <v>421</v>
      </c>
      <c r="B7" s="98">
        <v>1</v>
      </c>
      <c r="C7" s="99">
        <v>36000</v>
      </c>
      <c r="D7" s="37">
        <f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29" t="s">
        <v>346</v>
      </c>
      <c r="B8" s="123"/>
      <c r="C8" s="124"/>
      <c r="D8" s="32"/>
      <c r="E8" s="92"/>
      <c r="F8" s="123"/>
      <c r="G8" s="124"/>
      <c r="H8" s="32"/>
      <c r="I8" s="2"/>
      <c r="J8" s="52">
        <f>J9</f>
        <v>264.085284</v>
      </c>
      <c r="K8" s="10">
        <v>258</v>
      </c>
      <c r="L8" s="10">
        <f>K8-J8</f>
        <v>-6.0852840000000015</v>
      </c>
      <c r="M8" s="133"/>
    </row>
    <row r="9" spans="1:13" x14ac:dyDescent="0.25">
      <c r="A9" s="130" t="s">
        <v>422</v>
      </c>
      <c r="B9" s="98">
        <v>1</v>
      </c>
      <c r="C9" s="99">
        <v>6500</v>
      </c>
      <c r="D9" s="37">
        <f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29" t="s">
        <v>2</v>
      </c>
      <c r="B10" s="123"/>
      <c r="C10" s="124"/>
      <c r="D10" s="32"/>
      <c r="E10" s="92"/>
      <c r="F10" s="123"/>
      <c r="G10" s="124"/>
      <c r="H10" s="32"/>
      <c r="I10" s="2"/>
      <c r="J10" s="52">
        <f>J11</f>
        <v>780.04775999999993</v>
      </c>
      <c r="K10" s="10">
        <v>787</v>
      </c>
      <c r="L10" s="10">
        <f>K10-J10</f>
        <v>6.9522400000000744</v>
      </c>
    </row>
    <row r="11" spans="1:13" x14ac:dyDescent="0.25">
      <c r="A11" s="39" t="s">
        <v>423</v>
      </c>
      <c r="B11" s="134">
        <v>1</v>
      </c>
      <c r="C11" s="135">
        <v>15010</v>
      </c>
      <c r="D11" s="37">
        <f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29" t="s">
        <v>39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772.75127999999995</v>
      </c>
      <c r="K12" s="10">
        <v>797</v>
      </c>
      <c r="L12" s="10">
        <f>K12-J12</f>
        <v>24.248720000000048</v>
      </c>
    </row>
    <row r="13" spans="1:13" x14ac:dyDescent="0.25">
      <c r="A13" s="39" t="s">
        <v>424</v>
      </c>
      <c r="B13" s="134">
        <v>1</v>
      </c>
      <c r="C13" s="135">
        <v>15400</v>
      </c>
      <c r="D13" s="37">
        <f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29" t="s">
        <v>425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425.513148</v>
      </c>
      <c r="K14" s="10">
        <v>429</v>
      </c>
      <c r="L14" s="10">
        <f>K14-J14</f>
        <v>3.486851999999999</v>
      </c>
    </row>
    <row r="15" spans="1:13" x14ac:dyDescent="0.25">
      <c r="A15" s="39" t="s">
        <v>426</v>
      </c>
      <c r="B15" s="98">
        <v>1</v>
      </c>
      <c r="C15" s="99">
        <v>9900</v>
      </c>
      <c r="D15" s="37">
        <f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29" t="s">
        <v>427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417.24380399999995</v>
      </c>
      <c r="K16" s="10">
        <v>450</v>
      </c>
      <c r="L16" s="10">
        <f>K16-J16</f>
        <v>32.756196000000045</v>
      </c>
    </row>
    <row r="17" spans="1:13" x14ac:dyDescent="0.25">
      <c r="A17" s="39" t="s">
        <v>428</v>
      </c>
      <c r="B17" s="98">
        <v>1</v>
      </c>
      <c r="C17" s="99">
        <v>5900</v>
      </c>
      <c r="D17" s="37">
        <f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2" t="s">
        <v>429</v>
      </c>
      <c r="B18" s="123"/>
      <c r="C18" s="124"/>
      <c r="D18" s="32"/>
      <c r="E18" s="92"/>
      <c r="F18" s="123"/>
      <c r="G18" s="124"/>
      <c r="H18" s="32"/>
      <c r="I18" s="2"/>
      <c r="J18" s="52">
        <f>SUM(J19:J20)</f>
        <v>335.00977199999994</v>
      </c>
      <c r="K18" s="10">
        <v>550</v>
      </c>
      <c r="L18" s="10">
        <f>K18-J18</f>
        <v>214.99022800000006</v>
      </c>
    </row>
    <row r="19" spans="1:13" x14ac:dyDescent="0.25">
      <c r="A19" s="39" t="s">
        <v>430</v>
      </c>
      <c r="B19" s="118"/>
      <c r="C19" s="143"/>
      <c r="D19" s="144"/>
      <c r="E19" s="143"/>
      <c r="F19" s="118"/>
      <c r="G19" s="143"/>
      <c r="H19" s="144"/>
      <c r="I19" s="18"/>
      <c r="J19" s="78"/>
      <c r="K19" s="6"/>
      <c r="L19" s="17"/>
    </row>
    <row r="20" spans="1:13" x14ac:dyDescent="0.25">
      <c r="A20" s="39" t="s">
        <v>431</v>
      </c>
      <c r="B20" s="98">
        <v>1</v>
      </c>
      <c r="C20" s="99">
        <v>4800</v>
      </c>
      <c r="D20" s="37">
        <f>B20*C20</f>
        <v>4800</v>
      </c>
      <c r="E20" s="39">
        <f>D20*0.1</f>
        <v>480</v>
      </c>
      <c r="F20" s="98">
        <f>2300/2</f>
        <v>1150</v>
      </c>
      <c r="G20" s="99">
        <v>0.47</v>
      </c>
      <c r="H20" s="37">
        <f>G20*B20</f>
        <v>0.47</v>
      </c>
      <c r="I20" s="4">
        <f>H20*$C$2</f>
        <v>3487.3999999999996</v>
      </c>
      <c r="J20" s="51">
        <f>(D20+E20+F20+I20)*$C$3</f>
        <v>335.00977199999994</v>
      </c>
      <c r="K20" s="6"/>
      <c r="L20" s="17"/>
    </row>
    <row r="21" spans="1:13" ht="31.5" x14ac:dyDescent="0.5">
      <c r="A21" s="129" t="s">
        <v>331</v>
      </c>
      <c r="B21" s="123"/>
      <c r="C21" s="124"/>
      <c r="D21" s="32"/>
      <c r="E21" s="92"/>
      <c r="F21" s="123"/>
      <c r="G21" s="124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2" t="s">
        <v>435</v>
      </c>
    </row>
    <row r="22" spans="1:13" x14ac:dyDescent="0.25">
      <c r="A22" s="130" t="s">
        <v>432</v>
      </c>
      <c r="B22" s="136">
        <v>1</v>
      </c>
      <c r="C22" s="137">
        <v>18400</v>
      </c>
      <c r="D22" s="37">
        <f>B22*C22</f>
        <v>18400</v>
      </c>
      <c r="E22" s="39">
        <f>D22*0.1</f>
        <v>1840</v>
      </c>
      <c r="F22" s="114">
        <v>0</v>
      </c>
      <c r="G22" s="137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0" t="s">
        <v>433</v>
      </c>
      <c r="B23" s="136">
        <v>1</v>
      </c>
      <c r="C23" s="137">
        <v>18400</v>
      </c>
      <c r="D23" s="37">
        <f>B23*C23</f>
        <v>18400</v>
      </c>
      <c r="E23" s="39">
        <f>D23*0.1</f>
        <v>1840</v>
      </c>
      <c r="F23" s="114">
        <v>0</v>
      </c>
      <c r="G23" s="137">
        <v>0.48</v>
      </c>
      <c r="H23" s="37">
        <f>G23</f>
        <v>0.48</v>
      </c>
      <c r="I23" s="4">
        <f>H23*$C$2</f>
        <v>3561.6</v>
      </c>
      <c r="J23" s="51">
        <f>(D23+E23+F23+I23)*$C$3</f>
        <v>804.01804799999991</v>
      </c>
      <c r="K23" s="6"/>
      <c r="L23" s="17"/>
    </row>
    <row r="24" spans="1:13" ht="15.75" thickBot="1" x14ac:dyDescent="0.3">
      <c r="A24" s="130" t="s">
        <v>434</v>
      </c>
      <c r="B24" s="138">
        <v>1</v>
      </c>
      <c r="C24" s="139">
        <v>22400</v>
      </c>
      <c r="D24" s="37">
        <f>B24*C24</f>
        <v>22400</v>
      </c>
      <c r="E24" s="39">
        <f>D24*0.1</f>
        <v>2240</v>
      </c>
      <c r="F24" s="140">
        <v>0</v>
      </c>
      <c r="G24" s="139">
        <v>0.44</v>
      </c>
      <c r="H24" s="37">
        <f>G24</f>
        <v>0.44</v>
      </c>
      <c r="I24" s="4">
        <f>H24*$C$2</f>
        <v>3264.8</v>
      </c>
      <c r="J24" s="51">
        <f>(D24+E24+F24+I24)*$C$3</f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281</v>
      </c>
      <c r="B1" s="4"/>
      <c r="C1" s="15">
        <v>41834</v>
      </c>
      <c r="D1" s="30"/>
    </row>
    <row r="2" spans="1:13" ht="21" x14ac:dyDescent="0.35">
      <c r="A2" s="55" t="s">
        <v>239</v>
      </c>
      <c r="B2" s="4"/>
      <c r="C2" s="16">
        <v>7550</v>
      </c>
      <c r="D2" s="30"/>
    </row>
    <row r="3" spans="1:13" ht="21" x14ac:dyDescent="0.35">
      <c r="A3" s="55" t="s">
        <v>240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29" t="s">
        <v>425</v>
      </c>
      <c r="B7" s="123"/>
      <c r="C7" s="124"/>
      <c r="D7" s="32"/>
      <c r="E7" s="92"/>
      <c r="F7" s="123"/>
      <c r="G7" s="124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2"/>
    </row>
    <row r="8" spans="1:13" x14ac:dyDescent="0.25">
      <c r="A8" s="130" t="s">
        <v>67</v>
      </c>
      <c r="B8" s="136">
        <v>1</v>
      </c>
      <c r="C8" s="137">
        <v>10900</v>
      </c>
      <c r="D8" s="37">
        <f>B8*C8</f>
        <v>10900</v>
      </c>
      <c r="E8" s="39">
        <f>D8*0.1</f>
        <v>1090</v>
      </c>
      <c r="F8" s="114">
        <v>0</v>
      </c>
      <c r="G8" s="137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0" t="s">
        <v>199</v>
      </c>
      <c r="B9" s="136">
        <v>1</v>
      </c>
      <c r="C9" s="137">
        <v>7200</v>
      </c>
      <c r="D9" s="37">
        <f>B9*C9</f>
        <v>7200</v>
      </c>
      <c r="E9" s="39">
        <f>D9*0.1</f>
        <v>720</v>
      </c>
      <c r="F9" s="114">
        <v>0</v>
      </c>
      <c r="G9" s="137">
        <v>0.1</v>
      </c>
      <c r="H9" s="37">
        <f>G9</f>
        <v>0.1</v>
      </c>
      <c r="I9" s="4">
        <f>H9*$C$2</f>
        <v>755</v>
      </c>
      <c r="J9" s="51">
        <f>(D9+E9+F9+I9)*$C$3</f>
        <v>296.685</v>
      </c>
      <c r="K9" s="6"/>
      <c r="L9" s="17"/>
    </row>
    <row r="10" spans="1:13" x14ac:dyDescent="0.25">
      <c r="A10" s="130" t="s">
        <v>437</v>
      </c>
      <c r="B10" s="136">
        <v>1</v>
      </c>
      <c r="C10" s="137">
        <v>7900</v>
      </c>
      <c r="D10" s="37">
        <f>B10*C10</f>
        <v>7900</v>
      </c>
      <c r="E10" s="39">
        <f>D10*0.1</f>
        <v>790</v>
      </c>
      <c r="F10" s="114">
        <v>2500</v>
      </c>
      <c r="G10" s="137">
        <v>0.33</v>
      </c>
      <c r="H10" s="37">
        <f>G10</f>
        <v>0.33</v>
      </c>
      <c r="I10" s="4">
        <f>H10*$C$2</f>
        <v>2491.5</v>
      </c>
      <c r="J10" s="51">
        <f>(D10+E10+F10+I10)*$C$3</f>
        <v>467.90730000000002</v>
      </c>
      <c r="K10" s="6"/>
      <c r="L10" s="17"/>
    </row>
    <row r="11" spans="1:13" x14ac:dyDescent="0.25">
      <c r="A11" s="130" t="s">
        <v>438</v>
      </c>
      <c r="B11" s="145">
        <v>2</v>
      </c>
      <c r="C11" s="137">
        <v>2700</v>
      </c>
      <c r="D11" s="37">
        <f>B11*C11</f>
        <v>5400</v>
      </c>
      <c r="E11" s="39">
        <f>D11*0.1</f>
        <v>540</v>
      </c>
      <c r="F11" s="114">
        <v>2500</v>
      </c>
      <c r="G11" s="137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0" t="s">
        <v>105</v>
      </c>
      <c r="B12" s="136">
        <v>1</v>
      </c>
      <c r="C12" s="137">
        <v>11800</v>
      </c>
      <c r="D12" s="37">
        <f>B12*C12</f>
        <v>11800</v>
      </c>
      <c r="E12" s="39">
        <f>D12*0.1</f>
        <v>1180</v>
      </c>
      <c r="F12" s="114">
        <v>0</v>
      </c>
      <c r="G12" s="137">
        <v>0.56000000000000005</v>
      </c>
      <c r="H12" s="37">
        <f>G12</f>
        <v>0.56000000000000005</v>
      </c>
      <c r="I12" s="4">
        <f>H12*$C$2</f>
        <v>4228</v>
      </c>
      <c r="J12" s="51">
        <f>(D12+E12+F12+I12)*$C$3</f>
        <v>588.5136</v>
      </c>
      <c r="K12" s="6"/>
      <c r="L12" s="17"/>
    </row>
    <row r="13" spans="1:13" ht="31.5" x14ac:dyDescent="0.5">
      <c r="A13" s="129" t="s">
        <v>331</v>
      </c>
      <c r="B13" s="146"/>
      <c r="C13" s="147"/>
      <c r="D13" s="32"/>
      <c r="E13" s="92"/>
      <c r="F13" s="146"/>
      <c r="G13" s="147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2"/>
    </row>
    <row r="14" spans="1:13" x14ac:dyDescent="0.25">
      <c r="A14" s="130" t="s">
        <v>439</v>
      </c>
      <c r="B14" s="98">
        <v>1</v>
      </c>
      <c r="C14" s="99">
        <f>19900+9800</f>
        <v>29700</v>
      </c>
      <c r="D14" s="37">
        <f>B14*C14</f>
        <v>29700</v>
      </c>
      <c r="E14" s="39">
        <f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0" t="s">
        <v>440</v>
      </c>
      <c r="B15" s="98">
        <v>1</v>
      </c>
      <c r="C15" s="99">
        <f>19900-5000</f>
        <v>14900</v>
      </c>
      <c r="D15" s="37">
        <f>B15*C15</f>
        <v>14900</v>
      </c>
      <c r="E15" s="39">
        <f>D15*0.1</f>
        <v>1490</v>
      </c>
      <c r="F15" s="98">
        <v>0</v>
      </c>
      <c r="G15" s="99">
        <v>0.4</v>
      </c>
      <c r="H15" s="37">
        <f>G15</f>
        <v>0.4</v>
      </c>
      <c r="I15" s="4">
        <f>H15*$C$2</f>
        <v>3020</v>
      </c>
      <c r="J15" s="51">
        <f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>B16*C16</f>
        <v>10000</v>
      </c>
      <c r="E16" s="39">
        <f>D16*0.1</f>
        <v>1000</v>
      </c>
      <c r="F16" s="98">
        <v>0</v>
      </c>
      <c r="G16" s="99">
        <v>0.28000000000000003</v>
      </c>
      <c r="H16" s="37">
        <f>G16</f>
        <v>0.28000000000000003</v>
      </c>
      <c r="I16" s="4">
        <f>H16*$C$2</f>
        <v>2114</v>
      </c>
      <c r="J16" s="51">
        <f>(D16+E16+F16+I16)*$C$3</f>
        <v>448.49880000000002</v>
      </c>
      <c r="K16" s="6"/>
      <c r="L16" s="17"/>
    </row>
    <row r="17" spans="1:13" ht="31.5" x14ac:dyDescent="0.5">
      <c r="A17" s="129" t="s">
        <v>165</v>
      </c>
      <c r="B17" s="123"/>
      <c r="C17" s="124"/>
      <c r="D17" s="32"/>
      <c r="E17" s="92"/>
      <c r="F17" s="123"/>
      <c r="G17" s="124"/>
      <c r="H17" s="32"/>
      <c r="I17" s="2"/>
      <c r="J17" s="52">
        <f>J18</f>
        <v>522.55889999999999</v>
      </c>
      <c r="K17" s="10">
        <f>511-59+71</f>
        <v>523</v>
      </c>
      <c r="L17" s="10">
        <f>K17-J17</f>
        <v>0.44110000000000582</v>
      </c>
      <c r="M17" s="132" t="s">
        <v>453</v>
      </c>
    </row>
    <row r="18" spans="1:13" x14ac:dyDescent="0.25">
      <c r="A18" s="39" t="s">
        <v>450</v>
      </c>
      <c r="B18" s="114">
        <v>1</v>
      </c>
      <c r="C18" s="115">
        <v>11900</v>
      </c>
      <c r="D18" s="37">
        <f>B18*C18</f>
        <v>11900</v>
      </c>
      <c r="E18" s="39">
        <f>D18*0.1</f>
        <v>1190</v>
      </c>
      <c r="F18" s="114">
        <v>0</v>
      </c>
      <c r="G18" s="115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29" t="s">
        <v>441</v>
      </c>
      <c r="B19" s="123"/>
      <c r="C19" s="124"/>
      <c r="D19" s="32"/>
      <c r="E19" s="92"/>
      <c r="F19" s="123"/>
      <c r="G19" s="124"/>
      <c r="H19" s="32"/>
      <c r="I19" s="2"/>
      <c r="J19" s="52">
        <f>J20</f>
        <v>1544.9850000000001</v>
      </c>
      <c r="K19" s="10">
        <f>1511+34</f>
        <v>1545</v>
      </c>
      <c r="L19" s="10">
        <f>K19-J19</f>
        <v>1.4999999999872671E-2</v>
      </c>
      <c r="M19" s="133"/>
    </row>
    <row r="20" spans="1:13" x14ac:dyDescent="0.25">
      <c r="A20" s="39" t="s">
        <v>442</v>
      </c>
      <c r="B20" s="125">
        <v>5</v>
      </c>
      <c r="C20" s="115">
        <v>5700</v>
      </c>
      <c r="D20" s="37">
        <f>B20*C20</f>
        <v>28500</v>
      </c>
      <c r="E20" s="39">
        <f>D20*0.1</f>
        <v>2850</v>
      </c>
      <c r="F20" s="114">
        <v>2500</v>
      </c>
      <c r="G20" s="115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29" t="s">
        <v>445</v>
      </c>
      <c r="B21" s="123"/>
      <c r="C21" s="124"/>
      <c r="D21" s="32"/>
      <c r="E21" s="92"/>
      <c r="F21" s="123"/>
      <c r="G21" s="124"/>
      <c r="H21" s="32"/>
      <c r="I21" s="2"/>
      <c r="J21" s="52">
        <f>J22</f>
        <v>741.64409999999998</v>
      </c>
      <c r="K21" s="10">
        <f>726+16</f>
        <v>742</v>
      </c>
      <c r="L21" s="10">
        <f>K21-J21</f>
        <v>0.35590000000001965</v>
      </c>
    </row>
    <row r="22" spans="1:13" x14ac:dyDescent="0.25">
      <c r="A22" s="39" t="s">
        <v>446</v>
      </c>
      <c r="B22" s="98">
        <v>1</v>
      </c>
      <c r="C22" s="99">
        <v>16900</v>
      </c>
      <c r="D22" s="37">
        <f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29" t="s">
        <v>225</v>
      </c>
      <c r="B23" s="123"/>
      <c r="C23" s="124"/>
      <c r="D23" s="32"/>
      <c r="E23" s="92"/>
      <c r="F23" s="123"/>
      <c r="G23" s="124"/>
      <c r="H23" s="32"/>
      <c r="I23" s="2"/>
      <c r="J23" s="52">
        <f>J24</f>
        <v>741.64409999999998</v>
      </c>
      <c r="K23" s="10">
        <f>726+18</f>
        <v>744</v>
      </c>
      <c r="L23" s="10">
        <f>K23-J23</f>
        <v>2.3559000000000196</v>
      </c>
    </row>
    <row r="24" spans="1:13" x14ac:dyDescent="0.25">
      <c r="A24" s="39" t="s">
        <v>446</v>
      </c>
      <c r="B24" s="98">
        <v>1</v>
      </c>
      <c r="C24" s="99">
        <v>16900</v>
      </c>
      <c r="D24" s="37">
        <f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29" t="s">
        <v>447</v>
      </c>
      <c r="B25" s="123"/>
      <c r="C25" s="124"/>
      <c r="D25" s="32"/>
      <c r="E25" s="92"/>
      <c r="F25" s="123"/>
      <c r="G25" s="124"/>
      <c r="H25" s="32"/>
      <c r="I25" s="2"/>
      <c r="J25" s="52">
        <f>J26</f>
        <v>370.82204999999999</v>
      </c>
      <c r="K25" s="10">
        <f>363+8</f>
        <v>371</v>
      </c>
      <c r="L25" s="10">
        <f>K25-J25</f>
        <v>0.17795000000000982</v>
      </c>
    </row>
    <row r="26" spans="1:13" x14ac:dyDescent="0.25">
      <c r="A26" s="39" t="s">
        <v>448</v>
      </c>
      <c r="B26" s="98">
        <v>1</v>
      </c>
      <c r="C26" s="99">
        <f>16900/2</f>
        <v>8450</v>
      </c>
      <c r="D26" s="37">
        <f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29" t="s">
        <v>449</v>
      </c>
      <c r="B27" s="123"/>
      <c r="C27" s="124"/>
      <c r="D27" s="32"/>
      <c r="E27" s="92"/>
      <c r="F27" s="123"/>
      <c r="G27" s="124"/>
      <c r="H27" s="32"/>
      <c r="I27" s="2"/>
      <c r="J27" s="52">
        <f>J28</f>
        <v>370.82204999999999</v>
      </c>
      <c r="K27" s="10">
        <f>363+8</f>
        <v>371</v>
      </c>
      <c r="L27" s="10">
        <f>K27-J27</f>
        <v>0.17795000000000982</v>
      </c>
    </row>
    <row r="28" spans="1:13" x14ac:dyDescent="0.25">
      <c r="A28" s="39" t="s">
        <v>448</v>
      </c>
      <c r="B28" s="98">
        <v>1</v>
      </c>
      <c r="C28" s="99">
        <f>16900/2</f>
        <v>8450</v>
      </c>
      <c r="D28" s="37">
        <f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29" t="s">
        <v>443</v>
      </c>
      <c r="B29" s="123"/>
      <c r="C29" s="124"/>
      <c r="D29" s="32"/>
      <c r="E29" s="92"/>
      <c r="F29" s="123"/>
      <c r="G29" s="124"/>
      <c r="H29" s="32"/>
      <c r="I29" s="2"/>
      <c r="J29" s="52">
        <f>J30</f>
        <v>983.76300000000003</v>
      </c>
      <c r="K29" s="10">
        <f>962+22</f>
        <v>984</v>
      </c>
      <c r="L29" s="10">
        <f>K29-J29</f>
        <v>0.23699999999996635</v>
      </c>
    </row>
    <row r="30" spans="1:13" x14ac:dyDescent="0.25">
      <c r="A30" s="39" t="s">
        <v>444</v>
      </c>
      <c r="B30" s="114">
        <v>3</v>
      </c>
      <c r="C30" s="115">
        <v>5900</v>
      </c>
      <c r="D30" s="37">
        <f>B30*C30</f>
        <v>17700</v>
      </c>
      <c r="E30" s="39">
        <f>D30*0.1</f>
        <v>1770</v>
      </c>
      <c r="F30" s="114">
        <v>2500</v>
      </c>
      <c r="G30" s="115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2" t="s">
        <v>429</v>
      </c>
      <c r="B31" s="123"/>
      <c r="C31" s="124"/>
      <c r="D31" s="32"/>
      <c r="E31" s="92"/>
      <c r="F31" s="123"/>
      <c r="G31" s="124"/>
      <c r="H31" s="32"/>
      <c r="I31" s="2"/>
      <c r="J31" s="52">
        <f>SUM(J32:J33)</f>
        <v>212.9178</v>
      </c>
      <c r="K31" s="10"/>
      <c r="L31" s="10">
        <f>K31-J31</f>
        <v>-212.9178</v>
      </c>
    </row>
    <row r="32" spans="1:13" ht="15.75" thickBot="1" x14ac:dyDescent="0.3">
      <c r="A32" s="39" t="s">
        <v>430</v>
      </c>
      <c r="B32" s="140">
        <v>1</v>
      </c>
      <c r="C32" s="148">
        <f>11900/3</f>
        <v>3966.6666666666665</v>
      </c>
      <c r="D32" s="141">
        <f>B32*C32</f>
        <v>3966.6666666666665</v>
      </c>
      <c r="E32" s="149">
        <f>D32*0.1</f>
        <v>396.66666666666669</v>
      </c>
      <c r="F32" s="140">
        <v>0</v>
      </c>
      <c r="G32" s="148">
        <f>0.74/3</f>
        <v>0.24666666666666667</v>
      </c>
      <c r="H32" s="141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281</v>
      </c>
      <c r="B1" s="4"/>
      <c r="C1" s="15">
        <v>41847</v>
      </c>
      <c r="D1" s="30"/>
    </row>
    <row r="2" spans="1:13" ht="21" x14ac:dyDescent="0.35">
      <c r="A2" s="55" t="s">
        <v>239</v>
      </c>
      <c r="B2" s="4"/>
      <c r="C2" s="16">
        <v>7470</v>
      </c>
      <c r="D2" s="30"/>
    </row>
    <row r="3" spans="1:13" ht="21" x14ac:dyDescent="0.35">
      <c r="A3" s="55" t="s">
        <v>240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382</v>
      </c>
      <c r="B6" s="151"/>
      <c r="C6" s="151"/>
      <c r="D6" s="32"/>
      <c r="E6" s="92"/>
      <c r="F6" s="146"/>
      <c r="G6" s="147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2"/>
    </row>
    <row r="7" spans="1:13" x14ac:dyDescent="0.25">
      <c r="A7" s="4" t="s">
        <v>262</v>
      </c>
      <c r="B7" s="4">
        <v>1</v>
      </c>
      <c r="C7" s="4">
        <v>7900</v>
      </c>
      <c r="D7" s="37">
        <f>B7*C7</f>
        <v>7900</v>
      </c>
      <c r="E7" s="39">
        <f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454</v>
      </c>
      <c r="B8" s="4">
        <v>1</v>
      </c>
      <c r="C8" s="4">
        <v>9900</v>
      </c>
      <c r="D8" s="37">
        <f>B8*C8</f>
        <v>9900</v>
      </c>
      <c r="E8" s="39">
        <f>D8*0.1</f>
        <v>990</v>
      </c>
      <c r="F8" s="4">
        <v>2500</v>
      </c>
      <c r="G8" s="4">
        <v>0.14000000000000001</v>
      </c>
      <c r="H8" s="37">
        <f>G8</f>
        <v>0.14000000000000001</v>
      </c>
      <c r="I8" s="4">
        <f>H8*$C$2</f>
        <v>1045.8000000000002</v>
      </c>
      <c r="J8" s="51">
        <f>(D8+E8+F8+I8)*$C$3</f>
        <v>505.25300000000004</v>
      </c>
      <c r="K8" s="6"/>
      <c r="L8" s="17"/>
    </row>
    <row r="9" spans="1:13" ht="31.5" x14ac:dyDescent="0.5">
      <c r="A9" s="152" t="s">
        <v>455</v>
      </c>
      <c r="B9" s="151"/>
      <c r="C9" s="151"/>
      <c r="D9" s="32"/>
      <c r="E9" s="92"/>
      <c r="F9" s="151"/>
      <c r="G9" s="151"/>
      <c r="H9" s="32"/>
      <c r="I9" s="2"/>
      <c r="J9" s="52">
        <f>J10</f>
        <v>494.79500000000007</v>
      </c>
      <c r="K9" s="10">
        <f>484+11</f>
        <v>495</v>
      </c>
      <c r="L9" s="10">
        <f>K9-J9</f>
        <v>0.20499999999992724</v>
      </c>
      <c r="M9" s="132"/>
    </row>
    <row r="10" spans="1:13" x14ac:dyDescent="0.25">
      <c r="A10" s="4" t="s">
        <v>456</v>
      </c>
      <c r="B10" s="4">
        <v>1</v>
      </c>
      <c r="C10" s="4">
        <v>9900</v>
      </c>
      <c r="D10" s="37">
        <f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0" t="s">
        <v>39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537.73300000000006</v>
      </c>
      <c r="K11" s="10">
        <f>519+11</f>
        <v>530</v>
      </c>
      <c r="L11" s="10">
        <f>K11-J11</f>
        <v>-7.7330000000000609</v>
      </c>
      <c r="M11" s="133"/>
    </row>
    <row r="12" spans="1:13" x14ac:dyDescent="0.25">
      <c r="A12" s="17" t="s">
        <v>457</v>
      </c>
      <c r="B12" s="4">
        <v>1</v>
      </c>
      <c r="C12" s="4">
        <v>10300</v>
      </c>
      <c r="D12" s="37">
        <f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0" t="s">
        <v>458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423.08000000000004</v>
      </c>
      <c r="K13" s="10">
        <f>421+2</f>
        <v>423</v>
      </c>
      <c r="L13" s="10">
        <f>K13-J13</f>
        <v>-8.0000000000040927E-2</v>
      </c>
    </row>
    <row r="14" spans="1:13" x14ac:dyDescent="0.25">
      <c r="A14" s="4" t="s">
        <v>459</v>
      </c>
      <c r="B14" s="21">
        <v>1</v>
      </c>
      <c r="C14" s="21">
        <v>6000</v>
      </c>
      <c r="D14" s="4">
        <f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>B12*C12</f>
        <v>12.22</v>
      </c>
      <c r="E12" s="4">
        <f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0">G12*$C$2</f>
        <v>2.8000000000000003</v>
      </c>
      <c r="I12" s="4">
        <f t="shared" ref="I12:I22" si="1">D12+F12+H12+E12</f>
        <v>16.311</v>
      </c>
      <c r="J12" s="9">
        <f t="shared" ref="J12:J62" si="2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>B13*C13</f>
        <v>4.58</v>
      </c>
      <c r="E13" s="4">
        <f>D13*0.05</f>
        <v>0.22900000000000001</v>
      </c>
      <c r="F13" s="18">
        <f>2.38/6</f>
        <v>0.39666666666666667</v>
      </c>
      <c r="G13" s="4">
        <f>0.2*B13</f>
        <v>0.2</v>
      </c>
      <c r="H13" s="4">
        <f t="shared" si="0"/>
        <v>1.4000000000000001</v>
      </c>
      <c r="I13" s="4">
        <f t="shared" si="1"/>
        <v>6.605666666666667</v>
      </c>
      <c r="J13" s="9">
        <f t="shared" si="2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>B14*C14</f>
        <v>7.49</v>
      </c>
      <c r="E14" s="4">
        <f>D14*0.05</f>
        <v>0.37450000000000006</v>
      </c>
      <c r="F14" s="12">
        <v>0</v>
      </c>
      <c r="G14" s="4">
        <v>0.3</v>
      </c>
      <c r="H14" s="4">
        <f t="shared" si="0"/>
        <v>2.1</v>
      </c>
      <c r="I14" s="4">
        <f t="shared" si="1"/>
        <v>9.9644999999999992</v>
      </c>
      <c r="J14" s="9">
        <f t="shared" si="2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0"/>
        <v>6.2999999999999989</v>
      </c>
      <c r="I16" s="4">
        <f t="shared" si="1"/>
        <v>40.949999999999996</v>
      </c>
      <c r="J16" s="9">
        <f t="shared" si="2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0"/>
        <v>6.2999999999999989</v>
      </c>
      <c r="I17" s="4">
        <f t="shared" si="1"/>
        <v>32.928000000000004</v>
      </c>
      <c r="J17" s="9">
        <f t="shared" si="2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>D18*0.05</f>
        <v>0.2135</v>
      </c>
      <c r="F18" s="4">
        <v>2.38</v>
      </c>
      <c r="G18" s="4">
        <v>0.2</v>
      </c>
      <c r="H18" s="4">
        <f t="shared" si="0"/>
        <v>1.4000000000000001</v>
      </c>
      <c r="I18" s="4">
        <f t="shared" si="1"/>
        <v>8.2634999999999987</v>
      </c>
      <c r="J18" s="9">
        <f t="shared" si="2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>D19*0.05</f>
        <v>0.23475000000000001</v>
      </c>
      <c r="F19" s="18">
        <v>0</v>
      </c>
      <c r="G19" s="4">
        <f>0.2/2*B19</f>
        <v>0.1</v>
      </c>
      <c r="H19" s="4">
        <f t="shared" si="0"/>
        <v>0.70000000000000007</v>
      </c>
      <c r="I19" s="4">
        <f t="shared" si="1"/>
        <v>5.6297500000000005</v>
      </c>
      <c r="J19" s="9">
        <f t="shared" si="2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>J20-K20</f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0"/>
        <v>4.2000000000000011</v>
      </c>
      <c r="I21" s="4">
        <f t="shared" si="1"/>
        <v>24.466500000000003</v>
      </c>
      <c r="J21" s="9">
        <f t="shared" si="2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0"/>
        <v>6.2999999999999989</v>
      </c>
      <c r="I22" s="4">
        <f t="shared" si="1"/>
        <v>17.552499999999995</v>
      </c>
      <c r="J22" s="9">
        <f t="shared" si="2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2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>D25*0.05</f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2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>J26-K26</f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2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2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>D29*0.05</f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2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2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>G32*$C$2</f>
        <v>0.70000000000000007</v>
      </c>
      <c r="I32" s="4">
        <f>D32+F32+H32+E32</f>
        <v>5.6297500000000005</v>
      </c>
      <c r="J32" s="9">
        <f t="shared" si="2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 t="shared" ref="E34:E39" si="3">D34*0.05</f>
        <v>0.38850000000000001</v>
      </c>
      <c r="F34" s="4">
        <v>2.38</v>
      </c>
      <c r="G34" s="4">
        <v>0.4</v>
      </c>
      <c r="H34" s="4">
        <f t="shared" ref="H34:H39" si="4">G34*$C$2</f>
        <v>2.8000000000000003</v>
      </c>
      <c r="I34" s="4">
        <f t="shared" ref="I34:I39" si="5">D34+F34+H34+E34</f>
        <v>13.3385</v>
      </c>
      <c r="J34" s="9">
        <f t="shared" si="2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si="3"/>
        <v>0.41050000000000009</v>
      </c>
      <c r="F35" s="4">
        <v>2.38</v>
      </c>
      <c r="G35" s="4">
        <v>0.2</v>
      </c>
      <c r="H35" s="4">
        <f t="shared" si="4"/>
        <v>1.4000000000000001</v>
      </c>
      <c r="I35" s="4">
        <f t="shared" si="5"/>
        <v>12.400500000000001</v>
      </c>
      <c r="J35" s="9">
        <f t="shared" si="2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3"/>
        <v>0.36800000000000005</v>
      </c>
      <c r="F36" s="4">
        <v>2.38</v>
      </c>
      <c r="G36" s="4">
        <v>0.2</v>
      </c>
      <c r="H36" s="4">
        <f t="shared" si="4"/>
        <v>1.4000000000000001</v>
      </c>
      <c r="I36" s="4">
        <f t="shared" si="5"/>
        <v>11.508000000000001</v>
      </c>
      <c r="J36" s="9">
        <f t="shared" si="2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3"/>
        <v>0.38850000000000001</v>
      </c>
      <c r="F37" s="4">
        <v>2.38</v>
      </c>
      <c r="G37" s="4">
        <v>0.2</v>
      </c>
      <c r="H37" s="4">
        <f t="shared" si="4"/>
        <v>1.4000000000000001</v>
      </c>
      <c r="I37" s="4">
        <f t="shared" si="5"/>
        <v>11.938499999999999</v>
      </c>
      <c r="J37" s="9">
        <f t="shared" si="2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3"/>
        <v>0.38850000000000001</v>
      </c>
      <c r="F38" s="4">
        <v>2.38</v>
      </c>
      <c r="G38" s="4">
        <v>0.3</v>
      </c>
      <c r="H38" s="4">
        <f t="shared" si="4"/>
        <v>2.1</v>
      </c>
      <c r="I38" s="4">
        <f t="shared" si="5"/>
        <v>12.638499999999999</v>
      </c>
      <c r="J38" s="9">
        <f t="shared" si="2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3"/>
        <v>0.56500000000000006</v>
      </c>
      <c r="F39" s="4">
        <v>2.38</v>
      </c>
      <c r="G39" s="4">
        <v>0.3</v>
      </c>
      <c r="H39" s="4">
        <f t="shared" si="4"/>
        <v>2.1</v>
      </c>
      <c r="I39" s="4">
        <f t="shared" si="5"/>
        <v>16.344999999999999</v>
      </c>
      <c r="J39" s="9">
        <f t="shared" si="2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>J40-K40</f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>B41*C41</f>
        <v>4.58</v>
      </c>
      <c r="E41" s="4">
        <f>D41*0.05</f>
        <v>0.22900000000000001</v>
      </c>
      <c r="F41" s="18">
        <f>2.38/6</f>
        <v>0.39666666666666667</v>
      </c>
      <c r="G41" s="4">
        <f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2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>J42-K42</f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2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2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>J45-K45</f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2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2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>D48*0.05</f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2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>D49*0.05</f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2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>D50*0.05</f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2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>J51-K51</f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2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>B53*C53</f>
        <v>8.5399999999999991</v>
      </c>
      <c r="E53" s="4">
        <f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2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>D54*0.05</f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2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>J55-K55</f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2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>B57*C57</f>
        <v>17.14</v>
      </c>
      <c r="E57" s="4">
        <f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2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>B58*C58</f>
        <v>9.16</v>
      </c>
      <c r="E58" s="4">
        <f>D58*0.05</f>
        <v>0.45800000000000002</v>
      </c>
      <c r="F58" s="18">
        <f>2.38/6</f>
        <v>0.39666666666666667</v>
      </c>
      <c r="G58" s="4">
        <f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2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>B59*C59</f>
        <v>7.86</v>
      </c>
      <c r="E59" s="4">
        <f>D59*0.05</f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2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>J60-K60</f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2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>B62*C62</f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2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>J63-K63</f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>I65*$C$4</f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>J66-K66</f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>J70-K70</f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6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>J72-K72</f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6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>J74-K74</f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6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7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6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7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6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7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6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7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6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41888</v>
      </c>
      <c r="D1" s="30"/>
    </row>
    <row r="2" spans="1:13" ht="21" x14ac:dyDescent="0.35">
      <c r="A2" s="55" t="s">
        <v>239</v>
      </c>
      <c r="B2" s="4"/>
      <c r="C2" s="16">
        <v>7500</v>
      </c>
      <c r="D2" s="30"/>
    </row>
    <row r="3" spans="1:13" ht="21" x14ac:dyDescent="0.35">
      <c r="A3" s="55" t="s">
        <v>240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460</v>
      </c>
      <c r="B6" s="151"/>
      <c r="C6" s="151"/>
      <c r="D6" s="32"/>
      <c r="E6" s="92"/>
      <c r="F6" s="146"/>
      <c r="G6" s="147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2"/>
    </row>
    <row r="7" spans="1:13" x14ac:dyDescent="0.25">
      <c r="A7" s="153" t="s">
        <v>461</v>
      </c>
      <c r="B7" s="153">
        <v>1</v>
      </c>
      <c r="C7" s="153">
        <v>10000</v>
      </c>
      <c r="D7" s="37">
        <f>B7*C7</f>
        <v>10000</v>
      </c>
      <c r="E7" s="39">
        <f>D7*0.1</f>
        <v>1000</v>
      </c>
      <c r="F7" s="4">
        <v>0</v>
      </c>
      <c r="G7" s="153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3" t="s">
        <v>261</v>
      </c>
      <c r="B8" s="153">
        <v>1</v>
      </c>
      <c r="C8" s="153">
        <v>10000</v>
      </c>
      <c r="D8" s="37">
        <f>B8*C8</f>
        <v>10000</v>
      </c>
      <c r="E8" s="39">
        <f>D8*0.1</f>
        <v>1000</v>
      </c>
      <c r="F8" s="4">
        <v>2500</v>
      </c>
      <c r="G8" s="153">
        <v>0.25</v>
      </c>
      <c r="H8" s="37">
        <f>G8</f>
        <v>0.25</v>
      </c>
      <c r="I8" s="4">
        <f>H8*$C$2</f>
        <v>1875</v>
      </c>
      <c r="J8" s="51">
        <f>(D8+E8+F8+I8)*$C$3</f>
        <v>551.96249999999998</v>
      </c>
      <c r="K8" s="6"/>
      <c r="L8" s="17"/>
    </row>
    <row r="9" spans="1:13" ht="31.5" x14ac:dyDescent="0.5">
      <c r="A9" s="150" t="s">
        <v>254</v>
      </c>
      <c r="B9" s="151"/>
      <c r="C9" s="151"/>
      <c r="D9" s="32"/>
      <c r="E9" s="92"/>
      <c r="F9" s="151"/>
      <c r="G9" s="151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2"/>
    </row>
    <row r="10" spans="1:13" x14ac:dyDescent="0.25">
      <c r="A10" s="17" t="s">
        <v>462</v>
      </c>
      <c r="B10" s="4">
        <v>1</v>
      </c>
      <c r="C10" s="4">
        <v>11900</v>
      </c>
      <c r="D10" s="37">
        <f>B10*C10</f>
        <v>11900</v>
      </c>
      <c r="E10" s="39">
        <f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463</v>
      </c>
      <c r="B11" s="4">
        <v>1</v>
      </c>
      <c r="C11" s="4">
        <f>1500+9900</f>
        <v>11400</v>
      </c>
      <c r="D11" s="37">
        <f>B11*C11</f>
        <v>11400</v>
      </c>
      <c r="E11" s="39">
        <f>D11*0.1</f>
        <v>1140</v>
      </c>
      <c r="F11" s="4">
        <v>0</v>
      </c>
      <c r="G11" s="4">
        <v>0.3</v>
      </c>
      <c r="H11" s="37">
        <f>G11</f>
        <v>0.3</v>
      </c>
      <c r="I11" s="4">
        <f>H11*$C$2</f>
        <v>2250</v>
      </c>
      <c r="J11" s="51">
        <f>(D11+E11+F11+I11)*$C$3</f>
        <v>530.96100000000001</v>
      </c>
      <c r="K11" s="6"/>
      <c r="L11" s="17"/>
    </row>
    <row r="12" spans="1:13" ht="31.5" x14ac:dyDescent="0.5">
      <c r="A12" s="150" t="s">
        <v>464</v>
      </c>
      <c r="B12" s="151"/>
      <c r="C12" s="151"/>
      <c r="D12" s="32"/>
      <c r="E12" s="92"/>
      <c r="F12" s="151"/>
      <c r="G12" s="151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2"/>
    </row>
    <row r="13" spans="1:13" x14ac:dyDescent="0.25">
      <c r="A13" s="4" t="s">
        <v>465</v>
      </c>
      <c r="B13" s="4">
        <v>3</v>
      </c>
      <c r="C13" s="4">
        <v>990</v>
      </c>
      <c r="D13" s="37">
        <f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>B14*C14</f>
        <v>3300</v>
      </c>
      <c r="E14" s="39">
        <f>D14*0.1</f>
        <v>330</v>
      </c>
      <c r="F14" s="4">
        <v>0</v>
      </c>
      <c r="G14" s="4">
        <v>0.15</v>
      </c>
      <c r="H14" s="37">
        <f>G14</f>
        <v>0.15</v>
      </c>
      <c r="I14" s="4">
        <f>H14*$C$2</f>
        <v>1125</v>
      </c>
      <c r="J14" s="51">
        <f>(D14+E14+F14+I14)*$C$3</f>
        <v>170.7045</v>
      </c>
      <c r="K14" s="6"/>
      <c r="L14" s="17"/>
    </row>
    <row r="15" spans="1:13" ht="31.5" x14ac:dyDescent="0.5">
      <c r="A15" s="150" t="s">
        <v>466</v>
      </c>
      <c r="B15" s="151"/>
      <c r="C15" s="151"/>
      <c r="D15" s="32"/>
      <c r="E15" s="92"/>
      <c r="F15" s="151"/>
      <c r="G15" s="151"/>
      <c r="H15" s="32"/>
      <c r="I15" s="2"/>
      <c r="J15" s="52">
        <f>J16</f>
        <v>1373.175</v>
      </c>
      <c r="K15" s="10">
        <v>1373</v>
      </c>
      <c r="L15" s="10">
        <f>K15-J15</f>
        <v>-0.17499999999995453</v>
      </c>
      <c r="M15" s="132"/>
    </row>
    <row r="16" spans="1:13" x14ac:dyDescent="0.25">
      <c r="A16" s="4" t="s">
        <v>421</v>
      </c>
      <c r="B16" s="4">
        <v>1</v>
      </c>
      <c r="C16" s="4">
        <v>25000</v>
      </c>
      <c r="D16" s="37">
        <f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0" t="s">
        <v>20</v>
      </c>
      <c r="B17" s="151"/>
      <c r="C17" s="151"/>
      <c r="D17" s="32"/>
      <c r="E17" s="92"/>
      <c r="F17" s="151"/>
      <c r="G17" s="151"/>
      <c r="H17" s="32"/>
      <c r="I17" s="2"/>
      <c r="J17" s="52">
        <f>J18</f>
        <v>544.42349999999999</v>
      </c>
      <c r="K17" s="10">
        <v>539</v>
      </c>
      <c r="L17" s="10">
        <f>K17-J17</f>
        <v>-5.42349999999999</v>
      </c>
      <c r="M17" s="133"/>
    </row>
    <row r="18" spans="1:13" x14ac:dyDescent="0.25">
      <c r="A18" s="4" t="s">
        <v>467</v>
      </c>
      <c r="B18" s="4">
        <v>1</v>
      </c>
      <c r="C18" s="4">
        <v>12900</v>
      </c>
      <c r="D18" s="37">
        <f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0" t="s">
        <v>165</v>
      </c>
      <c r="B19" s="151"/>
      <c r="C19" s="151"/>
      <c r="D19" s="32"/>
      <c r="E19" s="92"/>
      <c r="F19" s="151"/>
      <c r="G19" s="151"/>
      <c r="H19" s="32"/>
      <c r="I19" s="2"/>
      <c r="J19" s="52">
        <f>J20</f>
        <v>495.95850000000002</v>
      </c>
      <c r="K19" s="10">
        <v>496</v>
      </c>
      <c r="L19" s="10">
        <f>K19-J19</f>
        <v>4.1499999999984993E-2</v>
      </c>
      <c r="M19" s="133"/>
    </row>
    <row r="20" spans="1:13" x14ac:dyDescent="0.25">
      <c r="A20" s="4" t="s">
        <v>471</v>
      </c>
      <c r="B20" s="4">
        <v>1</v>
      </c>
      <c r="C20" s="4">
        <v>9900</v>
      </c>
      <c r="D20" s="37">
        <f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41898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0" t="s">
        <v>447</v>
      </c>
      <c r="B6" s="151"/>
      <c r="C6" s="151"/>
      <c r="D6" s="32"/>
      <c r="E6" s="92"/>
      <c r="F6" s="146"/>
      <c r="G6" s="147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2"/>
    </row>
    <row r="7" spans="1:13" x14ac:dyDescent="0.25">
      <c r="A7" s="3" t="s">
        <v>473</v>
      </c>
      <c r="B7" s="4">
        <v>1</v>
      </c>
      <c r="C7" s="4">
        <v>9900</v>
      </c>
      <c r="D7" s="37">
        <f>B7*C7</f>
        <v>9900</v>
      </c>
      <c r="E7" s="39">
        <f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484</v>
      </c>
      <c r="B8" s="4">
        <v>3</v>
      </c>
      <c r="C8" s="4">
        <v>1500</v>
      </c>
      <c r="D8" s="37">
        <f>B8*C8</f>
        <v>4500</v>
      </c>
      <c r="E8" s="39">
        <f>D8*0.1</f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>H8*$C$2</f>
        <v>6481.4999999999991</v>
      </c>
      <c r="J8" s="51">
        <f>(D8+E8+F8+I8)*$C$3</f>
        <v>528.00385000000006</v>
      </c>
      <c r="K8" s="6"/>
      <c r="L8" s="17"/>
    </row>
    <row r="9" spans="1:13" x14ac:dyDescent="0.25">
      <c r="A9" s="4" t="s">
        <v>474</v>
      </c>
      <c r="B9" s="4">
        <v>1</v>
      </c>
      <c r="C9" s="4">
        <f>9900/2</f>
        <v>4950</v>
      </c>
      <c r="D9" s="37">
        <f>B9*C9</f>
        <v>4950</v>
      </c>
      <c r="E9" s="39">
        <f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475</v>
      </c>
      <c r="B10" s="4">
        <v>1</v>
      </c>
      <c r="C10" s="4">
        <v>16800</v>
      </c>
      <c r="D10" s="37">
        <f>B10*C10</f>
        <v>16800</v>
      </c>
      <c r="E10" s="39">
        <f>D10*0.1</f>
        <v>1680</v>
      </c>
      <c r="F10" s="4">
        <v>0</v>
      </c>
      <c r="G10" s="4">
        <v>0.41</v>
      </c>
      <c r="H10" s="37">
        <f>G10</f>
        <v>0.41</v>
      </c>
      <c r="I10" s="4">
        <f>H10*$C$2</f>
        <v>3054.5</v>
      </c>
      <c r="J10" s="51">
        <f>(D10+E10+F10+I10)*$C$3</f>
        <v>816.15755000000001</v>
      </c>
      <c r="K10" s="6"/>
      <c r="L10" s="17"/>
    </row>
    <row r="11" spans="1:13" ht="31.5" x14ac:dyDescent="0.5">
      <c r="A11" s="150" t="s">
        <v>2</v>
      </c>
      <c r="B11" s="151"/>
      <c r="C11" s="151"/>
      <c r="D11" s="32"/>
      <c r="E11" s="92"/>
      <c r="F11" s="151"/>
      <c r="G11" s="151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2"/>
    </row>
    <row r="12" spans="1:13" x14ac:dyDescent="0.25">
      <c r="A12" s="4" t="s">
        <v>476</v>
      </c>
      <c r="B12" s="4">
        <v>1</v>
      </c>
      <c r="C12" s="4">
        <v>9800</v>
      </c>
      <c r="D12" s="37">
        <f>B12*C12</f>
        <v>9800</v>
      </c>
      <c r="E12" s="39">
        <f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477</v>
      </c>
      <c r="B13" s="4">
        <v>1</v>
      </c>
      <c r="C13" s="4">
        <v>12000</v>
      </c>
      <c r="D13" s="37">
        <f>B13*C13</f>
        <v>12000</v>
      </c>
      <c r="E13" s="39">
        <f>D13*0.1</f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478</v>
      </c>
      <c r="B14" s="4">
        <v>1</v>
      </c>
      <c r="C14" s="4">
        <v>16800</v>
      </c>
      <c r="D14" s="37">
        <f>B14*C14</f>
        <v>16800</v>
      </c>
      <c r="E14" s="39">
        <f>D14*0.1</f>
        <v>1680</v>
      </c>
      <c r="F14" s="4">
        <v>0</v>
      </c>
      <c r="G14" s="4">
        <v>0.25</v>
      </c>
      <c r="H14" s="37">
        <f>G14</f>
        <v>0.25</v>
      </c>
      <c r="I14" s="4">
        <f>H14*$C$2</f>
        <v>1862.5</v>
      </c>
      <c r="J14" s="51">
        <f>(D14+E14+F14+I14)*$C$3</f>
        <v>770.98075000000006</v>
      </c>
      <c r="K14" s="6"/>
      <c r="L14" s="17"/>
    </row>
    <row r="15" spans="1:13" ht="31.5" x14ac:dyDescent="0.5">
      <c r="A15" s="150" t="s">
        <v>28</v>
      </c>
      <c r="B15" s="151"/>
      <c r="C15" s="151"/>
      <c r="D15" s="32"/>
      <c r="E15" s="92"/>
      <c r="F15" s="151"/>
      <c r="G15" s="151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2"/>
    </row>
    <row r="16" spans="1:13" x14ac:dyDescent="0.25">
      <c r="A16" s="4" t="s">
        <v>243</v>
      </c>
      <c r="B16" s="5">
        <v>1</v>
      </c>
      <c r="C16" s="5">
        <v>2900</v>
      </c>
      <c r="D16" s="37">
        <f>B16*C16</f>
        <v>2900</v>
      </c>
      <c r="E16" s="39">
        <f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475</v>
      </c>
      <c r="B17" s="4">
        <v>1</v>
      </c>
      <c r="C17" s="4">
        <v>16800</v>
      </c>
      <c r="D17" s="37">
        <f>B17*C17</f>
        <v>16800</v>
      </c>
      <c r="E17" s="39">
        <f>D17*0.1</f>
        <v>1680</v>
      </c>
      <c r="F17" s="4">
        <v>0</v>
      </c>
      <c r="G17" s="4">
        <v>0.41</v>
      </c>
      <c r="H17" s="37">
        <f>G17</f>
        <v>0.41</v>
      </c>
      <c r="I17" s="4">
        <f>H17*$C$2</f>
        <v>3054.5</v>
      </c>
      <c r="J17" s="51">
        <f>(D17+E17+F17+I17)*$C$3</f>
        <v>816.15755000000001</v>
      </c>
      <c r="K17" s="6"/>
      <c r="L17" s="17"/>
    </row>
    <row r="18" spans="1:13" ht="31.5" x14ac:dyDescent="0.5">
      <c r="A18" s="150" t="s">
        <v>479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264.24827500000004</v>
      </c>
      <c r="K18" s="10">
        <f>251+13</f>
        <v>264</v>
      </c>
      <c r="L18" s="10">
        <f>K18-J18</f>
        <v>-0.24827500000003511</v>
      </c>
      <c r="M18" s="132"/>
    </row>
    <row r="19" spans="1:13" x14ac:dyDescent="0.25">
      <c r="A19" s="4" t="s">
        <v>474</v>
      </c>
      <c r="B19" s="4">
        <v>1</v>
      </c>
      <c r="C19" s="4">
        <f>9900/2</f>
        <v>4950</v>
      </c>
      <c r="D19" s="37">
        <f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0" t="s">
        <v>480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816.15755000000001</v>
      </c>
      <c r="K20" s="10">
        <f>776+40</f>
        <v>816</v>
      </c>
      <c r="L20" s="10">
        <f>K20-J20</f>
        <v>-0.15755000000001473</v>
      </c>
      <c r="M20" s="133"/>
    </row>
    <row r="21" spans="1:13" x14ac:dyDescent="0.25">
      <c r="A21" s="4" t="s">
        <v>475</v>
      </c>
      <c r="B21" s="4">
        <v>1</v>
      </c>
      <c r="C21" s="4">
        <v>16800</v>
      </c>
      <c r="D21" s="37">
        <f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0" t="s">
        <v>460</v>
      </c>
      <c r="B22" s="151"/>
      <c r="C22" s="151"/>
      <c r="D22" s="32"/>
      <c r="E22" s="92"/>
      <c r="F22" s="151"/>
      <c r="G22" s="151"/>
      <c r="H22" s="32"/>
      <c r="I22" s="2"/>
      <c r="J22" s="52">
        <f>J23</f>
        <v>727.98320000000001</v>
      </c>
      <c r="K22" s="10">
        <f>693+35</f>
        <v>728</v>
      </c>
      <c r="L22" s="10">
        <f>K22-J22</f>
        <v>1.6799999999989268E-2</v>
      </c>
      <c r="M22" s="133"/>
    </row>
    <row r="23" spans="1:13" x14ac:dyDescent="0.25">
      <c r="A23" s="4" t="s">
        <v>57</v>
      </c>
      <c r="B23" s="4">
        <v>1</v>
      </c>
      <c r="C23" s="4">
        <v>9500</v>
      </c>
      <c r="D23" s="37">
        <f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0" t="s">
        <v>331</v>
      </c>
      <c r="B24" s="151"/>
      <c r="C24" s="151"/>
      <c r="D24" s="32"/>
      <c r="E24" s="92"/>
      <c r="F24" s="151"/>
      <c r="G24" s="151"/>
      <c r="H24" s="32"/>
      <c r="I24" s="2"/>
      <c r="J24" s="52">
        <f>J25</f>
        <v>665.59980000000007</v>
      </c>
      <c r="K24" s="10">
        <f>635+29</f>
        <v>664</v>
      </c>
      <c r="L24" s="10">
        <f>K24-J24</f>
        <v>-1.5998000000000729</v>
      </c>
      <c r="M24" s="132"/>
    </row>
    <row r="25" spans="1:13" x14ac:dyDescent="0.25">
      <c r="A25" s="17" t="s">
        <v>481</v>
      </c>
      <c r="B25" s="4">
        <v>1</v>
      </c>
      <c r="C25" s="4">
        <v>9900</v>
      </c>
      <c r="D25" s="37">
        <f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0" t="s">
        <v>482</v>
      </c>
      <c r="B26" s="151"/>
      <c r="C26" s="151"/>
      <c r="D26" s="32"/>
      <c r="E26" s="92"/>
      <c r="F26" s="151"/>
      <c r="G26" s="151"/>
      <c r="H26" s="32"/>
      <c r="I26" s="2"/>
      <c r="J26" s="52">
        <f>J27</f>
        <v>816.15755000000001</v>
      </c>
      <c r="K26" s="10">
        <f>776+40</f>
        <v>816</v>
      </c>
      <c r="L26" s="10">
        <f>K26-J26</f>
        <v>-0.15755000000001473</v>
      </c>
      <c r="M26" s="133"/>
    </row>
    <row r="27" spans="1:13" x14ac:dyDescent="0.25">
      <c r="A27" s="4" t="s">
        <v>475</v>
      </c>
      <c r="B27" s="4">
        <v>1</v>
      </c>
      <c r="C27" s="4">
        <v>16800</v>
      </c>
      <c r="D27" s="37">
        <f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0" t="s">
        <v>23</v>
      </c>
      <c r="B28" s="151"/>
      <c r="C28" s="151"/>
      <c r="D28" s="32"/>
      <c r="E28" s="92"/>
      <c r="F28" s="151"/>
      <c r="G28" s="151"/>
      <c r="H28" s="32"/>
      <c r="I28" s="2"/>
      <c r="J28" s="52">
        <f>J29</f>
        <v>816.15755000000001</v>
      </c>
      <c r="K28" s="10">
        <f>776+37</f>
        <v>813</v>
      </c>
      <c r="L28" s="10">
        <f>K28-J28</f>
        <v>-3.1575500000000147</v>
      </c>
      <c r="M28" s="133"/>
    </row>
    <row r="29" spans="1:13" x14ac:dyDescent="0.25">
      <c r="A29" s="4" t="s">
        <v>475</v>
      </c>
      <c r="B29" s="4">
        <v>1</v>
      </c>
      <c r="C29" s="4">
        <v>16800</v>
      </c>
      <c r="D29" s="37">
        <f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0" t="s">
        <v>364</v>
      </c>
      <c r="B30" s="151"/>
      <c r="C30" s="151"/>
      <c r="D30" s="32"/>
      <c r="E30" s="92"/>
      <c r="F30" s="151"/>
      <c r="G30" s="151"/>
      <c r="H30" s="32"/>
      <c r="I30" s="2"/>
      <c r="J30" s="52">
        <f>J31</f>
        <v>282.75295</v>
      </c>
      <c r="K30" s="10">
        <v>269</v>
      </c>
      <c r="L30" s="10">
        <f>K30-J30</f>
        <v>-13.752949999999998</v>
      </c>
      <c r="M30" s="133"/>
    </row>
    <row r="31" spans="1:13" x14ac:dyDescent="0.25">
      <c r="A31" s="4" t="s">
        <v>483</v>
      </c>
      <c r="B31" s="4">
        <v>1</v>
      </c>
      <c r="C31" s="4">
        <v>3900</v>
      </c>
      <c r="D31" s="37">
        <f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0" t="s">
        <v>487</v>
      </c>
      <c r="B32" s="151"/>
      <c r="C32" s="151"/>
      <c r="D32" s="32"/>
      <c r="E32" s="92"/>
      <c r="F32" s="151"/>
      <c r="G32" s="151"/>
      <c r="H32" s="32"/>
      <c r="I32" s="2"/>
      <c r="J32" s="52">
        <f>J33</f>
        <v>572.34685000000002</v>
      </c>
      <c r="K32" s="10">
        <v>591</v>
      </c>
      <c r="L32" s="10">
        <f>K32-J32</f>
        <v>18.653149999999982</v>
      </c>
      <c r="M32" s="133"/>
    </row>
    <row r="33" spans="1:12" x14ac:dyDescent="0.25">
      <c r="A33" s="4" t="s">
        <v>488</v>
      </c>
      <c r="B33" s="4">
        <v>1</v>
      </c>
      <c r="C33" s="4">
        <v>11900</v>
      </c>
      <c r="D33" s="37">
        <f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281</v>
      </c>
      <c r="B1" s="4"/>
      <c r="C1" s="15">
        <v>41919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4" t="s">
        <v>487</v>
      </c>
      <c r="B6" s="146"/>
      <c r="C6" s="147"/>
      <c r="D6" s="155"/>
      <c r="E6" s="92"/>
      <c r="F6" s="146"/>
      <c r="G6" s="147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2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489</v>
      </c>
      <c r="B8" s="98">
        <v>1</v>
      </c>
      <c r="C8" s="99">
        <v>4550</v>
      </c>
      <c r="D8" s="37">
        <v>4550</v>
      </c>
      <c r="E8" s="39">
        <f>D8*0.1</f>
        <v>455</v>
      </c>
      <c r="F8" s="98">
        <v>2500</v>
      </c>
      <c r="G8" s="99">
        <v>1.1000000000000001</v>
      </c>
      <c r="H8" s="37">
        <f>G8*B8</f>
        <v>1.1000000000000001</v>
      </c>
      <c r="I8" s="4">
        <f>H8*$C$2</f>
        <v>8195</v>
      </c>
      <c r="J8" s="51">
        <f>(D8+E8+F8+I8)*$C$3</f>
        <v>601.31000000000006</v>
      </c>
      <c r="K8" s="6"/>
      <c r="L8" s="17"/>
    </row>
    <row r="9" spans="1:13" x14ac:dyDescent="0.25">
      <c r="A9" s="39" t="s">
        <v>490</v>
      </c>
      <c r="B9" s="98">
        <v>1</v>
      </c>
      <c r="C9" s="99">
        <v>4500</v>
      </c>
      <c r="D9" s="37">
        <v>4500</v>
      </c>
      <c r="E9" s="39">
        <f>D9*0.1</f>
        <v>450</v>
      </c>
      <c r="F9" s="98">
        <v>2500</v>
      </c>
      <c r="G9" s="99">
        <v>0.25</v>
      </c>
      <c r="H9" s="37">
        <f>G9</f>
        <v>0.25</v>
      </c>
      <c r="I9" s="4">
        <f>H9*$C$2</f>
        <v>1862.5</v>
      </c>
      <c r="J9" s="51">
        <f>(D9+E9+F9+I9)*$C$3</f>
        <v>356.66874999999999</v>
      </c>
      <c r="K9" s="6"/>
      <c r="L9" s="17"/>
    </row>
    <row r="10" spans="1:13" ht="31.5" x14ac:dyDescent="0.5">
      <c r="A10" s="142" t="s">
        <v>160</v>
      </c>
      <c r="B10" s="123"/>
      <c r="C10" s="124"/>
      <c r="D10" s="156"/>
      <c r="E10" s="92"/>
      <c r="F10" s="123"/>
      <c r="G10" s="124"/>
      <c r="H10" s="32"/>
      <c r="I10" s="2"/>
      <c r="J10" s="52">
        <f>J11</f>
        <v>572.96799999999996</v>
      </c>
      <c r="K10" s="10">
        <v>600</v>
      </c>
      <c r="L10" s="10">
        <f>K10-J10</f>
        <v>27.032000000000039</v>
      </c>
      <c r="M10" s="132"/>
    </row>
    <row r="11" spans="1:13" x14ac:dyDescent="0.2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2" t="s">
        <v>39</v>
      </c>
      <c r="B12" s="123"/>
      <c r="C12" s="124"/>
      <c r="D12" s="156"/>
      <c r="E12" s="92"/>
      <c r="F12" s="123"/>
      <c r="G12" s="124"/>
      <c r="H12" s="32"/>
      <c r="I12" s="2"/>
      <c r="J12" s="52">
        <f>J13</f>
        <v>572.96799999999996</v>
      </c>
      <c r="K12" s="10">
        <f>569+4</f>
        <v>573</v>
      </c>
      <c r="L12" s="10">
        <f>K12-J12</f>
        <v>3.2000000000039108E-2</v>
      </c>
      <c r="M12" s="133"/>
    </row>
    <row r="13" spans="1:13" x14ac:dyDescent="0.2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2" t="s">
        <v>492</v>
      </c>
      <c r="B14" s="123"/>
      <c r="C14" s="124"/>
      <c r="D14" s="156"/>
      <c r="E14" s="92"/>
      <c r="F14" s="123"/>
      <c r="G14" s="124"/>
      <c r="H14" s="32"/>
      <c r="I14" s="2"/>
      <c r="J14" s="52">
        <f>J15</f>
        <v>572.96799999999996</v>
      </c>
      <c r="K14" s="10">
        <f>569+4</f>
        <v>573</v>
      </c>
      <c r="L14" s="10">
        <f>K14-J14</f>
        <v>3.2000000000039108E-2</v>
      </c>
      <c r="M14" s="133"/>
    </row>
    <row r="15" spans="1:13" x14ac:dyDescent="0.2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2" t="s">
        <v>493</v>
      </c>
      <c r="B16" s="123"/>
      <c r="C16" s="124"/>
      <c r="D16" s="156"/>
      <c r="E16" s="92"/>
      <c r="F16" s="123"/>
      <c r="G16" s="124"/>
      <c r="H16" s="32"/>
      <c r="I16" s="2"/>
      <c r="J16" s="52">
        <f>J17</f>
        <v>904.28215</v>
      </c>
      <c r="K16" s="10">
        <v>898</v>
      </c>
      <c r="L16" s="10">
        <f>K16-J16</f>
        <v>-6.2821500000000015</v>
      </c>
      <c r="M16" s="132"/>
    </row>
    <row r="17" spans="1:13" x14ac:dyDescent="0.2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2" t="s">
        <v>382</v>
      </c>
      <c r="B18" s="123"/>
      <c r="C18" s="124"/>
      <c r="D18" s="156"/>
      <c r="E18" s="92"/>
      <c r="F18" s="123"/>
      <c r="G18" s="124"/>
      <c r="H18" s="32"/>
      <c r="I18" s="2"/>
      <c r="J18" s="52">
        <f>J19</f>
        <v>1045.5899999999999</v>
      </c>
      <c r="K18" s="10">
        <v>1039</v>
      </c>
      <c r="L18" s="10">
        <f>K18-J18</f>
        <v>-6.5899999999999181</v>
      </c>
      <c r="M18" s="133"/>
    </row>
    <row r="19" spans="1:13" x14ac:dyDescent="0.25">
      <c r="A19" s="130" t="s">
        <v>495</v>
      </c>
      <c r="B19" s="157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2" t="s">
        <v>104</v>
      </c>
      <c r="B20" s="123"/>
      <c r="C20" s="124"/>
      <c r="D20" s="156"/>
      <c r="E20" s="92"/>
      <c r="F20" s="123"/>
      <c r="G20" s="124"/>
      <c r="H20" s="32"/>
      <c r="I20" s="2"/>
      <c r="J20" s="52">
        <f>J21</f>
        <v>362.93080000000003</v>
      </c>
      <c r="K20" s="10">
        <v>360</v>
      </c>
      <c r="L20" s="10">
        <f>K20-J20</f>
        <v>-2.9308000000000334</v>
      </c>
      <c r="M20" s="133"/>
    </row>
    <row r="21" spans="1:13" x14ac:dyDescent="0.25">
      <c r="A21" s="130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2" t="s">
        <v>331</v>
      </c>
      <c r="B22" s="123"/>
      <c r="C22" s="124"/>
      <c r="D22" s="156"/>
      <c r="E22" s="92"/>
      <c r="F22" s="123"/>
      <c r="G22" s="124"/>
      <c r="H22" s="32"/>
      <c r="I22" s="2"/>
      <c r="J22" s="52">
        <f>J23</f>
        <v>1283.7011</v>
      </c>
      <c r="K22" s="10">
        <v>1275</v>
      </c>
      <c r="L22" s="10">
        <f>K22-J22</f>
        <v>-8.7010999999999967</v>
      </c>
      <c r="M22" s="133"/>
    </row>
    <row r="23" spans="1:13" x14ac:dyDescent="0.2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2" t="s">
        <v>175</v>
      </c>
      <c r="B24" s="123"/>
      <c r="C24" s="124"/>
      <c r="D24" s="156"/>
      <c r="E24" s="92"/>
      <c r="F24" s="123"/>
      <c r="G24" s="124"/>
      <c r="H24" s="32"/>
      <c r="I24" s="2"/>
      <c r="J24" s="52">
        <f>J25</f>
        <v>572.96799999999996</v>
      </c>
      <c r="K24" s="10">
        <f>498+42-38</f>
        <v>502</v>
      </c>
      <c r="L24" s="10">
        <f>K24-J24</f>
        <v>-70.967999999999961</v>
      </c>
      <c r="M24" s="133" t="s">
        <v>503</v>
      </c>
    </row>
    <row r="25" spans="1:13" x14ac:dyDescent="0.25">
      <c r="A25" s="130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2" t="s">
        <v>260</v>
      </c>
      <c r="B26" s="123"/>
      <c r="C26" s="124"/>
      <c r="D26" s="156"/>
      <c r="E26" s="92"/>
      <c r="F26" s="123"/>
      <c r="G26" s="124"/>
      <c r="H26" s="32"/>
      <c r="I26" s="2"/>
      <c r="J26" s="52">
        <f>J27</f>
        <v>625.20920000000001</v>
      </c>
      <c r="K26" s="10">
        <f>621+4</f>
        <v>625</v>
      </c>
      <c r="L26" s="10">
        <f>K26-J26</f>
        <v>-0.20920000000000982</v>
      </c>
      <c r="M26" s="133"/>
    </row>
    <row r="27" spans="1:13" x14ac:dyDescent="0.2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2" t="s">
        <v>500</v>
      </c>
      <c r="B28" s="123"/>
      <c r="C28" s="124"/>
      <c r="D28" s="156"/>
      <c r="E28" s="92"/>
      <c r="F28" s="123"/>
      <c r="G28" s="124"/>
      <c r="H28" s="32"/>
      <c r="I28" s="2"/>
      <c r="J28" s="52">
        <f>J29</f>
        <v>1303.8086000000001</v>
      </c>
      <c r="K28" s="10">
        <v>1295</v>
      </c>
      <c r="L28" s="10">
        <f>K28-J28</f>
        <v>-8.8086000000000695</v>
      </c>
      <c r="M28" s="133"/>
    </row>
    <row r="29" spans="1:13" ht="15.75" thickBot="1" x14ac:dyDescent="0.3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41935</v>
      </c>
      <c r="D1" s="30"/>
    </row>
    <row r="2" spans="1:13" ht="21" x14ac:dyDescent="0.35">
      <c r="A2" s="55" t="s">
        <v>239</v>
      </c>
      <c r="B2" s="4"/>
      <c r="C2" s="16">
        <v>7100</v>
      </c>
      <c r="D2" s="30"/>
    </row>
    <row r="3" spans="1:13" ht="21" x14ac:dyDescent="0.35">
      <c r="A3" s="55" t="s">
        <v>240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2</v>
      </c>
      <c r="B6" s="151"/>
      <c r="C6" s="151"/>
      <c r="D6" s="2"/>
      <c r="E6" s="2"/>
      <c r="F6" s="151"/>
      <c r="G6" s="151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2"/>
    </row>
    <row r="7" spans="1:13" x14ac:dyDescent="0.25">
      <c r="A7" s="4" t="s">
        <v>504</v>
      </c>
      <c r="B7" s="4">
        <v>1</v>
      </c>
      <c r="C7" s="4">
        <v>34800</v>
      </c>
      <c r="D7" s="4">
        <f>B7*C7</f>
        <v>34800</v>
      </c>
      <c r="E7" s="4">
        <f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273</v>
      </c>
      <c r="B8" s="4">
        <v>2</v>
      </c>
      <c r="C8" s="4">
        <v>3900</v>
      </c>
      <c r="D8" s="4">
        <f>B8*C8</f>
        <v>7800</v>
      </c>
      <c r="E8" s="4">
        <f>D8*0.1</f>
        <v>780</v>
      </c>
      <c r="F8" s="4">
        <v>2500</v>
      </c>
      <c r="G8" s="4">
        <v>0.76</v>
      </c>
      <c r="H8" s="4">
        <f>G8*B8</f>
        <v>1.52</v>
      </c>
      <c r="I8" s="4">
        <f>H8*$C$2</f>
        <v>10792</v>
      </c>
      <c r="J8" s="51">
        <f>(D8+E8+F8+I8)*$C$3</f>
        <v>885.81600000000003</v>
      </c>
      <c r="K8" s="6"/>
      <c r="L8" s="17"/>
    </row>
    <row r="9" spans="1:13" x14ac:dyDescent="0.25">
      <c r="A9" s="4" t="s">
        <v>437</v>
      </c>
      <c r="B9" s="4">
        <v>1</v>
      </c>
      <c r="C9" s="4">
        <v>5990</v>
      </c>
      <c r="D9" s="4">
        <f>B9*C9</f>
        <v>5990</v>
      </c>
      <c r="E9" s="4">
        <f>D9*0.1</f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505</v>
      </c>
      <c r="B10" s="4">
        <v>1</v>
      </c>
      <c r="C10" s="4">
        <v>16800</v>
      </c>
      <c r="D10" s="4">
        <f>B10*C10</f>
        <v>16800</v>
      </c>
      <c r="E10" s="4">
        <f>D10*0.1</f>
        <v>1680</v>
      </c>
      <c r="F10" s="4">
        <v>0</v>
      </c>
      <c r="G10" s="18">
        <v>0.3</v>
      </c>
      <c r="H10" s="4">
        <f>G10</f>
        <v>0.3</v>
      </c>
      <c r="I10" s="4">
        <f>H10*$C$2</f>
        <v>2130</v>
      </c>
      <c r="J10" s="51">
        <f>(D10+E10+F10+I10)*$C$3</f>
        <v>834.70500000000004</v>
      </c>
      <c r="K10" s="6"/>
      <c r="L10" s="17"/>
      <c r="M10" s="132"/>
    </row>
    <row r="11" spans="1:13" ht="31.5" x14ac:dyDescent="0.5">
      <c r="A11" s="152" t="s">
        <v>354</v>
      </c>
      <c r="B11" s="151"/>
      <c r="C11" s="151"/>
      <c r="D11" s="2"/>
      <c r="E11" s="2"/>
      <c r="F11" s="151"/>
      <c r="G11" s="151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506</v>
      </c>
      <c r="B12" s="4">
        <v>1</v>
      </c>
      <c r="C12" s="4">
        <v>9900</v>
      </c>
      <c r="D12" s="4">
        <f>B12*C12</f>
        <v>9900</v>
      </c>
      <c r="E12" s="4">
        <f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3"/>
    </row>
    <row r="13" spans="1:13" x14ac:dyDescent="0.25">
      <c r="A13" s="4" t="s">
        <v>507</v>
      </c>
      <c r="B13" s="4">
        <v>1</v>
      </c>
      <c r="C13" s="4">
        <v>12800</v>
      </c>
      <c r="D13" s="4">
        <f>B13*C13</f>
        <v>12800</v>
      </c>
      <c r="E13" s="4">
        <f>D13*0.1</f>
        <v>1280</v>
      </c>
      <c r="F13" s="4">
        <v>0</v>
      </c>
      <c r="G13" s="18">
        <v>0.37</v>
      </c>
      <c r="H13" s="4">
        <f>G13</f>
        <v>0.37</v>
      </c>
      <c r="I13" s="4">
        <f>H13*$C$2</f>
        <v>2627</v>
      </c>
      <c r="J13" s="51">
        <f>(D13+E13+F13+I13)*$C$3</f>
        <v>676.63350000000003</v>
      </c>
      <c r="K13" s="6"/>
      <c r="L13" s="17"/>
      <c r="M13" s="133"/>
    </row>
    <row r="14" spans="1:13" ht="31.5" x14ac:dyDescent="0.5">
      <c r="A14" s="152" t="s">
        <v>508</v>
      </c>
      <c r="B14" s="151"/>
      <c r="C14" s="151"/>
      <c r="D14" s="2"/>
      <c r="E14" s="2"/>
      <c r="F14" s="151"/>
      <c r="G14" s="151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509</v>
      </c>
      <c r="B15" s="4">
        <v>1</v>
      </c>
      <c r="C15" s="4">
        <v>16800</v>
      </c>
      <c r="D15" s="4">
        <f>B15*C15</f>
        <v>16800</v>
      </c>
      <c r="E15" s="4">
        <f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2"/>
    </row>
    <row r="16" spans="1:13" x14ac:dyDescent="0.25">
      <c r="A16" s="4" t="s">
        <v>506</v>
      </c>
      <c r="B16" s="4">
        <v>1</v>
      </c>
      <c r="C16" s="4">
        <v>9900</v>
      </c>
      <c r="D16" s="4">
        <f>B16*C16</f>
        <v>9900</v>
      </c>
      <c r="E16" s="4">
        <f>D16*0.1</f>
        <v>990</v>
      </c>
      <c r="F16" s="4">
        <f>2500/2</f>
        <v>1250</v>
      </c>
      <c r="G16" s="4">
        <v>0.3</v>
      </c>
      <c r="H16" s="4">
        <f>G16</f>
        <v>0.3</v>
      </c>
      <c r="I16" s="42">
        <f>H16*$C$2</f>
        <v>2130</v>
      </c>
      <c r="J16" s="51">
        <f>(D16+E16+F16+I16)*$C$3</f>
        <v>577.93500000000006</v>
      </c>
      <c r="K16" s="6"/>
      <c r="L16" s="17"/>
    </row>
    <row r="17" spans="1:13" ht="31.5" x14ac:dyDescent="0.5">
      <c r="A17" s="152" t="s">
        <v>458</v>
      </c>
      <c r="B17" s="151"/>
      <c r="C17" s="151"/>
      <c r="D17" s="2"/>
      <c r="E17" s="2"/>
      <c r="F17" s="151"/>
      <c r="G17" s="151"/>
      <c r="H17" s="2"/>
      <c r="I17" s="2"/>
      <c r="J17" s="52">
        <f>J18+J19</f>
        <v>1311.5601000000001</v>
      </c>
      <c r="K17" s="10">
        <f>1248+70</f>
        <v>1318</v>
      </c>
      <c r="L17" s="10">
        <f>K17-J17</f>
        <v>6.4398999999998523</v>
      </c>
      <c r="M17" s="133"/>
    </row>
    <row r="18" spans="1:13" x14ac:dyDescent="0.25">
      <c r="A18" s="4" t="s">
        <v>510</v>
      </c>
      <c r="B18" s="4">
        <v>1</v>
      </c>
      <c r="C18" s="4">
        <v>6200</v>
      </c>
      <c r="D18" s="4">
        <f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58" t="s">
        <v>521</v>
      </c>
      <c r="B19" s="4">
        <v>1</v>
      </c>
      <c r="C19" s="4">
        <f>86250/5</f>
        <v>17250</v>
      </c>
      <c r="D19" s="4">
        <f>B19*C19</f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2" t="s">
        <v>382</v>
      </c>
      <c r="B20" s="151"/>
      <c r="C20" s="151"/>
      <c r="D20" s="2"/>
      <c r="E20" s="2"/>
      <c r="F20" s="151"/>
      <c r="G20" s="151"/>
      <c r="H20" s="2"/>
      <c r="I20" s="2"/>
      <c r="J20" s="52">
        <f>J21</f>
        <v>516.61800000000005</v>
      </c>
      <c r="K20" s="10">
        <f>486+22</f>
        <v>508</v>
      </c>
      <c r="L20" s="10">
        <f>K20-J20</f>
        <v>-8.6180000000000518</v>
      </c>
      <c r="M20" s="133"/>
    </row>
    <row r="21" spans="1:13" x14ac:dyDescent="0.25">
      <c r="A21" s="4" t="s">
        <v>510</v>
      </c>
      <c r="B21" s="4">
        <v>1</v>
      </c>
      <c r="C21" s="4">
        <v>6200</v>
      </c>
      <c r="D21" s="4">
        <f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2" t="s">
        <v>131</v>
      </c>
      <c r="B22" s="151"/>
      <c r="C22" s="151"/>
      <c r="D22" s="2"/>
      <c r="E22" s="2"/>
      <c r="F22" s="151"/>
      <c r="G22" s="151"/>
      <c r="H22" s="2"/>
      <c r="I22" s="2"/>
      <c r="J22" s="52">
        <f>J23</f>
        <v>590.53050000000007</v>
      </c>
      <c r="K22" s="10">
        <f>557+26</f>
        <v>583</v>
      </c>
      <c r="L22" s="10">
        <f>K22-J22</f>
        <v>-7.5305000000000746</v>
      </c>
      <c r="M22" s="133"/>
    </row>
    <row r="23" spans="1:13" x14ac:dyDescent="0.25">
      <c r="A23" s="4" t="s">
        <v>511</v>
      </c>
      <c r="B23" s="4">
        <v>1</v>
      </c>
      <c r="C23" s="4">
        <v>11900</v>
      </c>
      <c r="D23" s="4">
        <f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2" t="s">
        <v>160</v>
      </c>
      <c r="B24" s="151"/>
      <c r="C24" s="151"/>
      <c r="D24" s="2"/>
      <c r="E24" s="2"/>
      <c r="F24" s="151"/>
      <c r="G24" s="151"/>
      <c r="H24" s="2"/>
      <c r="I24" s="2"/>
      <c r="J24" s="52">
        <f>J25+J26</f>
        <v>1011.8331000000001</v>
      </c>
      <c r="K24" s="10">
        <v>1000</v>
      </c>
      <c r="L24" s="10">
        <f>K24-J24</f>
        <v>-11.833100000000059</v>
      </c>
      <c r="M24" s="133"/>
    </row>
    <row r="25" spans="1:13" x14ac:dyDescent="0.25">
      <c r="A25" s="4" t="s">
        <v>173</v>
      </c>
      <c r="B25" s="4">
        <v>1</v>
      </c>
      <c r="C25" s="4">
        <v>2820</v>
      </c>
      <c r="D25" s="4">
        <f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58" t="s">
        <v>521</v>
      </c>
      <c r="B26" s="4">
        <v>1</v>
      </c>
      <c r="C26" s="4">
        <f>86250/5</f>
        <v>17250</v>
      </c>
      <c r="D26" s="4">
        <f>B26*C26</f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2" t="s">
        <v>331</v>
      </c>
      <c r="B27" s="151"/>
      <c r="C27" s="151"/>
      <c r="D27" s="2"/>
      <c r="E27" s="2"/>
      <c r="F27" s="151"/>
      <c r="G27" s="151"/>
      <c r="H27" s="2"/>
      <c r="I27" s="2"/>
      <c r="J27" s="52">
        <f>J28</f>
        <v>275.80500000000001</v>
      </c>
      <c r="K27" s="10">
        <v>400</v>
      </c>
      <c r="L27" s="10">
        <f>K27-J27</f>
        <v>124.19499999999999</v>
      </c>
      <c r="M27" s="133"/>
    </row>
    <row r="28" spans="1:13" x14ac:dyDescent="0.25">
      <c r="A28" s="4" t="s">
        <v>512</v>
      </c>
      <c r="B28" s="4">
        <v>1</v>
      </c>
      <c r="C28" s="4">
        <v>4900</v>
      </c>
      <c r="D28" s="4">
        <f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2" t="s">
        <v>513</v>
      </c>
      <c r="B29" s="151"/>
      <c r="C29" s="151"/>
      <c r="D29" s="2"/>
      <c r="E29" s="2"/>
      <c r="F29" s="151"/>
      <c r="G29" s="151"/>
      <c r="H29" s="2"/>
      <c r="I29" s="2"/>
      <c r="J29" s="52">
        <f>J30</f>
        <v>315.14400000000006</v>
      </c>
      <c r="K29" s="10">
        <f>300+15</f>
        <v>315</v>
      </c>
      <c r="L29" s="10">
        <f>K29-J29</f>
        <v>-0.1440000000000623</v>
      </c>
      <c r="M29" s="133"/>
    </row>
    <row r="30" spans="1:13" x14ac:dyDescent="0.25">
      <c r="A30" s="4" t="s">
        <v>514</v>
      </c>
      <c r="B30" s="4">
        <v>2</v>
      </c>
      <c r="C30" s="4">
        <f>7900/3</f>
        <v>2633.3333333333335</v>
      </c>
      <c r="D30" s="4">
        <f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0" t="s">
        <v>515</v>
      </c>
      <c r="B31" s="151"/>
      <c r="C31" s="151"/>
      <c r="D31" s="2"/>
      <c r="E31" s="2"/>
      <c r="F31" s="151"/>
      <c r="G31" s="151"/>
      <c r="H31" s="2"/>
      <c r="I31" s="2"/>
      <c r="J31" s="52">
        <f>J32</f>
        <v>794.9421000000001</v>
      </c>
      <c r="K31" s="10">
        <f>747+48</f>
        <v>795</v>
      </c>
      <c r="L31" s="10">
        <f>K31-J31</f>
        <v>5.7899999999904139E-2</v>
      </c>
    </row>
    <row r="32" spans="1:13" x14ac:dyDescent="0.25">
      <c r="A32" s="158" t="s">
        <v>521</v>
      </c>
      <c r="B32" s="4">
        <v>1</v>
      </c>
      <c r="C32" s="4">
        <f>86250/5</f>
        <v>17250</v>
      </c>
      <c r="D32" s="4">
        <f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0" t="s">
        <v>516</v>
      </c>
      <c r="B33" s="151"/>
      <c r="C33" s="151"/>
      <c r="D33" s="2"/>
      <c r="E33" s="2"/>
      <c r="F33" s="151"/>
      <c r="G33" s="151"/>
      <c r="H33" s="2"/>
      <c r="I33" s="2"/>
      <c r="J33" s="52">
        <f>J34</f>
        <v>794.9421000000001</v>
      </c>
      <c r="K33" s="10">
        <f>747+48</f>
        <v>795</v>
      </c>
      <c r="L33" s="10">
        <f>K33-J33</f>
        <v>5.7899999999904139E-2</v>
      </c>
    </row>
    <row r="34" spans="1:12" x14ac:dyDescent="0.25">
      <c r="A34" s="158" t="s">
        <v>521</v>
      </c>
      <c r="B34" s="4">
        <v>1</v>
      </c>
      <c r="C34" s="4">
        <f>86250/5</f>
        <v>17250</v>
      </c>
      <c r="D34" s="4">
        <f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0" t="s">
        <v>517</v>
      </c>
      <c r="B35" s="151"/>
      <c r="C35" s="151"/>
      <c r="D35" s="2"/>
      <c r="E35" s="2"/>
      <c r="F35" s="151"/>
      <c r="G35" s="151"/>
      <c r="H35" s="2"/>
      <c r="I35" s="2"/>
      <c r="J35" s="52">
        <f>J36</f>
        <v>794.9421000000001</v>
      </c>
      <c r="K35" s="10">
        <f>747+48</f>
        <v>795</v>
      </c>
      <c r="L35" s="10">
        <f>K35-J35</f>
        <v>5.7899999999904139E-2</v>
      </c>
    </row>
    <row r="36" spans="1:12" x14ac:dyDescent="0.25">
      <c r="A36" s="158" t="s">
        <v>521</v>
      </c>
      <c r="B36" s="4">
        <v>1</v>
      </c>
      <c r="C36" s="4">
        <f>86250/5</f>
        <v>17250</v>
      </c>
      <c r="D36" s="4">
        <f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0" t="s">
        <v>518</v>
      </c>
      <c r="B37" s="151"/>
      <c r="C37" s="151"/>
      <c r="D37" s="2"/>
      <c r="E37" s="2"/>
      <c r="F37" s="151"/>
      <c r="G37" s="151"/>
      <c r="H37" s="2"/>
      <c r="I37" s="2"/>
      <c r="J37" s="52">
        <f>J38</f>
        <v>794.9421000000001</v>
      </c>
      <c r="K37" s="10">
        <f>747+48</f>
        <v>795</v>
      </c>
      <c r="L37" s="10">
        <f>K37-J37</f>
        <v>5.7899999999904139E-2</v>
      </c>
    </row>
    <row r="38" spans="1:12" x14ac:dyDescent="0.25">
      <c r="A38" s="158" t="s">
        <v>521</v>
      </c>
      <c r="B38" s="4">
        <v>1</v>
      </c>
      <c r="C38" s="4">
        <f>86250/5</f>
        <v>17250</v>
      </c>
      <c r="D38" s="4">
        <f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0" t="s">
        <v>519</v>
      </c>
      <c r="B39" s="151"/>
      <c r="C39" s="151"/>
      <c r="D39" s="2"/>
      <c r="E39" s="2"/>
      <c r="F39" s="151"/>
      <c r="G39" s="151"/>
      <c r="H39" s="2"/>
      <c r="I39" s="2"/>
      <c r="J39" s="52">
        <f>J40</f>
        <v>794.9421000000001</v>
      </c>
      <c r="K39" s="10">
        <f>747+48</f>
        <v>795</v>
      </c>
      <c r="L39" s="10">
        <f>K39-J39</f>
        <v>5.7899999999904139E-2</v>
      </c>
    </row>
    <row r="40" spans="1:12" x14ac:dyDescent="0.25">
      <c r="A40" s="158" t="s">
        <v>521</v>
      </c>
      <c r="B40" s="4">
        <v>1</v>
      </c>
      <c r="C40" s="4">
        <f>86250/5</f>
        <v>17250</v>
      </c>
      <c r="D40" s="4">
        <f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0" t="s">
        <v>520</v>
      </c>
      <c r="B41" s="151"/>
      <c r="C41" s="151"/>
      <c r="D41" s="2"/>
      <c r="E41" s="2"/>
      <c r="F41" s="151"/>
      <c r="G41" s="151"/>
      <c r="H41" s="2"/>
      <c r="I41" s="2"/>
      <c r="J41" s="52">
        <f>J42</f>
        <v>794.9421000000001</v>
      </c>
      <c r="K41" s="10">
        <f>747+48</f>
        <v>795</v>
      </c>
      <c r="L41" s="10">
        <f>K41-J41</f>
        <v>5.7899999999904139E-2</v>
      </c>
    </row>
    <row r="42" spans="1:12" x14ac:dyDescent="0.25">
      <c r="A42" s="158" t="s">
        <v>521</v>
      </c>
      <c r="B42" s="4">
        <v>1</v>
      </c>
      <c r="C42" s="4">
        <f>86250/5</f>
        <v>17250</v>
      </c>
      <c r="D42" s="4">
        <f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0" t="s">
        <v>522</v>
      </c>
      <c r="B43" s="151"/>
      <c r="C43" s="151"/>
      <c r="D43" s="2"/>
      <c r="E43" s="2"/>
      <c r="F43" s="151"/>
      <c r="G43" s="151"/>
      <c r="H43" s="2"/>
      <c r="I43" s="2"/>
      <c r="J43" s="52">
        <f>J44</f>
        <v>794.9421000000001</v>
      </c>
      <c r="K43" s="10">
        <f>747+48</f>
        <v>795</v>
      </c>
      <c r="L43" s="10">
        <f>K43-J43</f>
        <v>5.7899999999904139E-2</v>
      </c>
    </row>
    <row r="44" spans="1:12" x14ac:dyDescent="0.25">
      <c r="A44" s="158" t="s">
        <v>521</v>
      </c>
      <c r="B44" s="4">
        <v>1</v>
      </c>
      <c r="C44" s="4">
        <f>86250/5</f>
        <v>17250</v>
      </c>
      <c r="D44" s="4">
        <f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0" t="s">
        <v>39</v>
      </c>
      <c r="B45" s="151"/>
      <c r="C45" s="151"/>
      <c r="D45" s="2"/>
      <c r="E45" s="2"/>
      <c r="F45" s="151"/>
      <c r="G45" s="151"/>
      <c r="H45" s="2"/>
      <c r="I45" s="2"/>
      <c r="J45" s="52">
        <f>J46</f>
        <v>440.63189999999997</v>
      </c>
      <c r="K45" s="10">
        <f>416+25</f>
        <v>441</v>
      </c>
      <c r="L45" s="10">
        <f>K45-J45</f>
        <v>0.36810000000002674</v>
      </c>
    </row>
    <row r="46" spans="1:12" x14ac:dyDescent="0.25">
      <c r="A46" s="159" t="s">
        <v>523</v>
      </c>
      <c r="B46" s="4">
        <v>1</v>
      </c>
      <c r="C46" s="4">
        <f>45000/5</f>
        <v>9000</v>
      </c>
      <c r="D46" s="4">
        <f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0" t="s">
        <v>364</v>
      </c>
      <c r="B47" s="151"/>
      <c r="C47" s="151"/>
      <c r="D47" s="2"/>
      <c r="E47" s="2"/>
      <c r="F47" s="151"/>
      <c r="G47" s="151"/>
      <c r="H47" s="2"/>
      <c r="I47" s="2"/>
      <c r="J47" s="52">
        <f>J48</f>
        <v>440.63189999999997</v>
      </c>
      <c r="K47" s="10">
        <f>427+17</f>
        <v>444</v>
      </c>
      <c r="L47" s="10">
        <f>K47-J47</f>
        <v>3.3681000000000267</v>
      </c>
    </row>
    <row r="48" spans="1:12" x14ac:dyDescent="0.25">
      <c r="A48" s="159" t="s">
        <v>523</v>
      </c>
      <c r="B48" s="4">
        <v>1</v>
      </c>
      <c r="C48" s="4">
        <f>45000/5</f>
        <v>9000</v>
      </c>
      <c r="D48" s="37">
        <f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0" t="s">
        <v>524</v>
      </c>
      <c r="B49" s="151"/>
      <c r="C49" s="151"/>
      <c r="D49" s="32"/>
      <c r="E49" s="92"/>
      <c r="F49" s="151"/>
      <c r="G49" s="151"/>
      <c r="H49" s="32"/>
      <c r="I49" s="2"/>
      <c r="J49" s="52">
        <f>J50</f>
        <v>440.63189999999997</v>
      </c>
      <c r="K49" s="10">
        <f>416+25</f>
        <v>441</v>
      </c>
      <c r="L49" s="10">
        <f>K49-J49</f>
        <v>0.36810000000002674</v>
      </c>
    </row>
    <row r="50" spans="1:12" x14ac:dyDescent="0.25">
      <c r="A50" s="159" t="s">
        <v>523</v>
      </c>
      <c r="B50" s="4">
        <v>1</v>
      </c>
      <c r="C50" s="4">
        <f>45000/5</f>
        <v>9000</v>
      </c>
      <c r="D50" s="37">
        <f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0" t="s">
        <v>525</v>
      </c>
      <c r="B51" s="151"/>
      <c r="C51" s="151"/>
      <c r="D51" s="32"/>
      <c r="E51" s="92"/>
      <c r="F51" s="151"/>
      <c r="G51" s="151"/>
      <c r="H51" s="32"/>
      <c r="I51" s="2"/>
      <c r="J51" s="52">
        <f>J52</f>
        <v>440.63189999999997</v>
      </c>
      <c r="K51" s="10">
        <f>416+25</f>
        <v>441</v>
      </c>
      <c r="L51" s="10">
        <f>K51-J51</f>
        <v>0.36810000000002674</v>
      </c>
    </row>
    <row r="52" spans="1:12" x14ac:dyDescent="0.25">
      <c r="A52" s="159" t="s">
        <v>523</v>
      </c>
      <c r="B52" s="4">
        <v>1</v>
      </c>
      <c r="C52" s="4">
        <f>45000/5</f>
        <v>9000</v>
      </c>
      <c r="D52" s="37">
        <f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41962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529</v>
      </c>
      <c r="B6" s="151"/>
      <c r="C6" s="151"/>
      <c r="D6" s="2"/>
      <c r="E6" s="2"/>
      <c r="F6" s="151"/>
      <c r="G6" s="151"/>
      <c r="H6" s="2"/>
      <c r="I6" s="2"/>
      <c r="J6" s="52">
        <f>J7</f>
        <v>546.21</v>
      </c>
      <c r="K6" s="10">
        <f>54+500</f>
        <v>554</v>
      </c>
      <c r="L6" s="10">
        <f>K6-J6</f>
        <v>7.7899999999999636</v>
      </c>
      <c r="M6" s="133"/>
    </row>
    <row r="7" spans="1:13" x14ac:dyDescent="0.25">
      <c r="A7" s="17" t="s">
        <v>530</v>
      </c>
      <c r="B7" s="4">
        <v>1</v>
      </c>
      <c r="C7" s="4">
        <v>9900</v>
      </c>
      <c r="D7" s="4">
        <f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2" t="s">
        <v>2</v>
      </c>
      <c r="B8" s="151"/>
      <c r="C8" s="151"/>
      <c r="D8" s="2"/>
      <c r="E8" s="2"/>
      <c r="F8" s="151"/>
      <c r="G8" s="151"/>
      <c r="H8" s="2"/>
      <c r="I8" s="2"/>
      <c r="J8" s="52">
        <f>J9</f>
        <v>2151.2400000000002</v>
      </c>
      <c r="K8" s="10">
        <f>2077+74</f>
        <v>2151</v>
      </c>
      <c r="L8" s="10">
        <f>K8-J8</f>
        <v>-0.24000000000023647</v>
      </c>
    </row>
    <row r="9" spans="1:13" x14ac:dyDescent="0.25">
      <c r="A9" s="17" t="s">
        <v>531</v>
      </c>
      <c r="B9" s="4">
        <v>1</v>
      </c>
      <c r="C9" s="4">
        <v>44000</v>
      </c>
      <c r="D9" s="4">
        <f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2" t="s">
        <v>500</v>
      </c>
      <c r="B10" s="151"/>
      <c r="C10" s="151"/>
      <c r="D10" s="2"/>
      <c r="E10" s="2"/>
      <c r="F10" s="151"/>
      <c r="G10" s="151"/>
      <c r="H10" s="2"/>
      <c r="I10" s="2"/>
      <c r="J10" s="52">
        <f>J11</f>
        <v>3082.9050000000002</v>
      </c>
      <c r="K10" s="10">
        <v>2979</v>
      </c>
      <c r="L10" s="10">
        <f>K10-J10</f>
        <v>-103.9050000000002</v>
      </c>
    </row>
    <row r="11" spans="1:13" x14ac:dyDescent="0.25">
      <c r="A11" s="4" t="s">
        <v>532</v>
      </c>
      <c r="B11" s="4">
        <v>5</v>
      </c>
      <c r="C11" s="161">
        <v>12000</v>
      </c>
      <c r="D11" s="4">
        <f>B11*C11</f>
        <v>60000</v>
      </c>
      <c r="E11" s="4">
        <f>D11*0.1</f>
        <v>6000</v>
      </c>
      <c r="F11" s="4">
        <v>0</v>
      </c>
      <c r="G11" s="161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2" t="s">
        <v>382</v>
      </c>
      <c r="B12" s="151"/>
      <c r="C12" s="151"/>
      <c r="D12" s="2"/>
      <c r="E12" s="2"/>
      <c r="F12" s="151"/>
      <c r="G12" s="151"/>
      <c r="H12" s="2"/>
      <c r="I12" s="2"/>
      <c r="J12" s="52">
        <f>J13</f>
        <v>202.24260000000001</v>
      </c>
      <c r="K12" s="10">
        <f>196+7</f>
        <v>203</v>
      </c>
      <c r="L12" s="10">
        <f>K12-J12</f>
        <v>0.75739999999998986</v>
      </c>
    </row>
    <row r="13" spans="1:13" x14ac:dyDescent="0.25">
      <c r="A13" s="4" t="s">
        <v>533</v>
      </c>
      <c r="B13" s="4">
        <v>3</v>
      </c>
      <c r="C13" s="4">
        <f>11900/10</f>
        <v>1190</v>
      </c>
      <c r="D13" s="4">
        <f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2" t="s">
        <v>534</v>
      </c>
      <c r="B14" s="151"/>
      <c r="C14" s="151"/>
      <c r="D14" s="2"/>
      <c r="E14" s="2"/>
      <c r="F14" s="151"/>
      <c r="G14" s="151"/>
      <c r="H14" s="2"/>
      <c r="I14" s="2"/>
      <c r="J14" s="52">
        <f>J15</f>
        <v>134.82839999999999</v>
      </c>
      <c r="K14" s="10">
        <f>130+5</f>
        <v>135</v>
      </c>
      <c r="L14" s="10">
        <f>K14-J14</f>
        <v>0.17160000000001219</v>
      </c>
    </row>
    <row r="15" spans="1:13" x14ac:dyDescent="0.25">
      <c r="A15" s="4" t="s">
        <v>535</v>
      </c>
      <c r="B15" s="4">
        <v>2</v>
      </c>
      <c r="C15" s="4">
        <f>11900/10</f>
        <v>1190</v>
      </c>
      <c r="D15" s="4">
        <f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536</v>
      </c>
      <c r="B6" s="123"/>
      <c r="C6" s="124"/>
      <c r="D6" s="32"/>
      <c r="E6" s="92"/>
      <c r="F6" s="123"/>
      <c r="G6" s="124"/>
      <c r="H6" s="32"/>
      <c r="I6" s="2"/>
      <c r="J6" s="52">
        <f>J7</f>
        <v>544.54449999999997</v>
      </c>
      <c r="K6" s="10">
        <v>529</v>
      </c>
      <c r="L6" s="10">
        <f>K6-J6</f>
        <v>-15.544499999999971</v>
      </c>
      <c r="M6" s="133"/>
    </row>
    <row r="7" spans="1:13" x14ac:dyDescent="0.25">
      <c r="A7" s="39" t="s">
        <v>57</v>
      </c>
      <c r="B7" s="98">
        <v>1</v>
      </c>
      <c r="C7" s="99">
        <v>8900</v>
      </c>
      <c r="D7" s="37">
        <f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2" t="s">
        <v>537</v>
      </c>
      <c r="B8" s="123"/>
      <c r="C8" s="124"/>
      <c r="D8" s="32"/>
      <c r="E8" s="92"/>
      <c r="F8" s="123"/>
      <c r="G8" s="124"/>
      <c r="H8" s="32"/>
      <c r="I8" s="2"/>
      <c r="J8" s="52">
        <f>J9</f>
        <v>736.96109999999999</v>
      </c>
      <c r="K8" s="10">
        <v>737</v>
      </c>
      <c r="L8" s="10">
        <f>K8-J8</f>
        <v>3.8900000000012369E-2</v>
      </c>
    </row>
    <row r="9" spans="1:13" x14ac:dyDescent="0.25">
      <c r="A9" s="39" t="s">
        <v>532</v>
      </c>
      <c r="B9" s="98">
        <v>1</v>
      </c>
      <c r="C9" s="99">
        <v>12000</v>
      </c>
      <c r="D9" s="37">
        <f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2" t="s">
        <v>538</v>
      </c>
      <c r="B10" s="165" t="s">
        <v>541</v>
      </c>
      <c r="C10" s="124"/>
      <c r="D10" s="32"/>
      <c r="E10" s="92"/>
      <c r="F10" s="123"/>
      <c r="G10" s="124"/>
      <c r="H10" s="32"/>
      <c r="I10" s="2"/>
      <c r="J10" s="52">
        <f>J11</f>
        <v>412.9452</v>
      </c>
      <c r="K10" s="10">
        <v>413</v>
      </c>
      <c r="L10" s="10">
        <f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2" t="s">
        <v>500</v>
      </c>
      <c r="B12" s="123"/>
      <c r="C12" s="124"/>
      <c r="D12" s="32"/>
      <c r="E12" s="92"/>
      <c r="F12" s="123"/>
      <c r="G12" s="124"/>
      <c r="H12" s="32"/>
      <c r="I12" s="2"/>
      <c r="J12" s="52">
        <f>J13</f>
        <v>3684.8054999999999</v>
      </c>
      <c r="K12" s="10">
        <v>3694</v>
      </c>
      <c r="L12" s="10">
        <f>K12-J12</f>
        <v>9.1945000000000618</v>
      </c>
    </row>
    <row r="13" spans="1:13" x14ac:dyDescent="0.25">
      <c r="A13" s="39" t="s">
        <v>532</v>
      </c>
      <c r="B13" s="98">
        <v>5</v>
      </c>
      <c r="C13" s="162">
        <v>12000</v>
      </c>
      <c r="D13" s="37">
        <f>B13*C13</f>
        <v>60000</v>
      </c>
      <c r="E13" s="39">
        <f>D13*0.1</f>
        <v>6000</v>
      </c>
      <c r="F13" s="98">
        <v>0</v>
      </c>
      <c r="G13" s="162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2" t="s">
        <v>344</v>
      </c>
      <c r="B14" s="123"/>
      <c r="C14" s="124"/>
      <c r="D14" s="32"/>
      <c r="E14" s="92"/>
      <c r="F14" s="123"/>
      <c r="G14" s="124"/>
      <c r="H14" s="32"/>
      <c r="I14" s="2"/>
      <c r="J14" s="52">
        <f>J15</f>
        <v>582.06900000000007</v>
      </c>
      <c r="K14" s="10">
        <v>520</v>
      </c>
      <c r="L14" s="10">
        <f>K14-J14</f>
        <v>-62.069000000000074</v>
      </c>
    </row>
    <row r="15" spans="1:13" x14ac:dyDescent="0.25">
      <c r="A15" s="164" t="s">
        <v>539</v>
      </c>
      <c r="B15" s="98">
        <v>1</v>
      </c>
      <c r="C15" s="99">
        <v>9900</v>
      </c>
      <c r="D15" s="37">
        <f>B15*C15</f>
        <v>9900</v>
      </c>
      <c r="E15" s="39">
        <f>D15*0.1</f>
        <v>990</v>
      </c>
      <c r="F15" s="98">
        <v>0</v>
      </c>
      <c r="G15" s="163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2" t="s">
        <v>160</v>
      </c>
      <c r="B16" s="123"/>
      <c r="C16" s="124"/>
      <c r="D16" s="32"/>
      <c r="E16" s="92"/>
      <c r="F16" s="123"/>
      <c r="G16" s="124"/>
      <c r="H16" s="32"/>
      <c r="I16" s="2"/>
      <c r="J16" s="52">
        <f>J17</f>
        <v>590.55280000000005</v>
      </c>
      <c r="K16" s="10">
        <v>538</v>
      </c>
      <c r="L16" s="10">
        <f>K16-J16</f>
        <v>-52.552800000000047</v>
      </c>
    </row>
    <row r="17" spans="1:12" x14ac:dyDescent="0.25">
      <c r="A17" s="164" t="s">
        <v>540</v>
      </c>
      <c r="B17" s="98">
        <v>1</v>
      </c>
      <c r="C17" s="99">
        <v>8900</v>
      </c>
      <c r="D17" s="37">
        <f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2" t="s">
        <v>382</v>
      </c>
      <c r="B18" s="123"/>
      <c r="C18" s="124"/>
      <c r="D18" s="32"/>
      <c r="E18" s="92"/>
      <c r="F18" s="123"/>
      <c r="G18" s="124"/>
      <c r="H18" s="32"/>
      <c r="I18" s="2"/>
      <c r="J18" s="52">
        <f>J19+J20</f>
        <v>1448.1445000000001</v>
      </c>
      <c r="K18" s="10">
        <v>1448</v>
      </c>
      <c r="L18" s="10">
        <f>K18-J18</f>
        <v>-0.14450000000010732</v>
      </c>
    </row>
    <row r="19" spans="1:12" x14ac:dyDescent="0.25">
      <c r="A19" s="164" t="s">
        <v>543</v>
      </c>
      <c r="B19" s="98">
        <v>1</v>
      </c>
      <c r="C19" s="99">
        <v>12800</v>
      </c>
      <c r="D19" s="37">
        <f>B19*C19</f>
        <v>12800</v>
      </c>
      <c r="E19" s="39">
        <f>D19*0.1</f>
        <v>1280</v>
      </c>
      <c r="F19" s="98">
        <v>0</v>
      </c>
      <c r="G19" s="163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64" t="s">
        <v>542</v>
      </c>
      <c r="B20" s="102">
        <v>1</v>
      </c>
      <c r="C20" s="103">
        <v>9900</v>
      </c>
      <c r="D20" s="37">
        <f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41999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546</v>
      </c>
      <c r="B6" s="151"/>
      <c r="C6" s="151"/>
      <c r="D6" s="32"/>
      <c r="E6" s="92"/>
      <c r="F6" s="123"/>
      <c r="G6" s="124"/>
      <c r="H6" s="32"/>
      <c r="I6" s="2"/>
      <c r="J6" s="52">
        <f>J7</f>
        <v>553.553</v>
      </c>
      <c r="K6" s="10">
        <f>551+3</f>
        <v>554</v>
      </c>
      <c r="L6" s="10">
        <f>K6-J6</f>
        <v>0.44700000000000273</v>
      </c>
      <c r="M6" s="133"/>
    </row>
    <row r="7" spans="1:13" x14ac:dyDescent="0.25">
      <c r="A7" s="4" t="s">
        <v>547</v>
      </c>
      <c r="B7" s="4">
        <v>1</v>
      </c>
      <c r="C7" s="4">
        <v>7900</v>
      </c>
      <c r="D7" s="37">
        <f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2" t="s">
        <v>288</v>
      </c>
      <c r="B8" s="151"/>
      <c r="C8" s="151"/>
      <c r="D8" s="32"/>
      <c r="E8" s="92"/>
      <c r="F8" s="151"/>
      <c r="G8" s="151"/>
      <c r="H8" s="32"/>
      <c r="I8" s="2"/>
      <c r="J8" s="52">
        <f>J9+J10</f>
        <v>1064.5250000000001</v>
      </c>
      <c r="K8" s="10">
        <f>833+232</f>
        <v>1065</v>
      </c>
      <c r="L8" s="10">
        <f>K8-J8</f>
        <v>0.47499999999990905</v>
      </c>
    </row>
    <row r="9" spans="1:13" x14ac:dyDescent="0.25">
      <c r="A9" s="4" t="s">
        <v>547</v>
      </c>
      <c r="B9" s="4">
        <v>1</v>
      </c>
      <c r="C9" s="4">
        <v>7900</v>
      </c>
      <c r="D9" s="37">
        <f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376</v>
      </c>
      <c r="B10" s="4">
        <v>1</v>
      </c>
      <c r="C10" s="4">
        <v>7900</v>
      </c>
      <c r="D10" s="37">
        <f>B10*C10</f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2" t="s">
        <v>344</v>
      </c>
      <c r="B11" s="151"/>
      <c r="C11" s="151"/>
      <c r="D11" s="32"/>
      <c r="E11" s="92"/>
      <c r="F11" s="151"/>
      <c r="G11" s="151"/>
      <c r="H11" s="32"/>
      <c r="I11" s="2"/>
      <c r="J11" s="52">
        <f>J12</f>
        <v>532.82600000000002</v>
      </c>
      <c r="K11" s="10">
        <v>536</v>
      </c>
      <c r="L11" s="10">
        <f>K11-J11</f>
        <v>3.1739999999999782</v>
      </c>
    </row>
    <row r="12" spans="1:13" x14ac:dyDescent="0.25">
      <c r="A12" s="4" t="s">
        <v>437</v>
      </c>
      <c r="B12" s="4">
        <v>1</v>
      </c>
      <c r="C12" s="4">
        <v>6320</v>
      </c>
      <c r="D12" s="37">
        <f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2" t="s">
        <v>364</v>
      </c>
      <c r="B13" s="151"/>
      <c r="C13" s="151"/>
      <c r="D13" s="32"/>
      <c r="E13" s="92"/>
      <c r="F13" s="151"/>
      <c r="G13" s="151"/>
      <c r="H13" s="32"/>
      <c r="I13" s="2"/>
      <c r="J13" s="52">
        <f>J14</f>
        <v>1148.56</v>
      </c>
      <c r="K13" s="10">
        <f>1147+2</f>
        <v>1149</v>
      </c>
      <c r="L13" s="10">
        <f>K13-J13</f>
        <v>0.44000000000005457</v>
      </c>
    </row>
    <row r="14" spans="1:13" x14ac:dyDescent="0.25">
      <c r="A14" s="4" t="s">
        <v>548</v>
      </c>
      <c r="B14" s="4">
        <v>1</v>
      </c>
      <c r="C14" s="4">
        <v>17000</v>
      </c>
      <c r="D14" s="37">
        <f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42020</v>
      </c>
      <c r="D1" s="30"/>
    </row>
    <row r="2" spans="1:13" ht="21" x14ac:dyDescent="0.35">
      <c r="A2" s="55" t="s">
        <v>239</v>
      </c>
      <c r="B2" s="4"/>
      <c r="C2" s="16">
        <v>8220</v>
      </c>
      <c r="D2" s="30"/>
    </row>
    <row r="3" spans="1:13" ht="21" x14ac:dyDescent="0.35">
      <c r="A3" s="55" t="s">
        <v>240</v>
      </c>
      <c r="B3" s="4"/>
      <c r="C3" s="170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549</v>
      </c>
      <c r="B6" s="151"/>
      <c r="C6" s="151"/>
      <c r="D6" s="2"/>
      <c r="E6" s="2"/>
      <c r="F6" s="151"/>
      <c r="G6" s="151"/>
      <c r="H6" s="2"/>
      <c r="I6" s="2"/>
      <c r="J6" s="52">
        <f>J7</f>
        <v>943.08860000000004</v>
      </c>
      <c r="K6" s="10">
        <f>70</f>
        <v>70</v>
      </c>
      <c r="L6" s="171">
        <f>K6-J6</f>
        <v>-873.08860000000004</v>
      </c>
      <c r="M6" s="133"/>
    </row>
    <row r="7" spans="1:13" x14ac:dyDescent="0.25">
      <c r="A7" s="4" t="s">
        <v>550</v>
      </c>
      <c r="B7" s="4">
        <v>1</v>
      </c>
      <c r="C7" s="4">
        <v>10500</v>
      </c>
      <c r="D7" s="4">
        <f>B7*C7</f>
        <v>10500</v>
      </c>
      <c r="E7" s="4">
        <f>D7*0.1</f>
        <v>1050</v>
      </c>
      <c r="F7" s="167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2" t="s">
        <v>331</v>
      </c>
      <c r="B8" s="151"/>
      <c r="C8" s="151"/>
      <c r="D8" s="2"/>
      <c r="E8" s="2"/>
      <c r="F8" s="166"/>
      <c r="G8" s="151"/>
      <c r="H8" s="2"/>
      <c r="I8" s="2"/>
      <c r="J8" s="52">
        <f>J9+J10</f>
        <v>1624.4377199999999</v>
      </c>
      <c r="K8" s="10">
        <f>1372+100+60-23</f>
        <v>1509</v>
      </c>
      <c r="L8" s="10">
        <f>K8-J8</f>
        <v>-115.4377199999999</v>
      </c>
      <c r="M8" t="s">
        <v>568</v>
      </c>
    </row>
    <row r="9" spans="1:13" x14ac:dyDescent="0.25">
      <c r="A9" s="4" t="s">
        <v>551</v>
      </c>
      <c r="B9" s="4">
        <v>1</v>
      </c>
      <c r="C9" s="4">
        <v>10000</v>
      </c>
      <c r="D9" s="4">
        <f>B9*C9</f>
        <v>10000</v>
      </c>
      <c r="E9" s="4">
        <f>D9*0.1</f>
        <v>1000</v>
      </c>
      <c r="F9" s="168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565</v>
      </c>
      <c r="B10" s="4">
        <v>1</v>
      </c>
      <c r="C10" s="4">
        <v>8500</v>
      </c>
      <c r="D10" s="4">
        <f>B10*C10</f>
        <v>8500</v>
      </c>
      <c r="E10" s="4">
        <f>D10*0.1</f>
        <v>850</v>
      </c>
      <c r="F10" s="168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2" t="s">
        <v>552</v>
      </c>
      <c r="B11" s="151"/>
      <c r="C11" s="151"/>
      <c r="D11" s="2"/>
      <c r="E11" s="2"/>
      <c r="F11" s="166"/>
      <c r="G11" s="151"/>
      <c r="H11" s="2"/>
      <c r="I11" s="2"/>
      <c r="J11" s="52">
        <f>SUM(J12:J14)</f>
        <v>4068.8296</v>
      </c>
      <c r="K11" s="10">
        <f>1000+2736+280+53</f>
        <v>4069</v>
      </c>
      <c r="L11" s="10">
        <f>K11-J11</f>
        <v>0.17039999999997235</v>
      </c>
    </row>
    <row r="12" spans="1:13" x14ac:dyDescent="0.25">
      <c r="A12" s="169" t="s">
        <v>566</v>
      </c>
      <c r="B12" s="5">
        <v>2</v>
      </c>
      <c r="C12" s="5">
        <v>10900</v>
      </c>
      <c r="D12" s="4">
        <f>B12*C12</f>
        <v>21800</v>
      </c>
      <c r="E12" s="4">
        <f>D12*0.1</f>
        <v>2180</v>
      </c>
      <c r="F12" s="167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553</v>
      </c>
      <c r="B13" s="4">
        <v>1</v>
      </c>
      <c r="C13" s="4">
        <v>7920</v>
      </c>
      <c r="D13" s="4">
        <f>B13*C13</f>
        <v>7920</v>
      </c>
      <c r="E13" s="4">
        <f>D13*0.1</f>
        <v>792</v>
      </c>
      <c r="F13" s="168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554</v>
      </c>
      <c r="B14" s="4">
        <v>1</v>
      </c>
      <c r="C14" s="4">
        <v>19620</v>
      </c>
      <c r="D14" s="4">
        <f>B14*C14</f>
        <v>19620</v>
      </c>
      <c r="E14" s="4">
        <f>D14*0.1</f>
        <v>1962</v>
      </c>
      <c r="F14" s="168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2" t="s">
        <v>364</v>
      </c>
      <c r="B15" s="151"/>
      <c r="C15" s="151"/>
      <c r="D15" s="2"/>
      <c r="E15" s="2"/>
      <c r="F15" s="166"/>
      <c r="G15" s="151"/>
      <c r="H15" s="2"/>
      <c r="I15" s="2"/>
      <c r="J15" s="52">
        <f>SUM(J16:J19)</f>
        <v>3260.8399200000003</v>
      </c>
      <c r="K15" s="10">
        <f>2981+280</f>
        <v>3261</v>
      </c>
      <c r="L15" s="10">
        <f>K15-J15</f>
        <v>0.1600799999996525</v>
      </c>
    </row>
    <row r="16" spans="1:13" x14ac:dyDescent="0.25">
      <c r="A16" s="4" t="s">
        <v>555</v>
      </c>
      <c r="B16" s="4">
        <v>1</v>
      </c>
      <c r="C16" s="4">
        <v>12800</v>
      </c>
      <c r="D16" s="4">
        <f>B16*C16</f>
        <v>12800</v>
      </c>
      <c r="E16" s="4">
        <f>D16*0.1</f>
        <v>1280</v>
      </c>
      <c r="F16" s="168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565</v>
      </c>
      <c r="B17" s="4">
        <v>1</v>
      </c>
      <c r="C17" s="4">
        <v>8500</v>
      </c>
      <c r="D17" s="4">
        <f>B17*C17</f>
        <v>8500</v>
      </c>
      <c r="E17" s="4">
        <f>D17*0.1</f>
        <v>850</v>
      </c>
      <c r="F17" s="168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556</v>
      </c>
      <c r="B18" s="4">
        <v>1</v>
      </c>
      <c r="C18" s="4">
        <v>9900</v>
      </c>
      <c r="D18" s="4">
        <f>B18*C18</f>
        <v>9900</v>
      </c>
      <c r="E18" s="4">
        <f>D18*0.1</f>
        <v>990</v>
      </c>
      <c r="F18" s="168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557</v>
      </c>
      <c r="B19" s="4">
        <v>1</v>
      </c>
      <c r="C19" s="4">
        <v>3510</v>
      </c>
      <c r="D19" s="4">
        <f>B19*C19</f>
        <v>3510</v>
      </c>
      <c r="E19" s="4">
        <f>D19*0.1</f>
        <v>351</v>
      </c>
      <c r="F19" s="168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2" t="s">
        <v>558</v>
      </c>
      <c r="B20" s="151"/>
      <c r="C20" s="151"/>
      <c r="D20" s="2"/>
      <c r="E20" s="2"/>
      <c r="F20" s="166"/>
      <c r="G20" s="151"/>
      <c r="H20" s="2"/>
      <c r="I20" s="2"/>
      <c r="J20" s="52">
        <f>J21</f>
        <v>2690.5248000000001</v>
      </c>
      <c r="K20" s="10">
        <f>2746-55</f>
        <v>2691</v>
      </c>
      <c r="L20" s="10">
        <f>K20-J20</f>
        <v>0.47519999999985885</v>
      </c>
      <c r="M20" t="s">
        <v>567</v>
      </c>
    </row>
    <row r="21" spans="1:13" x14ac:dyDescent="0.25">
      <c r="A21" s="4" t="s">
        <v>559</v>
      </c>
      <c r="B21" s="4">
        <v>2</v>
      </c>
      <c r="C21" s="4">
        <v>16800</v>
      </c>
      <c r="D21" s="4">
        <f>B21*C21</f>
        <v>33600</v>
      </c>
      <c r="E21" s="4">
        <f>D21*0.1</f>
        <v>3360</v>
      </c>
      <c r="F21" s="168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2" t="s">
        <v>560</v>
      </c>
      <c r="B22" s="151"/>
      <c r="C22" s="151"/>
      <c r="D22" s="2"/>
      <c r="E22" s="2"/>
      <c r="F22" s="166"/>
      <c r="G22" s="151"/>
      <c r="H22" s="2"/>
      <c r="I22" s="2"/>
      <c r="J22" s="52">
        <f>J23</f>
        <v>537.37159999999994</v>
      </c>
      <c r="K22" s="10">
        <f>484+53</f>
        <v>537</v>
      </c>
      <c r="L22" s="10">
        <f>K22-J22</f>
        <v>-0.37159999999994398</v>
      </c>
    </row>
    <row r="23" spans="1:13" x14ac:dyDescent="0.25">
      <c r="A23" s="4" t="s">
        <v>561</v>
      </c>
      <c r="B23" s="4">
        <v>1</v>
      </c>
      <c r="C23" s="4">
        <v>6400</v>
      </c>
      <c r="D23" s="4">
        <f>B23*C23</f>
        <v>6400</v>
      </c>
      <c r="E23" s="4">
        <f>D23*0.1</f>
        <v>640</v>
      </c>
      <c r="F23" s="168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2" t="s">
        <v>562</v>
      </c>
      <c r="B24" s="151"/>
      <c r="C24" s="151"/>
      <c r="D24" s="2"/>
      <c r="E24" s="2"/>
      <c r="F24" s="166"/>
      <c r="G24" s="151"/>
      <c r="H24" s="2"/>
      <c r="I24" s="2"/>
      <c r="J24" s="52">
        <f>J25+J26</f>
        <v>2194.12248</v>
      </c>
      <c r="K24" s="10">
        <f>1972+222</f>
        <v>2194</v>
      </c>
      <c r="L24" s="10">
        <f>K24-J24</f>
        <v>-0.12247999999999593</v>
      </c>
    </row>
    <row r="25" spans="1:13" x14ac:dyDescent="0.25">
      <c r="A25" s="4" t="s">
        <v>563</v>
      </c>
      <c r="B25" s="4">
        <v>2</v>
      </c>
      <c r="C25" s="4">
        <v>7900</v>
      </c>
      <c r="D25" s="4">
        <f>B25*C25</f>
        <v>15800</v>
      </c>
      <c r="E25" s="4">
        <f>D25*0.1</f>
        <v>1580</v>
      </c>
      <c r="F25" s="168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564</v>
      </c>
      <c r="B26" s="4">
        <v>1</v>
      </c>
      <c r="C26" s="4">
        <v>9900</v>
      </c>
      <c r="D26" s="4">
        <f>B26*C26</f>
        <v>9900</v>
      </c>
      <c r="E26" s="4">
        <f>D26*0.1</f>
        <v>990</v>
      </c>
      <c r="F26" s="168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42048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70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500</v>
      </c>
      <c r="B6" s="151"/>
      <c r="C6" s="151"/>
      <c r="D6" s="2"/>
      <c r="E6" s="2"/>
      <c r="F6" s="151"/>
      <c r="G6" s="151"/>
      <c r="H6" s="2"/>
      <c r="I6" s="2"/>
      <c r="J6" s="52">
        <f>J7</f>
        <v>4531.9949999999999</v>
      </c>
      <c r="K6" s="10">
        <v>4626</v>
      </c>
      <c r="L6" s="10">
        <f>K6-J6</f>
        <v>94.005000000000109</v>
      </c>
      <c r="M6" s="133"/>
    </row>
    <row r="7" spans="1:13" x14ac:dyDescent="0.25">
      <c r="A7" s="5" t="s">
        <v>532</v>
      </c>
      <c r="B7" s="5">
        <v>5</v>
      </c>
      <c r="C7" s="161">
        <v>12000</v>
      </c>
      <c r="D7" s="4">
        <f>B7*C7</f>
        <v>60000</v>
      </c>
      <c r="E7" s="4">
        <f>D7*0.1</f>
        <v>6000</v>
      </c>
      <c r="F7" s="5">
        <v>0</v>
      </c>
      <c r="G7" s="161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2" t="s">
        <v>344</v>
      </c>
      <c r="B8" s="151"/>
      <c r="C8" s="151"/>
      <c r="D8" s="2"/>
      <c r="E8" s="2"/>
      <c r="F8" s="151"/>
      <c r="G8" s="151"/>
      <c r="H8" s="2"/>
      <c r="I8" s="2"/>
      <c r="J8" s="52">
        <f>J9</f>
        <v>569.25199999999995</v>
      </c>
      <c r="K8" s="10">
        <f>580-14</f>
        <v>566</v>
      </c>
      <c r="L8" s="10">
        <f>K8-J8</f>
        <v>-3.2519999999999527</v>
      </c>
      <c r="M8" s="133" t="s">
        <v>589</v>
      </c>
    </row>
    <row r="9" spans="1:13" x14ac:dyDescent="0.25">
      <c r="A9" s="5" t="s">
        <v>569</v>
      </c>
      <c r="B9" s="4">
        <v>1</v>
      </c>
      <c r="C9" s="4">
        <v>4200</v>
      </c>
      <c r="D9" s="4">
        <f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2" t="s">
        <v>302</v>
      </c>
      <c r="B10" s="151"/>
      <c r="C10" s="151"/>
      <c r="D10" s="2"/>
      <c r="E10" s="2"/>
      <c r="F10" s="151"/>
      <c r="G10" s="151"/>
      <c r="H10" s="2"/>
      <c r="I10" s="2"/>
      <c r="J10" s="52">
        <f>J11+J12</f>
        <v>1639.68</v>
      </c>
      <c r="K10" s="10">
        <f>2077-437</f>
        <v>1640</v>
      </c>
      <c r="L10" s="10">
        <f>K10-J10</f>
        <v>0.31999999999993634</v>
      </c>
      <c r="M10" t="s">
        <v>580</v>
      </c>
    </row>
    <row r="11" spans="1:13" x14ac:dyDescent="0.25">
      <c r="A11" s="4" t="s">
        <v>570</v>
      </c>
      <c r="B11" s="4">
        <v>1</v>
      </c>
      <c r="C11" s="4">
        <v>8000</v>
      </c>
      <c r="D11" s="4">
        <f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571</v>
      </c>
      <c r="B12" s="4">
        <v>1</v>
      </c>
      <c r="C12" s="4">
        <v>15000</v>
      </c>
      <c r="D12" s="4">
        <f>B12*C12</f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2" t="s">
        <v>2</v>
      </c>
      <c r="B13" s="151"/>
      <c r="C13" s="151"/>
      <c r="D13" s="2"/>
      <c r="E13" s="2"/>
      <c r="F13" s="151"/>
      <c r="G13" s="151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581</v>
      </c>
    </row>
    <row r="14" spans="1:13" x14ac:dyDescent="0.25">
      <c r="A14" s="4" t="s">
        <v>572</v>
      </c>
      <c r="B14" s="4">
        <v>1</v>
      </c>
      <c r="C14" s="4">
        <v>8900</v>
      </c>
      <c r="D14" s="4">
        <f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573</v>
      </c>
      <c r="B15" s="4">
        <v>1</v>
      </c>
      <c r="C15" s="4">
        <v>5900</v>
      </c>
      <c r="D15" s="4">
        <f>B15*C15</f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574</v>
      </c>
      <c r="B16" s="4">
        <v>1</v>
      </c>
      <c r="C16" s="4">
        <v>5280</v>
      </c>
      <c r="D16" s="4">
        <f>B16*C16</f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2" t="s">
        <v>382</v>
      </c>
      <c r="B17" s="151"/>
      <c r="C17" s="151"/>
      <c r="D17" s="2"/>
      <c r="E17" s="2"/>
      <c r="F17" s="151"/>
      <c r="G17" s="151"/>
      <c r="H17" s="2"/>
      <c r="I17" s="2"/>
      <c r="J17" s="52">
        <f>SUM(J18:J20)</f>
        <v>2498.8650000000002</v>
      </c>
      <c r="K17" s="10">
        <f>2590-91</f>
        <v>2499</v>
      </c>
      <c r="L17" s="10">
        <f>K17-J17</f>
        <v>0.13499999999976353</v>
      </c>
      <c r="M17" t="s">
        <v>579</v>
      </c>
    </row>
    <row r="18" spans="1:13" x14ac:dyDescent="0.25">
      <c r="A18" s="17" t="s">
        <v>575</v>
      </c>
      <c r="B18" s="4">
        <v>1</v>
      </c>
      <c r="C18" s="4">
        <v>9900</v>
      </c>
      <c r="D18" s="4">
        <f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577</v>
      </c>
      <c r="B19" s="4">
        <v>1</v>
      </c>
      <c r="C19" s="4">
        <v>9900</v>
      </c>
      <c r="D19" s="4">
        <f>B19*C19</f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576</v>
      </c>
      <c r="B20" s="4">
        <v>1</v>
      </c>
      <c r="C20" s="4">
        <v>9900</v>
      </c>
      <c r="D20" s="4">
        <f>B20*C20</f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42076</v>
      </c>
      <c r="D1" s="30"/>
    </row>
    <row r="2" spans="1:13" ht="21" x14ac:dyDescent="0.35">
      <c r="A2" s="55" t="s">
        <v>239</v>
      </c>
      <c r="B2" s="4"/>
      <c r="C2" s="16">
        <v>8530</v>
      </c>
      <c r="D2" s="30"/>
    </row>
    <row r="3" spans="1:13" ht="21" x14ac:dyDescent="0.35">
      <c r="A3" s="55" t="s">
        <v>240</v>
      </c>
      <c r="B3" s="4"/>
      <c r="C3" s="170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492</v>
      </c>
      <c r="B6" s="151"/>
      <c r="C6" s="151"/>
      <c r="D6" s="151"/>
      <c r="E6" s="2"/>
      <c r="F6" s="151"/>
      <c r="G6" s="151"/>
      <c r="H6" s="2"/>
      <c r="I6" s="2"/>
      <c r="J6" s="52">
        <f>J7</f>
        <v>1771.0793000000001</v>
      </c>
      <c r="K6" s="10">
        <v>1771</v>
      </c>
      <c r="L6" s="10">
        <f>K6-J6</f>
        <v>-7.9300000000102955E-2</v>
      </c>
      <c r="M6" s="133"/>
    </row>
    <row r="7" spans="1:13" x14ac:dyDescent="0.25">
      <c r="A7" s="4" t="s">
        <v>582</v>
      </c>
      <c r="B7" s="4">
        <v>2</v>
      </c>
      <c r="C7" s="161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2" t="s">
        <v>500</v>
      </c>
      <c r="B8" s="151"/>
      <c r="C8" s="151"/>
      <c r="D8" s="151"/>
      <c r="E8" s="2"/>
      <c r="F8" s="151"/>
      <c r="G8" s="151"/>
      <c r="H8" s="2"/>
      <c r="I8" s="2"/>
      <c r="J8" s="52">
        <f>J9</f>
        <v>4466.9074100000007</v>
      </c>
      <c r="K8" s="10">
        <v>4373</v>
      </c>
      <c r="L8" s="10">
        <f>K8-J8</f>
        <v>-93.907410000000709</v>
      </c>
      <c r="M8" s="133"/>
    </row>
    <row r="9" spans="1:13" x14ac:dyDescent="0.25">
      <c r="A9" s="5" t="s">
        <v>532</v>
      </c>
      <c r="B9" s="5">
        <v>7</v>
      </c>
      <c r="C9" s="161">
        <v>8900</v>
      </c>
      <c r="D9" s="5">
        <f>B9*C9</f>
        <v>62300</v>
      </c>
      <c r="E9" s="4">
        <f>D9*0.1</f>
        <v>6230</v>
      </c>
      <c r="F9" s="5">
        <v>0</v>
      </c>
      <c r="G9" s="161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2" t="s">
        <v>583</v>
      </c>
      <c r="B10" s="151"/>
      <c r="C10" s="151"/>
      <c r="D10" s="151"/>
      <c r="E10" s="2"/>
      <c r="F10" s="151"/>
      <c r="G10" s="151"/>
      <c r="H10" s="2"/>
      <c r="I10" s="2"/>
      <c r="J10" s="52">
        <f>J11</f>
        <v>694.03960000000006</v>
      </c>
      <c r="K10" s="10">
        <v>694</v>
      </c>
      <c r="L10" s="10">
        <f>K10-J10</f>
        <v>-3.9600000000064028E-2</v>
      </c>
      <c r="M10" s="133"/>
    </row>
    <row r="11" spans="1:13" x14ac:dyDescent="0.25">
      <c r="A11" s="4" t="s">
        <v>584</v>
      </c>
      <c r="B11" s="5">
        <v>1</v>
      </c>
      <c r="C11" s="5">
        <v>9900</v>
      </c>
      <c r="D11" s="5">
        <f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2" t="s">
        <v>585</v>
      </c>
      <c r="B12" s="151"/>
      <c r="C12" s="151"/>
      <c r="D12" s="151"/>
      <c r="E12" s="2"/>
      <c r="F12" s="151"/>
      <c r="G12" s="151"/>
      <c r="H12" s="2"/>
      <c r="I12" s="2"/>
      <c r="J12" s="52">
        <f>J13</f>
        <v>641.14359999999999</v>
      </c>
      <c r="K12" s="10">
        <v>641</v>
      </c>
      <c r="L12" s="10">
        <f>K12-J12</f>
        <v>-0.14359999999999218</v>
      </c>
      <c r="M12" s="133"/>
    </row>
    <row r="13" spans="1:13" x14ac:dyDescent="0.25">
      <c r="A13" s="4" t="s">
        <v>586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2" t="s">
        <v>588</v>
      </c>
      <c r="B14" s="151"/>
      <c r="C14" s="151"/>
      <c r="D14" s="151"/>
      <c r="E14" s="2"/>
      <c r="F14" s="151"/>
      <c r="G14" s="151"/>
      <c r="H14" s="2"/>
      <c r="I14" s="2"/>
      <c r="J14" s="52">
        <f>J15</f>
        <v>1276.25926</v>
      </c>
      <c r="K14" s="10">
        <v>1276</v>
      </c>
      <c r="L14" s="10">
        <f>K14-J14</f>
        <v>-0.25926000000004024</v>
      </c>
      <c r="M14" s="133"/>
    </row>
    <row r="15" spans="1:13" x14ac:dyDescent="0.25">
      <c r="A15" s="5" t="s">
        <v>310</v>
      </c>
      <c r="B15" s="5">
        <v>2</v>
      </c>
      <c r="C15" s="161">
        <v>8900</v>
      </c>
      <c r="D15" s="5">
        <f>B15*C15</f>
        <v>17800</v>
      </c>
      <c r="E15" s="4">
        <f>D15*0.1</f>
        <v>1780</v>
      </c>
      <c r="F15" s="5">
        <v>0</v>
      </c>
      <c r="G15" s="161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>B12*C12</f>
        <v>13.3</v>
      </c>
      <c r="E12" s="4">
        <f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0">G12*$C$2</f>
        <v>2.504</v>
      </c>
      <c r="I12" s="4">
        <f t="shared" ref="I12:I22" si="1">D12+F12+H12+E12</f>
        <v>17.149000000000001</v>
      </c>
      <c r="J12" s="9">
        <f t="shared" ref="J12:J64" si="2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>B13*C13</f>
        <v>4.58</v>
      </c>
      <c r="E13" s="4">
        <f>D13*0.05</f>
        <v>0.22900000000000001</v>
      </c>
      <c r="F13" s="18">
        <f>2.38/6</f>
        <v>0.39666666666666667</v>
      </c>
      <c r="G13" s="4">
        <f>0.2*B13</f>
        <v>0.2</v>
      </c>
      <c r="H13" s="4">
        <f t="shared" si="0"/>
        <v>1.252</v>
      </c>
      <c r="I13" s="4">
        <f t="shared" si="1"/>
        <v>6.4576666666666664</v>
      </c>
      <c r="J13" s="9">
        <f t="shared" si="2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>B14*C14</f>
        <v>7.49</v>
      </c>
      <c r="E14" s="4">
        <f>D14*0.05</f>
        <v>0.37450000000000006</v>
      </c>
      <c r="F14" s="12">
        <v>0</v>
      </c>
      <c r="G14" s="4">
        <v>0.3</v>
      </c>
      <c r="H14" s="4">
        <f t="shared" si="0"/>
        <v>1.8779999999999999</v>
      </c>
      <c r="I14" s="4">
        <f t="shared" si="1"/>
        <v>9.7424999999999997</v>
      </c>
      <c r="J14" s="9">
        <f t="shared" si="2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0"/>
        <v>5.6339999999999995</v>
      </c>
      <c r="I16" s="4">
        <f t="shared" si="1"/>
        <v>44.473500000000001</v>
      </c>
      <c r="J16" s="9">
        <f t="shared" si="2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>D17*0.05</f>
        <v>1.2000000000000002</v>
      </c>
      <c r="F17" s="4">
        <f>2.38</f>
        <v>2.38</v>
      </c>
      <c r="G17" s="4">
        <f>0.3*B17</f>
        <v>0.89999999999999991</v>
      </c>
      <c r="H17" s="4">
        <f t="shared" si="0"/>
        <v>5.6339999999999995</v>
      </c>
      <c r="I17" s="4">
        <f t="shared" si="1"/>
        <v>33.213999999999999</v>
      </c>
      <c r="J17" s="9">
        <f t="shared" si="2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>D18*0.05</f>
        <v>0.2135</v>
      </c>
      <c r="F18" s="4">
        <v>2.38</v>
      </c>
      <c r="G18" s="4">
        <v>0.2</v>
      </c>
      <c r="H18" s="4">
        <f t="shared" si="0"/>
        <v>1.252</v>
      </c>
      <c r="I18" s="4">
        <f t="shared" si="1"/>
        <v>8.115499999999999</v>
      </c>
      <c r="J18" s="9">
        <f t="shared" si="2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>D19*0.05</f>
        <v>0.23475000000000001</v>
      </c>
      <c r="F19" s="18">
        <v>0</v>
      </c>
      <c r="G19" s="4">
        <f>0.2/2*B19</f>
        <v>0.1</v>
      </c>
      <c r="H19" s="4">
        <f t="shared" si="0"/>
        <v>0.626</v>
      </c>
      <c r="I19" s="4">
        <f t="shared" si="1"/>
        <v>5.5557500000000006</v>
      </c>
      <c r="J19" s="9">
        <f t="shared" si="2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>K20-J20</f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0"/>
        <v>3.7560000000000002</v>
      </c>
      <c r="I21" s="4">
        <f t="shared" si="1"/>
        <v>25.723500000000001</v>
      </c>
      <c r="J21" s="9">
        <f t="shared" si="2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0"/>
        <v>5.6339999999999995</v>
      </c>
      <c r="I22" s="4">
        <f t="shared" si="1"/>
        <v>16.907500000000002</v>
      </c>
      <c r="J22" s="9">
        <f t="shared" si="2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>K23-J23</f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2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>D25*0.05</f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2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2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2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>D29*0.05</f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2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2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>G32*$C$2</f>
        <v>0.626</v>
      </c>
      <c r="I32" s="4">
        <f>D32+F32+H32+E32</f>
        <v>5.5557500000000006</v>
      </c>
      <c r="J32" s="9">
        <f t="shared" si="2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>K33-J33</f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 t="shared" ref="E34:E39" si="3">D34*0.05</f>
        <v>0.38850000000000001</v>
      </c>
      <c r="F34" s="4">
        <v>0</v>
      </c>
      <c r="G34" s="4">
        <v>0.4</v>
      </c>
      <c r="H34" s="4">
        <f t="shared" ref="H34:H39" si="4">G34*$C$2</f>
        <v>2.504</v>
      </c>
      <c r="I34" s="4">
        <f t="shared" ref="I34:I39" si="5">D34+F34+H34+E34</f>
        <v>10.6625</v>
      </c>
      <c r="J34" s="9">
        <f t="shared" si="2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si="3"/>
        <v>0.41050000000000009</v>
      </c>
      <c r="F35" s="4">
        <v>0</v>
      </c>
      <c r="G35" s="4">
        <v>0.2</v>
      </c>
      <c r="H35" s="4">
        <f t="shared" si="4"/>
        <v>1.252</v>
      </c>
      <c r="I35" s="4">
        <f t="shared" si="5"/>
        <v>9.8725000000000023</v>
      </c>
      <c r="J35" s="9">
        <f t="shared" si="2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3"/>
        <v>0.36800000000000005</v>
      </c>
      <c r="F36" s="4">
        <v>0</v>
      </c>
      <c r="G36" s="4">
        <v>0.2</v>
      </c>
      <c r="H36" s="4">
        <f t="shared" si="4"/>
        <v>1.252</v>
      </c>
      <c r="I36" s="4">
        <f t="shared" si="5"/>
        <v>8.98</v>
      </c>
      <c r="J36" s="9">
        <f t="shared" si="2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3"/>
        <v>0.38850000000000001</v>
      </c>
      <c r="F37" s="4">
        <v>0</v>
      </c>
      <c r="G37" s="4">
        <v>0.2</v>
      </c>
      <c r="H37" s="4">
        <f t="shared" si="4"/>
        <v>1.252</v>
      </c>
      <c r="I37" s="4">
        <f t="shared" si="5"/>
        <v>9.4105000000000008</v>
      </c>
      <c r="J37" s="9">
        <f t="shared" si="2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3"/>
        <v>0.38850000000000001</v>
      </c>
      <c r="F38" s="4">
        <v>0</v>
      </c>
      <c r="G38" s="4">
        <v>0.3</v>
      </c>
      <c r="H38" s="4">
        <f t="shared" si="4"/>
        <v>1.8779999999999999</v>
      </c>
      <c r="I38" s="4">
        <f t="shared" si="5"/>
        <v>10.0365</v>
      </c>
      <c r="J38" s="9">
        <f t="shared" si="2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3"/>
        <v>0.56500000000000006</v>
      </c>
      <c r="F39" s="4">
        <v>0</v>
      </c>
      <c r="G39" s="4">
        <v>0.3</v>
      </c>
      <c r="H39" s="4">
        <f t="shared" si="4"/>
        <v>1.8779999999999999</v>
      </c>
      <c r="I39" s="4">
        <f t="shared" si="5"/>
        <v>13.743</v>
      </c>
      <c r="J39" s="9">
        <f t="shared" si="2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>K40-J40</f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>B41*C41</f>
        <v>4.58</v>
      </c>
      <c r="E41" s="4">
        <f>D41*0.05</f>
        <v>0.22900000000000001</v>
      </c>
      <c r="F41" s="18">
        <f>2.38/6</f>
        <v>0.39666666666666667</v>
      </c>
      <c r="G41" s="4">
        <f>0.2*B41</f>
        <v>0.2</v>
      </c>
      <c r="H41" s="4">
        <f>G41*$C$2</f>
        <v>1.252</v>
      </c>
      <c r="I41" s="4">
        <f>D41+F41+H41+E41</f>
        <v>6.4576666666666664</v>
      </c>
      <c r="J41" s="9">
        <f t="shared" si="2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>K42-J42</f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2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2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2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2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>D48*0.05</f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2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>D49*0.05</f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2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>D50*0.05</f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2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>K51-J51</f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2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>B53*C53</f>
        <v>11</v>
      </c>
      <c r="E53" s="4">
        <f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2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>D54*0.05</f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2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2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>B57*C57</f>
        <v>11</v>
      </c>
      <c r="E57" s="4">
        <f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2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>B58*C58</f>
        <v>10.23</v>
      </c>
      <c r="E58" s="4">
        <f>D58*0.05</f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2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>B59*C59</f>
        <v>9.16</v>
      </c>
      <c r="E59" s="4">
        <f>D59*0.05</f>
        <v>0.45800000000000002</v>
      </c>
      <c r="F59" s="18">
        <f>2.38/6</f>
        <v>0.39666666666666667</v>
      </c>
      <c r="G59" s="4">
        <f>0.2*B59</f>
        <v>0.4</v>
      </c>
      <c r="H59" s="4">
        <f>G59*$C$2</f>
        <v>2.504</v>
      </c>
      <c r="I59" s="4">
        <f>D59+F59+H59+E59</f>
        <v>12.518666666666666</v>
      </c>
      <c r="J59" s="9">
        <f t="shared" si="2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>B60*C60</f>
        <v>7.86</v>
      </c>
      <c r="E60" s="4">
        <f>D60*0.05</f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2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>K61-J61</f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2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2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>B64*C64</f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2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>K65-J65</f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>I67*$C$4</f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>K68-J68</f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>K70-J70</f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>K72-J72</f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6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>K74-J74</f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6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7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6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7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6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7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6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7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6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7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6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219</v>
      </c>
      <c r="B1" s="4"/>
      <c r="C1" s="15">
        <v>42093</v>
      </c>
      <c r="D1" s="30"/>
    </row>
    <row r="2" spans="1:13" ht="21" x14ac:dyDescent="0.35">
      <c r="A2" s="55" t="s">
        <v>239</v>
      </c>
      <c r="B2" s="4"/>
      <c r="C2" s="16">
        <v>7650</v>
      </c>
      <c r="D2" s="30"/>
      <c r="E2" s="184" t="s">
        <v>647</v>
      </c>
    </row>
    <row r="3" spans="1:13" ht="21" x14ac:dyDescent="0.35">
      <c r="A3" s="55" t="s">
        <v>240</v>
      </c>
      <c r="B3" s="4"/>
      <c r="C3" s="185">
        <v>5.2999999999999999E-2</v>
      </c>
      <c r="D3" s="30"/>
      <c r="E3" s="184" t="s">
        <v>648</v>
      </c>
    </row>
    <row r="4" spans="1:13" ht="21.75" thickBot="1" x14ac:dyDescent="0.4">
      <c r="F4" s="184"/>
    </row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588</v>
      </c>
      <c r="B6" s="123"/>
      <c r="C6" s="124"/>
      <c r="D6" s="32"/>
      <c r="E6" s="92"/>
      <c r="F6" s="177"/>
      <c r="G6" s="124"/>
      <c r="H6" s="32"/>
      <c r="I6" s="2"/>
      <c r="J6" s="52">
        <f>SUM(J7:J12)</f>
        <v>3182.4247500000001</v>
      </c>
      <c r="K6" s="10">
        <f>3889-706</f>
        <v>3183</v>
      </c>
      <c r="L6" s="10">
        <f>K6-J6</f>
        <v>0.57524999999986903</v>
      </c>
      <c r="M6" t="s">
        <v>654</v>
      </c>
    </row>
    <row r="7" spans="1:13" x14ac:dyDescent="0.25">
      <c r="A7" s="130" t="s">
        <v>590</v>
      </c>
      <c r="B7" s="98">
        <v>1</v>
      </c>
      <c r="C7" s="99">
        <v>5800</v>
      </c>
      <c r="D7" s="37">
        <f t="shared" ref="D7:D12" si="0">B7*C7</f>
        <v>5800</v>
      </c>
      <c r="E7" s="39">
        <f t="shared" ref="E7:E12" si="1">D7*0.1</f>
        <v>580</v>
      </c>
      <c r="F7" s="98">
        <f>2500/2</f>
        <v>1250</v>
      </c>
      <c r="G7" s="4">
        <v>6.5000000000000002E-2</v>
      </c>
      <c r="H7" s="37">
        <f t="shared" ref="H7:H12" si="2">G7*B7</f>
        <v>6.5000000000000002E-2</v>
      </c>
      <c r="I7" s="4">
        <f t="shared" ref="I7:I12" si="3">H7*$C$2</f>
        <v>497.25</v>
      </c>
      <c r="J7" s="51">
        <f t="shared" ref="J7:J12" si="4">(D7+E7+F7+I7)*$C$3</f>
        <v>430.74424999999997</v>
      </c>
      <c r="K7" s="6"/>
      <c r="L7" s="17"/>
    </row>
    <row r="8" spans="1:13" x14ac:dyDescent="0.25">
      <c r="A8" s="130" t="s">
        <v>591</v>
      </c>
      <c r="B8" s="98">
        <v>1</v>
      </c>
      <c r="C8" s="99">
        <v>4060</v>
      </c>
      <c r="D8" s="37">
        <f>B8*C8</f>
        <v>4060</v>
      </c>
      <c r="E8" s="39">
        <f t="shared" si="1"/>
        <v>406</v>
      </c>
      <c r="F8" s="98">
        <v>2500</v>
      </c>
      <c r="G8" s="4">
        <v>0.05</v>
      </c>
      <c r="H8" s="37">
        <f t="shared" si="2"/>
        <v>0.05</v>
      </c>
      <c r="I8" s="4">
        <f t="shared" si="3"/>
        <v>382.5</v>
      </c>
      <c r="J8" s="51">
        <f t="shared" si="4"/>
        <v>389.47050000000002</v>
      </c>
      <c r="K8" s="6"/>
      <c r="L8" s="17"/>
    </row>
    <row r="9" spans="1:13" x14ac:dyDescent="0.25">
      <c r="A9" s="130" t="s">
        <v>592</v>
      </c>
      <c r="B9" s="98">
        <v>1</v>
      </c>
      <c r="C9" s="99">
        <v>7530</v>
      </c>
      <c r="D9" s="37">
        <f>B9*C9</f>
        <v>7530</v>
      </c>
      <c r="E9" s="39">
        <f t="shared" si="1"/>
        <v>753</v>
      </c>
      <c r="F9" s="98">
        <v>2500</v>
      </c>
      <c r="G9" s="4">
        <v>0.1</v>
      </c>
      <c r="H9" s="37">
        <f t="shared" si="2"/>
        <v>0.1</v>
      </c>
      <c r="I9" s="4">
        <f t="shared" si="3"/>
        <v>765</v>
      </c>
      <c r="J9" s="51">
        <f t="shared" si="4"/>
        <v>612.04399999999998</v>
      </c>
      <c r="K9" s="6"/>
      <c r="L9" s="17"/>
    </row>
    <row r="10" spans="1:13" x14ac:dyDescent="0.25">
      <c r="A10" s="130" t="s">
        <v>593</v>
      </c>
      <c r="B10" s="98">
        <v>1</v>
      </c>
      <c r="C10" s="99">
        <v>10900</v>
      </c>
      <c r="D10" s="37">
        <f t="shared" si="0"/>
        <v>10900</v>
      </c>
      <c r="E10" s="39">
        <f t="shared" si="1"/>
        <v>1090</v>
      </c>
      <c r="F10" s="98">
        <v>2500</v>
      </c>
      <c r="G10" s="4">
        <v>0.14000000000000001</v>
      </c>
      <c r="H10" s="37">
        <f t="shared" si="2"/>
        <v>0.14000000000000001</v>
      </c>
      <c r="I10" s="4">
        <f t="shared" si="3"/>
        <v>1071</v>
      </c>
      <c r="J10" s="51">
        <f t="shared" si="4"/>
        <v>824.73299999999995</v>
      </c>
      <c r="K10" s="6"/>
      <c r="L10" s="17"/>
    </row>
    <row r="11" spans="1:13" x14ac:dyDescent="0.25">
      <c r="A11" s="130" t="s">
        <v>594</v>
      </c>
      <c r="B11" s="186" t="s">
        <v>651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0" t="s">
        <v>595</v>
      </c>
      <c r="B12" s="98">
        <v>1</v>
      </c>
      <c r="C12" s="99">
        <v>14900</v>
      </c>
      <c r="D12" s="37">
        <f t="shared" si="0"/>
        <v>14900</v>
      </c>
      <c r="E12" s="39">
        <f t="shared" si="1"/>
        <v>1490</v>
      </c>
      <c r="F12" s="98">
        <v>0</v>
      </c>
      <c r="G12" s="115">
        <v>0.14000000000000001</v>
      </c>
      <c r="H12" s="37">
        <f t="shared" si="2"/>
        <v>0.14000000000000001</v>
      </c>
      <c r="I12" s="4">
        <f t="shared" si="3"/>
        <v>1071</v>
      </c>
      <c r="J12" s="51">
        <f t="shared" si="4"/>
        <v>925.43299999999999</v>
      </c>
      <c r="K12" s="6"/>
      <c r="L12" s="17"/>
    </row>
    <row r="13" spans="1:13" ht="31.5" x14ac:dyDescent="0.5">
      <c r="A13" s="142" t="s">
        <v>22</v>
      </c>
      <c r="B13" s="123"/>
      <c r="C13" s="124"/>
      <c r="D13" s="32"/>
      <c r="E13" s="92"/>
      <c r="F13" s="177"/>
      <c r="G13" s="124"/>
      <c r="H13" s="32"/>
      <c r="I13" s="2"/>
      <c r="J13" s="52">
        <f>J14+J15</f>
        <v>2094.3744999999999</v>
      </c>
      <c r="K13" s="10">
        <v>2155</v>
      </c>
      <c r="L13" s="10">
        <f>K13-J13</f>
        <v>60.625500000000102</v>
      </c>
    </row>
    <row r="14" spans="1:13" x14ac:dyDescent="0.25">
      <c r="A14" s="39" t="s">
        <v>596</v>
      </c>
      <c r="B14" s="98">
        <v>1</v>
      </c>
      <c r="C14" s="99">
        <v>16490</v>
      </c>
      <c r="D14" s="37">
        <f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597</v>
      </c>
      <c r="B15" s="98">
        <v>1</v>
      </c>
      <c r="C15" s="99">
        <v>12000</v>
      </c>
      <c r="D15" s="37">
        <f>B15*C15</f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2" t="s">
        <v>382</v>
      </c>
      <c r="B16" s="123"/>
      <c r="C16" s="124"/>
      <c r="D16" s="32"/>
      <c r="E16" s="92"/>
      <c r="F16" s="177"/>
      <c r="G16" s="124"/>
      <c r="H16" s="32"/>
      <c r="I16" s="2"/>
      <c r="J16" s="52">
        <f>J17+J18</f>
        <v>1538.5369999999998</v>
      </c>
      <c r="K16" s="10">
        <v>1525</v>
      </c>
      <c r="L16" s="10">
        <f>K16-J16</f>
        <v>-13.536999999999807</v>
      </c>
    </row>
    <row r="17" spans="1:12" x14ac:dyDescent="0.25">
      <c r="A17" s="39" t="s">
        <v>598</v>
      </c>
      <c r="B17" s="98">
        <v>1</v>
      </c>
      <c r="C17" s="99">
        <v>9900</v>
      </c>
      <c r="D17" s="37">
        <f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0" t="s">
        <v>599</v>
      </c>
      <c r="B18" s="98">
        <v>1</v>
      </c>
      <c r="C18" s="99">
        <v>11900</v>
      </c>
      <c r="D18" s="37">
        <f>B18*C18</f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2" t="s">
        <v>288</v>
      </c>
      <c r="B19" s="123"/>
      <c r="C19" s="124"/>
      <c r="D19" s="32"/>
      <c r="E19" s="92"/>
      <c r="F19" s="177"/>
      <c r="G19" s="124"/>
      <c r="H19" s="32"/>
      <c r="I19" s="2"/>
      <c r="J19" s="52">
        <f>SUM(J20:J22)</f>
        <v>2107.598</v>
      </c>
      <c r="K19" s="10">
        <v>2119</v>
      </c>
      <c r="L19" s="10">
        <f>K19-J19</f>
        <v>11.402000000000044</v>
      </c>
    </row>
    <row r="20" spans="1:12" x14ac:dyDescent="0.25">
      <c r="A20" s="39" t="s">
        <v>600</v>
      </c>
      <c r="B20" s="98">
        <v>1</v>
      </c>
      <c r="C20" s="99">
        <v>9900</v>
      </c>
      <c r="D20" s="37">
        <f>B20*C20</f>
        <v>9900</v>
      </c>
      <c r="E20" s="39">
        <f>D20*0.1</f>
        <v>990</v>
      </c>
      <c r="F20" s="182">
        <v>0</v>
      </c>
      <c r="G20" s="183">
        <v>0.2</v>
      </c>
      <c r="H20" s="37">
        <f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360</v>
      </c>
      <c r="B21" s="98">
        <v>1</v>
      </c>
      <c r="C21" s="137">
        <v>11900</v>
      </c>
      <c r="D21" s="37">
        <f>B21*C21</f>
        <v>11900</v>
      </c>
      <c r="E21" s="39">
        <f>D21*0.1</f>
        <v>1190</v>
      </c>
      <c r="F21" s="182">
        <v>0</v>
      </c>
      <c r="G21" s="183">
        <v>0.25</v>
      </c>
      <c r="H21" s="37">
        <f>G21*B21</f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601</v>
      </c>
      <c r="B22" s="98">
        <v>1</v>
      </c>
      <c r="C22" s="99">
        <v>9900</v>
      </c>
      <c r="D22" s="37">
        <f>B22*C22</f>
        <v>9900</v>
      </c>
      <c r="E22" s="39">
        <f>D22*0.1</f>
        <v>990</v>
      </c>
      <c r="F22" s="182">
        <v>0</v>
      </c>
      <c r="G22" s="183">
        <v>0.19</v>
      </c>
      <c r="H22" s="37">
        <f>G22*B22</f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2" t="s">
        <v>604</v>
      </c>
      <c r="B23" s="123"/>
      <c r="C23" s="124"/>
      <c r="D23" s="32"/>
      <c r="E23" s="92"/>
      <c r="F23" s="177"/>
      <c r="G23" s="124"/>
      <c r="H23" s="32"/>
      <c r="I23" s="2"/>
      <c r="J23" s="52">
        <f>SUM(J24:J26)</f>
        <v>1018.024</v>
      </c>
      <c r="K23" s="10">
        <f>1012+6</f>
        <v>1018</v>
      </c>
      <c r="L23" s="10">
        <f>K23-J23</f>
        <v>-2.4000000000000909E-2</v>
      </c>
    </row>
    <row r="24" spans="1:12" x14ac:dyDescent="0.25">
      <c r="A24" s="178" t="s">
        <v>605</v>
      </c>
      <c r="B24" s="98">
        <v>1</v>
      </c>
      <c r="C24" s="99">
        <f>9900/3*2</f>
        <v>6600</v>
      </c>
      <c r="D24" s="37">
        <f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78" t="s">
        <v>57</v>
      </c>
      <c r="B25" s="98">
        <v>1</v>
      </c>
      <c r="C25" s="99">
        <v>5900</v>
      </c>
      <c r="D25" s="37">
        <f>B25*C25</f>
        <v>5900</v>
      </c>
      <c r="E25" s="39">
        <f>D25*0.1</f>
        <v>590</v>
      </c>
      <c r="F25" s="98">
        <v>2500</v>
      </c>
      <c r="G25" s="5">
        <v>0.24</v>
      </c>
      <c r="H25" s="37">
        <f>G25*B25</f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78" t="s">
        <v>606</v>
      </c>
      <c r="B26" s="186" t="s">
        <v>651</v>
      </c>
      <c r="C26" s="99"/>
      <c r="D26" s="37"/>
      <c r="E26" s="39"/>
      <c r="F26" s="98"/>
      <c r="G26" s="115"/>
      <c r="H26" s="37"/>
      <c r="I26" s="4"/>
      <c r="J26" s="51"/>
      <c r="K26" s="6"/>
      <c r="L26" s="17"/>
    </row>
    <row r="27" spans="1:12" ht="31.5" x14ac:dyDescent="0.5">
      <c r="A27" s="142" t="s">
        <v>331</v>
      </c>
      <c r="B27" s="123"/>
      <c r="C27" s="124"/>
      <c r="D27" s="32"/>
      <c r="E27" s="92"/>
      <c r="F27" s="123"/>
      <c r="G27" s="97"/>
      <c r="H27" s="32"/>
      <c r="I27" s="2"/>
      <c r="J27" s="52">
        <f>J28+J29</f>
        <v>1543.1479999999999</v>
      </c>
      <c r="K27" s="10">
        <v>1615</v>
      </c>
      <c r="L27" s="10">
        <f>K27-J27</f>
        <v>71.852000000000089</v>
      </c>
    </row>
    <row r="28" spans="1:12" x14ac:dyDescent="0.25">
      <c r="A28" s="130" t="s">
        <v>607</v>
      </c>
      <c r="B28" s="98">
        <v>1</v>
      </c>
      <c r="C28" s="99">
        <v>14900</v>
      </c>
      <c r="D28" s="37">
        <f>B28*C28</f>
        <v>14900</v>
      </c>
      <c r="E28" s="39">
        <f>D28*0.1</f>
        <v>1490</v>
      </c>
      <c r="F28" s="98">
        <v>0</v>
      </c>
      <c r="G28" s="115">
        <v>0.12</v>
      </c>
      <c r="H28" s="37">
        <f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0" t="s">
        <v>608</v>
      </c>
      <c r="B29" s="98">
        <v>1</v>
      </c>
      <c r="C29" s="115">
        <v>9900</v>
      </c>
      <c r="D29" s="37">
        <f>B29*C29</f>
        <v>9900</v>
      </c>
      <c r="E29" s="39">
        <f>D29*0.1</f>
        <v>990</v>
      </c>
      <c r="F29" s="98">
        <v>0</v>
      </c>
      <c r="G29" s="99">
        <v>0.12</v>
      </c>
      <c r="H29" s="37">
        <f>G29*B29</f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2" t="s">
        <v>609</v>
      </c>
      <c r="B30" s="123"/>
      <c r="C30" s="124"/>
      <c r="D30" s="32"/>
      <c r="E30" s="92"/>
      <c r="F30" s="123"/>
      <c r="G30" s="124"/>
      <c r="H30" s="156"/>
      <c r="I30" s="2"/>
      <c r="J30" s="52">
        <f>J31</f>
        <v>222.12299999999999</v>
      </c>
      <c r="K30" s="10">
        <f>219+3</f>
        <v>222</v>
      </c>
      <c r="L30" s="10">
        <f>K30-J30</f>
        <v>-0.12299999999999045</v>
      </c>
    </row>
    <row r="31" spans="1:12" x14ac:dyDescent="0.25">
      <c r="A31" s="178" t="s">
        <v>610</v>
      </c>
      <c r="B31" s="98">
        <v>1</v>
      </c>
      <c r="C31" s="99">
        <f>9900/3</f>
        <v>3300</v>
      </c>
      <c r="D31" s="37">
        <f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2" t="s">
        <v>611</v>
      </c>
      <c r="B32" s="123"/>
      <c r="C32" s="124"/>
      <c r="D32" s="32"/>
      <c r="E32" s="92"/>
      <c r="F32" s="123"/>
      <c r="G32" s="124"/>
      <c r="H32" s="156"/>
      <c r="I32" s="2"/>
      <c r="J32" s="52">
        <f>J33</f>
        <v>759.62249999999995</v>
      </c>
      <c r="K32" s="10">
        <v>750</v>
      </c>
      <c r="L32" s="10">
        <f>K32-J32</f>
        <v>-9.6224999999999454</v>
      </c>
    </row>
    <row r="33" spans="1:13" x14ac:dyDescent="0.25">
      <c r="A33" s="178" t="s">
        <v>612</v>
      </c>
      <c r="B33" s="98">
        <v>1</v>
      </c>
      <c r="C33" s="99">
        <v>9900</v>
      </c>
      <c r="D33" s="37">
        <f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2" t="s">
        <v>613</v>
      </c>
      <c r="B34" s="123"/>
      <c r="C34" s="124"/>
      <c r="D34" s="32"/>
      <c r="E34" s="92"/>
      <c r="F34" s="123"/>
      <c r="G34" s="124"/>
      <c r="H34" s="156"/>
      <c r="I34" s="2"/>
      <c r="J34" s="52">
        <f>J35</f>
        <v>739.35</v>
      </c>
      <c r="K34" s="10">
        <v>747</v>
      </c>
      <c r="L34" s="10">
        <f>K34-J34</f>
        <v>7.6499999999999773</v>
      </c>
    </row>
    <row r="35" spans="1:13" x14ac:dyDescent="0.25">
      <c r="A35" s="39" t="s">
        <v>381</v>
      </c>
      <c r="B35" s="98">
        <v>1</v>
      </c>
      <c r="C35" s="99">
        <v>9900</v>
      </c>
      <c r="D35" s="37">
        <f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2" t="s">
        <v>614</v>
      </c>
      <c r="B36" s="123"/>
      <c r="C36" s="124"/>
      <c r="D36" s="32"/>
      <c r="E36" s="92"/>
      <c r="F36" s="123"/>
      <c r="G36" s="124"/>
      <c r="H36" s="156"/>
      <c r="I36" s="2"/>
      <c r="J36" s="52">
        <f>J37</f>
        <v>913.85249999999996</v>
      </c>
      <c r="K36" s="10">
        <f>900+14</f>
        <v>914</v>
      </c>
      <c r="L36" s="10">
        <f>K36-J36</f>
        <v>0.14750000000003638</v>
      </c>
    </row>
    <row r="37" spans="1:13" x14ac:dyDescent="0.25">
      <c r="A37" s="130" t="s">
        <v>615</v>
      </c>
      <c r="B37" s="98">
        <v>1</v>
      </c>
      <c r="C37" s="99">
        <v>12800</v>
      </c>
      <c r="D37" s="37">
        <f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2" t="s">
        <v>616</v>
      </c>
      <c r="B38" s="123"/>
      <c r="C38" s="124"/>
      <c r="D38" s="32"/>
      <c r="E38" s="92"/>
      <c r="F38" s="123"/>
      <c r="G38" s="124"/>
      <c r="H38" s="156"/>
      <c r="I38" s="2"/>
      <c r="J38" s="52">
        <f>J39</f>
        <v>595.90549999999996</v>
      </c>
      <c r="K38" s="10">
        <f>570+26</f>
        <v>596</v>
      </c>
      <c r="L38" s="10">
        <f>K38-J38</f>
        <v>9.4500000000039108E-2</v>
      </c>
    </row>
    <row r="39" spans="1:13" x14ac:dyDescent="0.25">
      <c r="A39" t="s">
        <v>467</v>
      </c>
      <c r="B39" s="179">
        <v>1</v>
      </c>
      <c r="C39" s="180">
        <v>8900</v>
      </c>
      <c r="D39" s="37">
        <f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2" t="s">
        <v>617</v>
      </c>
      <c r="B40" s="123"/>
      <c r="C40" s="124"/>
      <c r="D40" s="32"/>
      <c r="E40" s="92"/>
      <c r="F40" s="123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>K40-J40</f>
        <v>0.34900000000004638</v>
      </c>
    </row>
    <row r="41" spans="1:13" x14ac:dyDescent="0.25">
      <c r="A41" t="s">
        <v>618</v>
      </c>
      <c r="B41" s="181">
        <v>1</v>
      </c>
      <c r="C41" s="180">
        <v>9900</v>
      </c>
      <c r="D41" s="37">
        <f>B41*C41</f>
        <v>9900</v>
      </c>
      <c r="E41" s="39">
        <f>D41*0.1</f>
        <v>990</v>
      </c>
      <c r="F41" s="98">
        <v>2500</v>
      </c>
      <c r="G41" s="115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2" t="s">
        <v>407</v>
      </c>
      <c r="B42" s="123"/>
      <c r="C42" s="124"/>
      <c r="D42" s="32"/>
      <c r="E42" s="92"/>
      <c r="F42" s="123"/>
      <c r="G42" s="124"/>
      <c r="H42" s="156"/>
      <c r="I42" s="2"/>
      <c r="J42" s="52">
        <f>J43</f>
        <v>795.13249999999994</v>
      </c>
      <c r="K42" s="10">
        <v>800</v>
      </c>
      <c r="L42" s="10">
        <f>K42-J42</f>
        <v>4.8675000000000637</v>
      </c>
    </row>
    <row r="43" spans="1:13" x14ac:dyDescent="0.25">
      <c r="A43" s="39" t="s">
        <v>360</v>
      </c>
      <c r="B43" s="98">
        <v>1</v>
      </c>
      <c r="C43" s="137">
        <v>11900</v>
      </c>
      <c r="D43" s="37">
        <f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2" t="s">
        <v>619</v>
      </c>
      <c r="B44" s="123"/>
      <c r="C44" s="124"/>
      <c r="D44" s="32"/>
      <c r="E44" s="92"/>
      <c r="F44" s="123"/>
      <c r="G44" s="124"/>
      <c r="H44" s="156"/>
      <c r="I44" s="2"/>
      <c r="J44" s="52">
        <f>J45</f>
        <v>166.02250000000001</v>
      </c>
      <c r="K44" s="10">
        <f>188-22</f>
        <v>166</v>
      </c>
      <c r="L44" s="10">
        <f>K44-J44</f>
        <v>-2.2500000000007958E-2</v>
      </c>
      <c r="M44" t="s">
        <v>652</v>
      </c>
    </row>
    <row r="45" spans="1:13" ht="15.75" thickBot="1" x14ac:dyDescent="0.3">
      <c r="A45" s="39" t="s">
        <v>620</v>
      </c>
      <c r="B45" s="102">
        <v>1</v>
      </c>
      <c r="C45" s="103">
        <v>2500</v>
      </c>
      <c r="D45" s="37">
        <f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2"/>
      <c r="B46" s="172"/>
      <c r="C46" s="172"/>
      <c r="D46" s="172"/>
      <c r="E46" s="172"/>
      <c r="F46" s="173"/>
      <c r="G46" s="173"/>
      <c r="H46" s="173"/>
      <c r="I46" s="172"/>
      <c r="J46" s="74"/>
      <c r="K46" s="174"/>
      <c r="L46" s="175"/>
    </row>
    <row r="50" spans="1:6" ht="26.25" x14ac:dyDescent="0.4">
      <c r="A50" s="176" t="s">
        <v>602</v>
      </c>
    </row>
    <row r="51" spans="1:6" ht="31.5" x14ac:dyDescent="0.5">
      <c r="A51" s="152" t="s">
        <v>588</v>
      </c>
    </row>
    <row r="52" spans="1:6" x14ac:dyDescent="0.25">
      <c r="A52" s="36" t="s">
        <v>603</v>
      </c>
    </row>
    <row r="53" spans="1:6" ht="31.5" x14ac:dyDescent="0.5">
      <c r="A53" s="152" t="s">
        <v>288</v>
      </c>
    </row>
    <row r="54" spans="1:6" x14ac:dyDescent="0.25">
      <c r="A54" t="s">
        <v>539</v>
      </c>
    </row>
    <row r="55" spans="1:6" ht="31.5" x14ac:dyDescent="0.5">
      <c r="A55" s="152" t="s">
        <v>616</v>
      </c>
    </row>
    <row r="56" spans="1:6" x14ac:dyDescent="0.25">
      <c r="A56" s="36" t="s">
        <v>621</v>
      </c>
      <c r="F56" s="133" t="s">
        <v>624</v>
      </c>
    </row>
    <row r="57" spans="1:6" ht="31.5" x14ac:dyDescent="0.5">
      <c r="A57" s="152" t="s">
        <v>619</v>
      </c>
      <c r="F57" s="133"/>
    </row>
    <row r="58" spans="1:6" x14ac:dyDescent="0.25">
      <c r="A58" s="36" t="s">
        <v>622</v>
      </c>
      <c r="F58" s="133" t="s">
        <v>623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281</v>
      </c>
      <c r="B1" s="4"/>
      <c r="C1" s="15">
        <v>42093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611</v>
      </c>
      <c r="B6" s="123"/>
      <c r="C6" s="124"/>
      <c r="D6" s="32"/>
      <c r="E6" s="92"/>
      <c r="F6" s="177"/>
      <c r="G6" s="124"/>
      <c r="H6" s="32"/>
      <c r="I6" s="2"/>
      <c r="J6" s="52">
        <f>SUM(J7:J11)</f>
        <v>2321.2578999999996</v>
      </c>
      <c r="K6" s="10">
        <v>2650</v>
      </c>
      <c r="L6" s="10">
        <f>K6-J6</f>
        <v>328.74210000000039</v>
      </c>
    </row>
    <row r="7" spans="1:12" x14ac:dyDescent="0.25">
      <c r="A7" s="39" t="s">
        <v>631</v>
      </c>
      <c r="B7" s="98">
        <v>1</v>
      </c>
      <c r="C7" s="99">
        <v>10900</v>
      </c>
      <c r="D7" s="37">
        <f>B7*C7</f>
        <v>10900</v>
      </c>
      <c r="E7" s="39">
        <f>D7*0.1</f>
        <v>1090</v>
      </c>
      <c r="F7" s="98">
        <v>0</v>
      </c>
      <c r="G7" s="99">
        <v>0.28000000000000003</v>
      </c>
      <c r="H7" s="37">
        <f t="shared" ref="H7:H33" si="0">G7*B7</f>
        <v>0.28000000000000003</v>
      </c>
      <c r="I7" s="4">
        <f>H7*$C$2</f>
        <v>2184</v>
      </c>
      <c r="J7" s="51">
        <f>(D7+E7+F7+I7)*$C$3</f>
        <v>681.76939999999991</v>
      </c>
      <c r="K7" s="6"/>
      <c r="L7" s="17"/>
    </row>
    <row r="8" spans="1:12" x14ac:dyDescent="0.25">
      <c r="A8" s="39" t="s">
        <v>632</v>
      </c>
      <c r="B8" s="98">
        <v>5</v>
      </c>
      <c r="C8" s="99">
        <v>950</v>
      </c>
      <c r="D8" s="37">
        <f>B8*C8</f>
        <v>4750</v>
      </c>
      <c r="E8" s="39">
        <f>D8*0.1</f>
        <v>475</v>
      </c>
      <c r="F8" s="98">
        <v>0</v>
      </c>
      <c r="G8" s="99">
        <v>0.05</v>
      </c>
      <c r="H8" s="37">
        <f t="shared" si="0"/>
        <v>0.25</v>
      </c>
      <c r="I8" s="4">
        <f>H8*$C$2</f>
        <v>1950</v>
      </c>
      <c r="J8" s="51">
        <f>(D8+E8+F8+I8)*$C$3</f>
        <v>345.11749999999995</v>
      </c>
      <c r="K8" s="6"/>
      <c r="L8" s="17"/>
    </row>
    <row r="9" spans="1:12" x14ac:dyDescent="0.25">
      <c r="A9" s="39" t="s">
        <v>632</v>
      </c>
      <c r="B9" s="98">
        <v>5</v>
      </c>
      <c r="C9" s="99">
        <v>950</v>
      </c>
      <c r="D9" s="37">
        <f>B9*C9</f>
        <v>4750</v>
      </c>
      <c r="E9" s="39">
        <f>D9*0.1</f>
        <v>475</v>
      </c>
      <c r="F9" s="98">
        <v>0</v>
      </c>
      <c r="G9" s="99">
        <v>0.05</v>
      </c>
      <c r="H9" s="37">
        <f t="shared" si="0"/>
        <v>0.25</v>
      </c>
      <c r="I9" s="4">
        <f>H9*$C$2</f>
        <v>1950</v>
      </c>
      <c r="J9" s="51">
        <f>(D9+E9+F9+I9)*$C$3</f>
        <v>345.11749999999995</v>
      </c>
      <c r="K9" s="6"/>
      <c r="L9" s="17"/>
    </row>
    <row r="10" spans="1:12" x14ac:dyDescent="0.25">
      <c r="A10" s="39" t="s">
        <v>632</v>
      </c>
      <c r="B10" s="98">
        <v>5</v>
      </c>
      <c r="C10" s="99">
        <v>950</v>
      </c>
      <c r="D10" s="37">
        <f>B10*C10</f>
        <v>4750</v>
      </c>
      <c r="E10" s="39">
        <f>D10*0.1</f>
        <v>475</v>
      </c>
      <c r="F10" s="98">
        <v>0</v>
      </c>
      <c r="G10" s="99">
        <v>0.05</v>
      </c>
      <c r="H10" s="37">
        <f t="shared" si="0"/>
        <v>0.25</v>
      </c>
      <c r="I10" s="4">
        <f>H10*$C$2</f>
        <v>1950</v>
      </c>
      <c r="J10" s="51">
        <f>(D10+E10+F10+I10)*$C$3</f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>B11*C11</f>
        <v>10000</v>
      </c>
      <c r="E11" s="39">
        <f>D11*0.1</f>
        <v>1000</v>
      </c>
      <c r="F11" s="98">
        <v>0</v>
      </c>
      <c r="G11" s="99">
        <v>0.2</v>
      </c>
      <c r="H11" s="37">
        <f t="shared" si="0"/>
        <v>0.2</v>
      </c>
      <c r="I11" s="4">
        <f>H11*$C$2</f>
        <v>1560</v>
      </c>
      <c r="J11" s="51">
        <f>(D11+E11+F11+I11)*$C$3</f>
        <v>604.13599999999997</v>
      </c>
      <c r="K11" s="6"/>
      <c r="L11" s="17"/>
    </row>
    <row r="12" spans="1:12" ht="31.5" x14ac:dyDescent="0.5">
      <c r="A12" s="142" t="s">
        <v>479</v>
      </c>
      <c r="B12" s="123"/>
      <c r="C12" s="124"/>
      <c r="D12" s="32"/>
      <c r="E12" s="92"/>
      <c r="F12" s="177"/>
      <c r="G12" s="124"/>
      <c r="H12" s="32"/>
      <c r="I12" s="2"/>
      <c r="J12" s="52">
        <f>SUM(J13:J16)</f>
        <v>718.66210000000001</v>
      </c>
      <c r="K12" s="10">
        <v>785</v>
      </c>
      <c r="L12" s="10">
        <f>K12-J12</f>
        <v>66.337899999999991</v>
      </c>
    </row>
    <row r="13" spans="1:12" x14ac:dyDescent="0.25">
      <c r="A13" s="39" t="s">
        <v>633</v>
      </c>
      <c r="B13" s="98">
        <v>1</v>
      </c>
      <c r="C13" s="99">
        <v>6900</v>
      </c>
      <c r="D13" s="37">
        <f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0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632</v>
      </c>
      <c r="B14" s="98">
        <v>1</v>
      </c>
      <c r="C14" s="99">
        <v>950</v>
      </c>
      <c r="D14" s="37">
        <f>B14*C14</f>
        <v>950</v>
      </c>
      <c r="E14" s="39">
        <f>D14*0.1</f>
        <v>95</v>
      </c>
      <c r="F14" s="98">
        <v>0</v>
      </c>
      <c r="G14" s="99">
        <v>0.05</v>
      </c>
      <c r="H14" s="37">
        <f t="shared" si="0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632</v>
      </c>
      <c r="B15" s="98">
        <v>1</v>
      </c>
      <c r="C15" s="99">
        <v>950</v>
      </c>
      <c r="D15" s="37">
        <f>B15*C15</f>
        <v>950</v>
      </c>
      <c r="E15" s="39">
        <f>D15*0.1</f>
        <v>95</v>
      </c>
      <c r="F15" s="98">
        <v>0</v>
      </c>
      <c r="G15" s="99">
        <v>0.05</v>
      </c>
      <c r="H15" s="37">
        <f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632</v>
      </c>
      <c r="B16" s="98">
        <v>1</v>
      </c>
      <c r="C16" s="99">
        <v>950</v>
      </c>
      <c r="D16" s="37">
        <f>B16*C16</f>
        <v>950</v>
      </c>
      <c r="E16" s="39">
        <f>D16*0.1</f>
        <v>95</v>
      </c>
      <c r="F16" s="98">
        <v>0</v>
      </c>
      <c r="G16" s="99">
        <v>0.05</v>
      </c>
      <c r="H16" s="37">
        <f t="shared" si="0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2" t="s">
        <v>331</v>
      </c>
      <c r="B17" s="123"/>
      <c r="C17" s="124"/>
      <c r="D17" s="32"/>
      <c r="E17" s="92"/>
      <c r="F17" s="177"/>
      <c r="G17" s="124"/>
      <c r="H17" s="32"/>
      <c r="I17" s="2"/>
      <c r="J17" s="52">
        <f>SUM(J18:J20)</f>
        <v>2002.4029999999998</v>
      </c>
      <c r="K17" s="10">
        <v>1965</v>
      </c>
      <c r="L17" s="10">
        <f>K17-J17</f>
        <v>-37.402999999999793</v>
      </c>
    </row>
    <row r="18" spans="1:13" x14ac:dyDescent="0.25">
      <c r="A18" s="130" t="s">
        <v>634</v>
      </c>
      <c r="B18" s="98">
        <v>1</v>
      </c>
      <c r="C18" s="99">
        <v>9900</v>
      </c>
      <c r="D18" s="37">
        <f>B18*C18</f>
        <v>9900</v>
      </c>
      <c r="E18" s="39">
        <f>D18*0.1</f>
        <v>990</v>
      </c>
      <c r="F18" s="98">
        <v>0</v>
      </c>
      <c r="G18" s="99">
        <v>0.3</v>
      </c>
      <c r="H18" s="37">
        <f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0" t="s">
        <v>635</v>
      </c>
      <c r="B19" s="98">
        <v>1</v>
      </c>
      <c r="C19" s="99">
        <v>9900</v>
      </c>
      <c r="D19" s="37">
        <f>B19*C19</f>
        <v>9900</v>
      </c>
      <c r="E19" s="39">
        <f>D19*0.1</f>
        <v>990</v>
      </c>
      <c r="F19" s="98">
        <v>0</v>
      </c>
      <c r="G19" s="99">
        <v>0.3</v>
      </c>
      <c r="H19" s="37">
        <f>G19*B19</f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0" t="s">
        <v>636</v>
      </c>
      <c r="B20" s="98">
        <v>1</v>
      </c>
      <c r="C20" s="99">
        <v>4500</v>
      </c>
      <c r="D20" s="37">
        <f>B20*C20</f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>G20*B20</f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2" t="s">
        <v>637</v>
      </c>
      <c r="B21" s="123"/>
      <c r="C21" s="124"/>
      <c r="D21" s="32"/>
      <c r="E21" s="92"/>
      <c r="F21" s="123"/>
      <c r="G21" s="124"/>
      <c r="H21" s="32"/>
      <c r="I21" s="2"/>
      <c r="J21" s="52">
        <f>SUM(J22:J24)</f>
        <v>3011.2523999999999</v>
      </c>
      <c r="K21" s="10">
        <f>3079-51</f>
        <v>3028</v>
      </c>
      <c r="L21" s="10">
        <f>K21-J21</f>
        <v>16.747600000000148</v>
      </c>
      <c r="M21" t="s">
        <v>855</v>
      </c>
    </row>
    <row r="22" spans="1:13" x14ac:dyDescent="0.25">
      <c r="A22" s="39" t="s">
        <v>638</v>
      </c>
      <c r="B22" s="98">
        <v>1</v>
      </c>
      <c r="C22" s="99">
        <v>21000</v>
      </c>
      <c r="D22" s="37">
        <f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0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639</v>
      </c>
      <c r="B23" s="114">
        <v>1</v>
      </c>
      <c r="C23" s="99">
        <v>9900</v>
      </c>
      <c r="D23" s="37">
        <f>B23*C23</f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0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640</v>
      </c>
      <c r="B24" s="98">
        <v>1</v>
      </c>
      <c r="C24" s="99">
        <v>18000</v>
      </c>
      <c r="D24" s="37">
        <f>B24*C24</f>
        <v>18000</v>
      </c>
      <c r="E24" s="39">
        <f>D24*0.1</f>
        <v>1800</v>
      </c>
      <c r="F24" s="98">
        <v>0</v>
      </c>
      <c r="G24" s="99">
        <v>0.43</v>
      </c>
      <c r="H24" s="37">
        <f t="shared" si="0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2" t="s">
        <v>641</v>
      </c>
      <c r="B25" s="123"/>
      <c r="C25" s="124"/>
      <c r="D25" s="32"/>
      <c r="E25" s="92"/>
      <c r="F25" s="123"/>
      <c r="G25" s="124"/>
      <c r="H25" s="32"/>
      <c r="I25" s="2"/>
      <c r="J25" s="52">
        <f>J26+J27</f>
        <v>997.40159999999992</v>
      </c>
      <c r="K25" s="10">
        <f>1022-25</f>
        <v>997</v>
      </c>
      <c r="L25" s="10">
        <f>K25-J25</f>
        <v>-0.40159999999991669</v>
      </c>
      <c r="M25" s="132" t="s">
        <v>653</v>
      </c>
    </row>
    <row r="26" spans="1:13" x14ac:dyDescent="0.25">
      <c r="A26" s="39" t="s">
        <v>642</v>
      </c>
      <c r="B26" s="98">
        <v>1</v>
      </c>
      <c r="C26" s="99">
        <v>6980</v>
      </c>
      <c r="D26" s="37">
        <f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643</v>
      </c>
      <c r="B27" s="98">
        <v>1</v>
      </c>
      <c r="C27" s="99">
        <v>7900</v>
      </c>
      <c r="D27" s="37">
        <f>B27*C27</f>
        <v>7900</v>
      </c>
      <c r="E27" s="39">
        <f>D27*0.1</f>
        <v>790</v>
      </c>
      <c r="F27" s="114">
        <v>0</v>
      </c>
      <c r="G27" s="115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2" t="s">
        <v>644</v>
      </c>
      <c r="B28" s="123"/>
      <c r="C28" s="124"/>
      <c r="D28" s="32"/>
      <c r="E28" s="92"/>
      <c r="F28" s="123"/>
      <c r="G28" s="124"/>
      <c r="H28" s="32"/>
      <c r="I28" s="2"/>
      <c r="J28" s="52">
        <f>J29+J30</f>
        <v>1511.3019999999999</v>
      </c>
      <c r="K28" s="10">
        <f>210+1300</f>
        <v>1510</v>
      </c>
      <c r="L28" s="10">
        <f>K28-J28</f>
        <v>-1.3019999999999072</v>
      </c>
    </row>
    <row r="29" spans="1:13" x14ac:dyDescent="0.25">
      <c r="A29" s="39" t="s">
        <v>645</v>
      </c>
      <c r="B29" s="98">
        <v>1</v>
      </c>
      <c r="C29" s="99">
        <v>6600</v>
      </c>
      <c r="D29" s="37">
        <f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646</v>
      </c>
      <c r="B30" s="98">
        <v>1</v>
      </c>
      <c r="C30" s="99">
        <v>10900</v>
      </c>
      <c r="D30" s="37">
        <f>B30*C30</f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2" t="s">
        <v>2</v>
      </c>
      <c r="B31" s="123"/>
      <c r="C31" s="124"/>
      <c r="D31" s="32"/>
      <c r="E31" s="92"/>
      <c r="F31" s="177"/>
      <c r="G31" s="124"/>
      <c r="H31" s="32"/>
      <c r="I31" s="2"/>
      <c r="J31" s="52">
        <f>J32+J33</f>
        <v>1052.0913</v>
      </c>
      <c r="K31" s="10">
        <v>1113</v>
      </c>
      <c r="L31" s="10">
        <f>K31-J31</f>
        <v>60.908699999999953</v>
      </c>
    </row>
    <row r="32" spans="1:13" x14ac:dyDescent="0.25">
      <c r="A32" s="39" t="s">
        <v>250</v>
      </c>
      <c r="B32" s="98">
        <v>1</v>
      </c>
      <c r="C32" s="99">
        <v>9800</v>
      </c>
      <c r="D32" s="37">
        <f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0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>B33*C33</f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0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76" t="s">
        <v>629</v>
      </c>
    </row>
    <row r="36" spans="1:12" ht="31.5" x14ac:dyDescent="0.5">
      <c r="A36" s="152" t="s">
        <v>611</v>
      </c>
    </row>
    <row r="37" spans="1:12" x14ac:dyDescent="0.25">
      <c r="A37" s="36" t="s">
        <v>630</v>
      </c>
    </row>
    <row r="38" spans="1:12" ht="31.5" x14ac:dyDescent="0.5">
      <c r="A38" s="152" t="s">
        <v>479</v>
      </c>
    </row>
    <row r="39" spans="1:12" x14ac:dyDescent="0.25">
      <c r="A39" s="36" t="s">
        <v>630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42148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0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655</v>
      </c>
      <c r="B6" s="151"/>
      <c r="C6" s="151"/>
      <c r="D6" s="32"/>
      <c r="E6" s="92"/>
      <c r="F6" s="177"/>
      <c r="G6" s="124"/>
      <c r="H6" s="32"/>
      <c r="I6" s="2"/>
      <c r="J6" s="52">
        <f>J7</f>
        <v>320.815</v>
      </c>
      <c r="K6" s="10">
        <v>324</v>
      </c>
      <c r="L6" s="10">
        <f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>B7*C7</f>
        <v>3300</v>
      </c>
      <c r="E7" s="39">
        <f>D7*0.1</f>
        <v>330</v>
      </c>
      <c r="F7" s="4">
        <v>2500</v>
      </c>
      <c r="G7" s="4">
        <v>0.08</v>
      </c>
      <c r="H7" s="37">
        <f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2" t="s">
        <v>458</v>
      </c>
      <c r="B8" s="151"/>
      <c r="C8" s="151"/>
      <c r="D8" s="32"/>
      <c r="E8" s="92"/>
      <c r="F8" s="151"/>
      <c r="G8" s="151"/>
      <c r="H8" s="32"/>
      <c r="I8" s="2"/>
      <c r="J8" s="52">
        <f>J9</f>
        <v>556.41499999999996</v>
      </c>
      <c r="K8" s="10">
        <f>532+24</f>
        <v>556</v>
      </c>
      <c r="L8" s="10">
        <f>K8-J8</f>
        <v>-0.41499999999996362</v>
      </c>
    </row>
    <row r="9" spans="1:12" x14ac:dyDescent="0.25">
      <c r="A9" s="4" t="s">
        <v>656</v>
      </c>
      <c r="B9" s="4">
        <v>1</v>
      </c>
      <c r="C9" s="4">
        <v>7100</v>
      </c>
      <c r="D9" s="37">
        <f>B9*C9</f>
        <v>7100</v>
      </c>
      <c r="E9" s="39">
        <f>D9*0.1</f>
        <v>710</v>
      </c>
      <c r="F9" s="4">
        <v>2500</v>
      </c>
      <c r="G9" s="4">
        <v>0.18</v>
      </c>
      <c r="H9" s="37">
        <f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2" t="s">
        <v>657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287.31166666666667</v>
      </c>
      <c r="K10" s="10">
        <v>290</v>
      </c>
      <c r="L10" s="10">
        <f>K10-J10</f>
        <v>2.6883333333333326</v>
      </c>
    </row>
    <row r="11" spans="1:12" x14ac:dyDescent="0.25">
      <c r="A11" s="4" t="s">
        <v>658</v>
      </c>
      <c r="B11" s="4">
        <v>1</v>
      </c>
      <c r="C11" s="4">
        <f>7900/2</f>
        <v>3950</v>
      </c>
      <c r="D11" s="37">
        <f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2" t="s">
        <v>659</v>
      </c>
      <c r="B12" s="151"/>
      <c r="C12" s="151"/>
      <c r="D12" s="32"/>
      <c r="E12" s="92"/>
      <c r="F12" s="151"/>
      <c r="G12" s="151"/>
      <c r="H12" s="32"/>
      <c r="I12" s="2"/>
      <c r="J12" s="52">
        <f>J13</f>
        <v>287.31166666666667</v>
      </c>
      <c r="K12" s="10">
        <v>290</v>
      </c>
      <c r="L12" s="10">
        <f>K12-J12</f>
        <v>2.6883333333333326</v>
      </c>
    </row>
    <row r="13" spans="1:12" x14ac:dyDescent="0.25">
      <c r="A13" s="4" t="s">
        <v>658</v>
      </c>
      <c r="B13" s="4">
        <v>1</v>
      </c>
      <c r="C13" s="4">
        <f>7900/2</f>
        <v>3950</v>
      </c>
      <c r="D13" s="37">
        <f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2" t="s">
        <v>660</v>
      </c>
      <c r="B14" s="151"/>
      <c r="C14" s="151"/>
      <c r="D14" s="32"/>
      <c r="E14" s="92"/>
      <c r="F14" s="151"/>
      <c r="G14" s="151"/>
      <c r="H14" s="32"/>
      <c r="I14" s="2"/>
      <c r="J14" s="52">
        <f>J15</f>
        <v>287.31166666666667</v>
      </c>
      <c r="K14" s="10">
        <v>290</v>
      </c>
      <c r="L14" s="10">
        <f>K14-J14</f>
        <v>2.6883333333333326</v>
      </c>
    </row>
    <row r="15" spans="1:12" x14ac:dyDescent="0.25">
      <c r="A15" s="4" t="s">
        <v>658</v>
      </c>
      <c r="B15" s="4">
        <v>1</v>
      </c>
      <c r="C15" s="4">
        <f>7900/2</f>
        <v>3950</v>
      </c>
      <c r="D15" s="37">
        <f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2" t="s">
        <v>661</v>
      </c>
      <c r="B16" s="151"/>
      <c r="C16" s="151"/>
      <c r="D16" s="32"/>
      <c r="E16" s="92"/>
      <c r="F16" s="151"/>
      <c r="G16" s="151"/>
      <c r="H16" s="32"/>
      <c r="I16" s="2"/>
      <c r="J16" s="52">
        <f>J17</f>
        <v>1457.0150000000001</v>
      </c>
      <c r="K16" s="10">
        <v>1592</v>
      </c>
      <c r="L16" s="10">
        <f>K16-J16</f>
        <v>134.9849999999999</v>
      </c>
    </row>
    <row r="17" spans="1:12" x14ac:dyDescent="0.25">
      <c r="A17" s="76" t="s">
        <v>662</v>
      </c>
      <c r="B17" s="4">
        <v>1</v>
      </c>
      <c r="C17" s="4">
        <v>25900</v>
      </c>
      <c r="D17" s="37">
        <f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2" t="s">
        <v>663</v>
      </c>
      <c r="B18" s="151"/>
      <c r="C18" s="151"/>
      <c r="D18" s="32"/>
      <c r="E18" s="92"/>
      <c r="F18" s="151"/>
      <c r="G18" s="151"/>
      <c r="H18" s="32"/>
      <c r="I18" s="2"/>
      <c r="J18" s="52">
        <f>J19</f>
        <v>953.04</v>
      </c>
      <c r="K18" s="10">
        <v>1027</v>
      </c>
      <c r="L18" s="10">
        <f>K18-J18</f>
        <v>73.960000000000036</v>
      </c>
    </row>
    <row r="19" spans="1:12" x14ac:dyDescent="0.25">
      <c r="A19" s="4" t="s">
        <v>664</v>
      </c>
      <c r="B19" s="4">
        <v>1</v>
      </c>
      <c r="C19" s="4">
        <v>15900</v>
      </c>
      <c r="D19" s="37">
        <f>B19*C19</f>
        <v>15900</v>
      </c>
      <c r="E19" s="39">
        <f>D19*0.1</f>
        <v>1590</v>
      </c>
      <c r="F19" s="4">
        <v>0</v>
      </c>
      <c r="G19" s="5">
        <v>0.33</v>
      </c>
      <c r="H19" s="37">
        <f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2" t="s">
        <v>604</v>
      </c>
      <c r="B20" s="151"/>
      <c r="C20" s="151"/>
      <c r="D20" s="32"/>
      <c r="E20" s="92"/>
      <c r="F20" s="151"/>
      <c r="G20" s="151"/>
      <c r="H20" s="32"/>
      <c r="I20" s="2"/>
      <c r="J20" s="52">
        <f>J21</f>
        <v>748.88499999999999</v>
      </c>
      <c r="K20" s="10">
        <v>746</v>
      </c>
      <c r="L20" s="10">
        <f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>B21*C21</f>
        <v>10500</v>
      </c>
      <c r="E21" s="39">
        <f>D21*0.1</f>
        <v>1050</v>
      </c>
      <c r="F21" s="4">
        <v>2500</v>
      </c>
      <c r="G21" s="4">
        <v>0.22</v>
      </c>
      <c r="H21" s="37">
        <f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2" t="s">
        <v>382</v>
      </c>
      <c r="B22" s="151"/>
      <c r="C22" s="151"/>
      <c r="D22" s="32"/>
      <c r="E22" s="92"/>
      <c r="F22" s="151"/>
      <c r="G22" s="151"/>
      <c r="H22" s="32"/>
      <c r="I22" s="2"/>
      <c r="J22" s="52">
        <f>J23+J24</f>
        <v>1989.395</v>
      </c>
      <c r="K22" s="10">
        <v>2005</v>
      </c>
      <c r="L22" s="10">
        <f>K22-J22</f>
        <v>15.605000000000018</v>
      </c>
    </row>
    <row r="23" spans="1:12" x14ac:dyDescent="0.25">
      <c r="A23" s="4" t="s">
        <v>665</v>
      </c>
      <c r="B23" s="4">
        <v>1</v>
      </c>
      <c r="C23" s="4">
        <v>10900</v>
      </c>
      <c r="D23" s="37">
        <f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666</v>
      </c>
      <c r="B24" s="188">
        <v>2</v>
      </c>
      <c r="C24" s="4">
        <v>9900</v>
      </c>
      <c r="D24" s="37">
        <f>B24*C24</f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2" t="s">
        <v>667</v>
      </c>
      <c r="B25" s="151"/>
      <c r="C25" s="151"/>
      <c r="D25" s="32"/>
      <c r="E25" s="92"/>
      <c r="F25" s="151"/>
      <c r="G25" s="151"/>
      <c r="H25" s="32"/>
      <c r="I25" s="2"/>
      <c r="J25" s="52">
        <f>J26+J27</f>
        <v>1155.3266666666666</v>
      </c>
      <c r="K25" s="10">
        <f>1138+18</f>
        <v>1156</v>
      </c>
      <c r="L25" s="10">
        <f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658</v>
      </c>
      <c r="B27" s="4">
        <v>1</v>
      </c>
      <c r="C27" s="4">
        <f>7900/2</f>
        <v>3950</v>
      </c>
      <c r="D27" s="37">
        <f>B27*C27</f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2" t="s">
        <v>500</v>
      </c>
      <c r="B28" s="151"/>
      <c r="C28" s="151"/>
      <c r="D28" s="32"/>
      <c r="E28" s="92"/>
      <c r="F28" s="151"/>
      <c r="G28" s="151"/>
      <c r="H28" s="32"/>
      <c r="I28" s="2"/>
      <c r="J28" s="52">
        <f>J29+J30</f>
        <v>5866.915</v>
      </c>
      <c r="K28" s="10">
        <v>6026</v>
      </c>
      <c r="L28" s="10">
        <f>K28-J28</f>
        <v>159.08500000000004</v>
      </c>
    </row>
    <row r="29" spans="1:12" x14ac:dyDescent="0.25">
      <c r="A29" s="4" t="s">
        <v>668</v>
      </c>
      <c r="B29" s="188">
        <v>7</v>
      </c>
      <c r="C29" s="4">
        <v>9900</v>
      </c>
      <c r="D29" s="37">
        <f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669</v>
      </c>
      <c r="B30" s="188">
        <v>2</v>
      </c>
      <c r="C30" s="4">
        <v>14400</v>
      </c>
      <c r="D30" s="37">
        <f>B30*C30</f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2" t="s">
        <v>331</v>
      </c>
      <c r="B31" s="151"/>
      <c r="C31" s="151"/>
      <c r="D31" s="32"/>
      <c r="E31" s="92"/>
      <c r="F31" s="151"/>
      <c r="G31" s="151"/>
      <c r="H31" s="32"/>
      <c r="I31" s="2"/>
      <c r="J31" s="52">
        <f>J32+J33</f>
        <v>1649.1208333333334</v>
      </c>
      <c r="K31" s="10">
        <v>1553</v>
      </c>
      <c r="L31" s="10">
        <f>K31-J31</f>
        <v>-96.120833333333394</v>
      </c>
    </row>
    <row r="32" spans="1:12" ht="48.75" customHeight="1" x14ac:dyDescent="0.25">
      <c r="A32" s="187" t="s">
        <v>670</v>
      </c>
      <c r="B32" s="188">
        <v>4</v>
      </c>
      <c r="C32" s="4">
        <v>6000</v>
      </c>
      <c r="D32" s="37">
        <f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671</v>
      </c>
      <c r="B33" s="4">
        <v>1</v>
      </c>
      <c r="C33" s="4">
        <v>990</v>
      </c>
      <c r="D33" s="37">
        <f>B33*C33</f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2" t="s">
        <v>354</v>
      </c>
      <c r="B34" s="151"/>
      <c r="C34" s="151"/>
      <c r="D34" s="32"/>
      <c r="E34" s="92"/>
      <c r="F34" s="151"/>
      <c r="G34" s="151"/>
      <c r="H34" s="32"/>
      <c r="I34" s="2"/>
      <c r="J34" s="52">
        <f>SUM(J35:J36)</f>
        <v>1604.3600000000001</v>
      </c>
      <c r="K34" s="10">
        <v>2219</v>
      </c>
      <c r="L34" s="10">
        <f>K34-J34</f>
        <v>614.63999999999987</v>
      </c>
    </row>
    <row r="35" spans="1:12" x14ac:dyDescent="0.25">
      <c r="A35" s="18" t="s">
        <v>702</v>
      </c>
      <c r="B35" s="4">
        <v>1</v>
      </c>
      <c r="C35" s="4"/>
      <c r="D35" s="37">
        <f>B35*C35</f>
        <v>0</v>
      </c>
      <c r="E35" s="39">
        <f>D35*0.1</f>
        <v>0</v>
      </c>
      <c r="F35" s="4">
        <v>0</v>
      </c>
      <c r="G35" s="4"/>
      <c r="H35" s="37">
        <f t="shared" ref="H35:H40" si="0">G35*B35</f>
        <v>0</v>
      </c>
      <c r="I35" s="4">
        <f>H35*$C$2</f>
        <v>0</v>
      </c>
      <c r="J35" s="51">
        <f>(D35+E35+F35+I35)*$C$3</f>
        <v>0</v>
      </c>
      <c r="K35" s="6"/>
      <c r="L35" s="17"/>
    </row>
    <row r="36" spans="1:12" x14ac:dyDescent="0.25">
      <c r="A36" s="4" t="s">
        <v>672</v>
      </c>
      <c r="B36" s="188">
        <v>2</v>
      </c>
      <c r="C36" s="4">
        <v>12800</v>
      </c>
      <c r="D36" s="37">
        <f>B36*C36</f>
        <v>25600</v>
      </c>
      <c r="E36" s="39">
        <f>D36*0.1</f>
        <v>2560</v>
      </c>
      <c r="F36" s="4">
        <v>0</v>
      </c>
      <c r="G36" s="4">
        <v>0.36</v>
      </c>
      <c r="H36" s="37">
        <f t="shared" si="0"/>
        <v>0.72</v>
      </c>
      <c r="I36" s="4">
        <f>H36*$C$2</f>
        <v>5616</v>
      </c>
      <c r="J36" s="51">
        <f>(D36+E36+F36+I36)*$C$3</f>
        <v>1604.3600000000001</v>
      </c>
      <c r="K36" s="6"/>
      <c r="L36" s="17"/>
    </row>
    <row r="37" spans="1:12" ht="31.5" x14ac:dyDescent="0.5">
      <c r="A37" s="152" t="s">
        <v>2</v>
      </c>
      <c r="B37" s="151"/>
      <c r="C37" s="151"/>
      <c r="D37" s="32"/>
      <c r="E37" s="92"/>
      <c r="F37" s="151"/>
      <c r="G37" s="151"/>
      <c r="H37" s="32"/>
      <c r="I37" s="2"/>
      <c r="J37" s="52">
        <f>SUM(J38:J40)</f>
        <v>1662.0408333333335</v>
      </c>
      <c r="K37" s="10">
        <f>1450+212</f>
        <v>1662</v>
      </c>
      <c r="L37" s="10">
        <f>K37-J37</f>
        <v>-4.0833333333466726E-2</v>
      </c>
    </row>
    <row r="38" spans="1:12" x14ac:dyDescent="0.25">
      <c r="A38" s="4" t="s">
        <v>673</v>
      </c>
      <c r="B38" s="188">
        <v>2</v>
      </c>
      <c r="C38" s="4">
        <v>3000</v>
      </c>
      <c r="D38" s="37">
        <f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0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674</v>
      </c>
      <c r="B39" s="4">
        <v>1</v>
      </c>
      <c r="C39" s="4">
        <v>12000</v>
      </c>
      <c r="D39" s="37">
        <f>B39*C39</f>
        <v>12000</v>
      </c>
      <c r="E39" s="39">
        <f>D39*0.1</f>
        <v>1200</v>
      </c>
      <c r="F39" s="4">
        <v>2500</v>
      </c>
      <c r="G39" s="5">
        <v>0.8</v>
      </c>
      <c r="H39" s="37">
        <f t="shared" si="0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671</v>
      </c>
      <c r="B40" s="4">
        <v>1</v>
      </c>
      <c r="C40" s="4">
        <v>990</v>
      </c>
      <c r="D40" s="37">
        <f>B40*C40</f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0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2" t="s">
        <v>675</v>
      </c>
      <c r="B41" s="151"/>
      <c r="C41" s="151"/>
      <c r="D41" s="32"/>
      <c r="E41" s="92"/>
      <c r="F41" s="151"/>
      <c r="G41" s="151"/>
      <c r="H41" s="32"/>
      <c r="I41" s="2"/>
      <c r="J41" s="52">
        <f>SUM(J42:J44)</f>
        <v>4470.6050000000005</v>
      </c>
      <c r="K41" s="10">
        <v>5608</v>
      </c>
      <c r="L41" s="10">
        <f>K41-J41</f>
        <v>1137.3949999999995</v>
      </c>
    </row>
    <row r="42" spans="1:12" x14ac:dyDescent="0.25">
      <c r="A42" s="18" t="s">
        <v>703</v>
      </c>
      <c r="B42" s="188">
        <v>2</v>
      </c>
      <c r="C42" s="4">
        <v>12500</v>
      </c>
      <c r="D42" s="37">
        <f>B42*C42</f>
        <v>25000</v>
      </c>
      <c r="E42" s="39">
        <f>D42*0.1</f>
        <v>2500</v>
      </c>
      <c r="F42" s="4">
        <v>2500</v>
      </c>
      <c r="G42" s="5">
        <v>2.44</v>
      </c>
      <c r="H42" s="37">
        <f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676</v>
      </c>
      <c r="B43" s="188">
        <v>2</v>
      </c>
      <c r="C43" s="4">
        <v>2200</v>
      </c>
      <c r="D43" s="37">
        <f>B43*C43</f>
        <v>4400</v>
      </c>
      <c r="E43" s="39">
        <f>D43*0.1</f>
        <v>440</v>
      </c>
      <c r="F43" s="4">
        <v>2500</v>
      </c>
      <c r="G43" s="4">
        <v>0.09</v>
      </c>
      <c r="H43" s="37">
        <f>G43*B43</f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677</v>
      </c>
      <c r="B44" s="4">
        <v>1</v>
      </c>
      <c r="C44" s="4">
        <v>8500</v>
      </c>
      <c r="D44" s="37">
        <f>B44*C44</f>
        <v>8500</v>
      </c>
      <c r="E44" s="39">
        <f>D44*0.1</f>
        <v>850</v>
      </c>
      <c r="F44" s="4">
        <v>2500</v>
      </c>
      <c r="G44" s="4">
        <v>0.7</v>
      </c>
      <c r="H44" s="37">
        <f>G44*B44</f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42167</v>
      </c>
      <c r="D1" s="30"/>
    </row>
    <row r="2" spans="1:12" ht="21" x14ac:dyDescent="0.35">
      <c r="A2" s="55" t="s">
        <v>239</v>
      </c>
      <c r="B2" s="4"/>
      <c r="C2" s="16">
        <v>7650</v>
      </c>
      <c r="D2" s="30"/>
    </row>
    <row r="3" spans="1:12" ht="21" x14ac:dyDescent="0.35">
      <c r="A3" s="55" t="s">
        <v>240</v>
      </c>
      <c r="B3" s="4"/>
      <c r="C3" s="170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382</v>
      </c>
      <c r="B6" s="151"/>
      <c r="C6" s="151"/>
      <c r="D6" s="32"/>
      <c r="E6" s="92"/>
      <c r="F6" s="177"/>
      <c r="G6" s="124"/>
      <c r="H6" s="32"/>
      <c r="I6" s="2"/>
      <c r="J6" s="52">
        <f>J7</f>
        <v>751.03600000000006</v>
      </c>
      <c r="K6" s="10">
        <f>729+20</f>
        <v>749</v>
      </c>
      <c r="L6" s="10">
        <f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>B7*C7</f>
        <v>9300</v>
      </c>
      <c r="E7" s="39">
        <f>D7*0.1</f>
        <v>930</v>
      </c>
      <c r="F7" s="4">
        <v>2500</v>
      </c>
      <c r="G7" s="4">
        <v>0.28000000000000003</v>
      </c>
      <c r="H7" s="37">
        <f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2" t="s">
        <v>680</v>
      </c>
      <c r="B8" s="151"/>
      <c r="C8" s="151"/>
      <c r="D8" s="32"/>
      <c r="E8" s="92"/>
      <c r="F8" s="151"/>
      <c r="G8" s="151"/>
      <c r="H8" s="32"/>
      <c r="I8" s="2"/>
      <c r="J8" s="52">
        <f>J9</f>
        <v>762.04500000000007</v>
      </c>
      <c r="K8" s="10">
        <v>773</v>
      </c>
      <c r="L8" s="10">
        <f>K8-J8</f>
        <v>10.954999999999927</v>
      </c>
    </row>
    <row r="9" spans="1:12" x14ac:dyDescent="0.25">
      <c r="A9" s="21" t="s">
        <v>681</v>
      </c>
      <c r="B9" s="4">
        <v>1</v>
      </c>
      <c r="C9" s="4">
        <v>9800</v>
      </c>
      <c r="D9" s="37">
        <f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2" t="s">
        <v>500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3300.9325000000003</v>
      </c>
      <c r="K10" s="10">
        <v>3342</v>
      </c>
      <c r="L10" s="10">
        <f>K10-J10</f>
        <v>41.067499999999654</v>
      </c>
    </row>
    <row r="11" spans="1:12" x14ac:dyDescent="0.25">
      <c r="A11" s="4" t="s">
        <v>668</v>
      </c>
      <c r="B11" s="4">
        <v>5</v>
      </c>
      <c r="C11" s="4">
        <v>9900</v>
      </c>
      <c r="D11" s="37">
        <f>B11*C11</f>
        <v>49500</v>
      </c>
      <c r="E11" s="39">
        <f>D11*0.1</f>
        <v>4950</v>
      </c>
      <c r="F11" s="4">
        <v>2500</v>
      </c>
      <c r="G11" s="5">
        <v>0.22</v>
      </c>
      <c r="H11" s="37">
        <f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J13+J14</f>
        <v>2047.1437500000002</v>
      </c>
      <c r="K12" s="10">
        <f>1980+67</f>
        <v>2047</v>
      </c>
      <c r="L12" s="10">
        <f>K12-J12</f>
        <v>-0.1437500000001819</v>
      </c>
    </row>
    <row r="13" spans="1:12" x14ac:dyDescent="0.25">
      <c r="A13" s="4" t="s">
        <v>683</v>
      </c>
      <c r="B13" s="4">
        <v>1</v>
      </c>
      <c r="C13" s="4">
        <v>14000</v>
      </c>
      <c r="D13" s="37">
        <f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700</v>
      </c>
      <c r="B14" s="71">
        <v>2</v>
      </c>
      <c r="C14" s="4">
        <v>4900</v>
      </c>
      <c r="D14" s="37">
        <f>B14*C14</f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2" t="s">
        <v>487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1028.1210833333334</v>
      </c>
      <c r="K15" s="10">
        <v>1028</v>
      </c>
      <c r="L15" s="10">
        <f>K15-J15</f>
        <v>-0.1210833333334449</v>
      </c>
    </row>
    <row r="16" spans="1:12" x14ac:dyDescent="0.25">
      <c r="A16" s="21" t="s">
        <v>684</v>
      </c>
      <c r="B16" s="4">
        <v>1</v>
      </c>
      <c r="C16" s="5">
        <f>11900/3</f>
        <v>3966.6666666666665</v>
      </c>
      <c r="D16" s="37">
        <f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685</v>
      </c>
      <c r="B17" s="4">
        <v>1</v>
      </c>
      <c r="C17" s="4">
        <v>4480</v>
      </c>
      <c r="D17" s="37">
        <f>B17*C17</f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2" t="s">
        <v>2</v>
      </c>
      <c r="B18" s="151"/>
      <c r="C18" s="151"/>
      <c r="D18" s="32"/>
      <c r="E18" s="92"/>
      <c r="F18" s="151"/>
      <c r="G18" s="151"/>
      <c r="H18" s="32"/>
      <c r="I18" s="2"/>
      <c r="J18" s="52">
        <f>J19+J20</f>
        <v>2554.29</v>
      </c>
      <c r="K18" s="10">
        <f>2885-346</f>
        <v>2539</v>
      </c>
      <c r="L18" s="10">
        <f>K18-J18</f>
        <v>-15.289999999999964</v>
      </c>
      <c r="M18" t="s">
        <v>701</v>
      </c>
    </row>
    <row r="19" spans="1:13" x14ac:dyDescent="0.25">
      <c r="A19" s="17" t="s">
        <v>686</v>
      </c>
      <c r="B19" s="4">
        <v>1</v>
      </c>
      <c r="C19" s="4">
        <v>16200</v>
      </c>
      <c r="D19" s="37">
        <f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687</v>
      </c>
      <c r="B20" s="4">
        <v>1</v>
      </c>
      <c r="C20" s="4">
        <v>27000</v>
      </c>
      <c r="D20" s="37">
        <f>B20*C20</f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2" t="s">
        <v>688</v>
      </c>
      <c r="B21" s="190"/>
      <c r="C21" s="151"/>
      <c r="D21" s="32"/>
      <c r="E21" s="92"/>
      <c r="F21" s="151"/>
      <c r="G21" s="151"/>
      <c r="H21" s="32"/>
      <c r="I21" s="2"/>
      <c r="J21" s="52">
        <f>SUM(J22:J25)</f>
        <v>1843.4014999999999</v>
      </c>
      <c r="K21" s="10">
        <f>1827+16</f>
        <v>1843</v>
      </c>
      <c r="L21" s="10">
        <f>K21-J21</f>
        <v>-0.40149999999994179</v>
      </c>
    </row>
    <row r="22" spans="1:13" x14ac:dyDescent="0.25">
      <c r="A22" s="4" t="s">
        <v>689</v>
      </c>
      <c r="B22" s="4">
        <v>1</v>
      </c>
      <c r="C22" s="4">
        <v>4900</v>
      </c>
      <c r="D22" s="37">
        <f>B22*C22</f>
        <v>4900</v>
      </c>
      <c r="E22" s="39">
        <f>D22*0.1</f>
        <v>490</v>
      </c>
      <c r="F22" s="4">
        <v>0</v>
      </c>
      <c r="G22" s="4">
        <v>0.1</v>
      </c>
      <c r="H22" s="37">
        <f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690</v>
      </c>
      <c r="B23" s="4">
        <v>1</v>
      </c>
      <c r="C23" s="4">
        <v>4900</v>
      </c>
      <c r="D23" s="37">
        <f>B23*C23</f>
        <v>4900</v>
      </c>
      <c r="E23" s="39">
        <f>D23*0.1</f>
        <v>490</v>
      </c>
      <c r="F23" s="4">
        <v>0</v>
      </c>
      <c r="G23" s="4">
        <v>0.1</v>
      </c>
      <c r="H23" s="37">
        <f>G23*B23</f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691</v>
      </c>
      <c r="B24" s="4">
        <v>1</v>
      </c>
      <c r="C24" s="4">
        <v>9900</v>
      </c>
      <c r="D24" s="37">
        <f>B24*C24</f>
        <v>9900</v>
      </c>
      <c r="E24" s="39">
        <f>D24*0.1</f>
        <v>990</v>
      </c>
      <c r="F24" s="4">
        <v>0</v>
      </c>
      <c r="G24" s="4">
        <v>0.22</v>
      </c>
      <c r="H24" s="37">
        <f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692</v>
      </c>
      <c r="B25" s="4">
        <v>1</v>
      </c>
      <c r="C25" s="4">
        <v>6900</v>
      </c>
      <c r="D25" s="37">
        <f>B25*C25</f>
        <v>6900</v>
      </c>
      <c r="E25" s="39">
        <f>D25*0.1</f>
        <v>690</v>
      </c>
      <c r="F25" s="4">
        <v>2500</v>
      </c>
      <c r="G25" s="4">
        <v>0.2</v>
      </c>
      <c r="H25" s="37">
        <f>G25*B25</f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2" t="s">
        <v>693</v>
      </c>
      <c r="B26" s="190"/>
      <c r="C26" s="151"/>
      <c r="D26" s="32"/>
      <c r="E26" s="92"/>
      <c r="F26" s="151"/>
      <c r="G26" s="151"/>
      <c r="H26" s="32"/>
      <c r="I26" s="2"/>
      <c r="J26" s="52">
        <f>SUM(J27:J31)</f>
        <v>2043.9875000000002</v>
      </c>
      <c r="K26" s="10">
        <v>2031</v>
      </c>
      <c r="L26" s="10">
        <f>K26-J26</f>
        <v>-12.987500000000182</v>
      </c>
    </row>
    <row r="27" spans="1:13" x14ac:dyDescent="0.25">
      <c r="A27" s="17" t="s">
        <v>694</v>
      </c>
      <c r="B27" s="4">
        <v>1</v>
      </c>
      <c r="C27" s="4">
        <v>4900</v>
      </c>
      <c r="D27" s="37">
        <f>B27*C27</f>
        <v>4900</v>
      </c>
      <c r="E27" s="39">
        <f>D27*0.1</f>
        <v>490</v>
      </c>
      <c r="F27" s="4">
        <v>0</v>
      </c>
      <c r="G27" s="4">
        <v>0.15</v>
      </c>
      <c r="H27" s="37">
        <f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695</v>
      </c>
      <c r="B28" s="4">
        <v>1</v>
      </c>
      <c r="C28" s="4">
        <v>4900</v>
      </c>
      <c r="D28" s="37">
        <f>B28*C28</f>
        <v>4900</v>
      </c>
      <c r="E28" s="39">
        <f>D28*0.1</f>
        <v>490</v>
      </c>
      <c r="F28" s="4">
        <v>0</v>
      </c>
      <c r="G28" s="4">
        <v>0.1</v>
      </c>
      <c r="H28" s="37">
        <f>G28*B28</f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696</v>
      </c>
      <c r="B29" s="4">
        <v>1</v>
      </c>
      <c r="C29" s="4">
        <v>4900</v>
      </c>
      <c r="D29" s="37">
        <f>B29*C29</f>
        <v>4900</v>
      </c>
      <c r="E29" s="39">
        <f>D29*0.1</f>
        <v>490</v>
      </c>
      <c r="F29" s="4">
        <v>0</v>
      </c>
      <c r="G29" s="4">
        <v>0.1</v>
      </c>
      <c r="H29" s="37">
        <f>G29*B29</f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69" t="s">
        <v>697</v>
      </c>
      <c r="B30" s="4">
        <v>1</v>
      </c>
      <c r="C30" s="4">
        <v>4900</v>
      </c>
      <c r="D30" s="37">
        <f>B30*C30</f>
        <v>4900</v>
      </c>
      <c r="E30" s="39">
        <f>D30*0.1</f>
        <v>490</v>
      </c>
      <c r="F30" s="4">
        <v>0</v>
      </c>
      <c r="G30" s="4">
        <v>0.15</v>
      </c>
      <c r="H30" s="37">
        <f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1" t="s">
        <v>698</v>
      </c>
      <c r="B31" s="4">
        <v>1</v>
      </c>
      <c r="C31" s="4">
        <v>9800</v>
      </c>
      <c r="D31" s="37">
        <f>B31*C31</f>
        <v>9800</v>
      </c>
      <c r="E31" s="39">
        <f>D31*0.1</f>
        <v>980</v>
      </c>
      <c r="F31" s="4">
        <f>2500/2</f>
        <v>1250</v>
      </c>
      <c r="G31" s="4">
        <v>0.4</v>
      </c>
      <c r="H31" s="37">
        <f>G31*B31</f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42198</v>
      </c>
      <c r="D1" s="30"/>
    </row>
    <row r="2" spans="1:12" ht="21" x14ac:dyDescent="0.35">
      <c r="A2" s="55" t="s">
        <v>239</v>
      </c>
      <c r="B2" s="4"/>
      <c r="C2" s="16">
        <v>7980</v>
      </c>
      <c r="D2" s="30" t="s">
        <v>723</v>
      </c>
    </row>
    <row r="3" spans="1:12" ht="21" x14ac:dyDescent="0.35">
      <c r="A3" s="55" t="s">
        <v>240</v>
      </c>
      <c r="B3" s="4"/>
      <c r="C3" s="170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705</v>
      </c>
      <c r="B6" s="151"/>
      <c r="C6" s="151"/>
      <c r="D6" s="32"/>
      <c r="E6" s="92"/>
      <c r="F6" s="177"/>
      <c r="G6" s="124"/>
      <c r="H6" s="32"/>
      <c r="I6" s="2"/>
      <c r="J6" s="52">
        <f>J7</f>
        <v>957.84087999999997</v>
      </c>
      <c r="K6" s="10">
        <f>896+62</f>
        <v>958</v>
      </c>
      <c r="L6" s="10">
        <f>K6-J6</f>
        <v>0.1591200000000299</v>
      </c>
    </row>
    <row r="7" spans="1:12" x14ac:dyDescent="0.25">
      <c r="A7" s="4" t="s">
        <v>706</v>
      </c>
      <c r="B7" s="4">
        <v>1</v>
      </c>
      <c r="C7" s="4">
        <v>11000</v>
      </c>
      <c r="D7" s="37">
        <f>B7*C7</f>
        <v>11000</v>
      </c>
      <c r="E7" s="39">
        <f>D7*0.1</f>
        <v>1100</v>
      </c>
      <c r="F7" s="4">
        <v>0</v>
      </c>
      <c r="G7" s="4">
        <v>0.8</v>
      </c>
      <c r="H7" s="37">
        <f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2" t="s">
        <v>707</v>
      </c>
      <c r="B8" s="151"/>
      <c r="C8" s="151"/>
      <c r="D8" s="32"/>
      <c r="E8" s="92"/>
      <c r="F8" s="151"/>
      <c r="G8" s="151"/>
      <c r="H8" s="32"/>
      <c r="I8" s="2"/>
      <c r="J8" s="52">
        <f>J9</f>
        <v>890.11213999999995</v>
      </c>
      <c r="K8" s="10">
        <f>850+40</f>
        <v>890</v>
      </c>
      <c r="L8" s="10">
        <f>K8-J8</f>
        <v>-0.11213999999995394</v>
      </c>
    </row>
    <row r="9" spans="1:12" x14ac:dyDescent="0.25">
      <c r="A9" s="4" t="s">
        <v>708</v>
      </c>
      <c r="B9" s="4">
        <v>1</v>
      </c>
      <c r="C9" s="4">
        <v>10900</v>
      </c>
      <c r="D9" s="37">
        <f>B9*C9</f>
        <v>10900</v>
      </c>
      <c r="E9" s="39">
        <f>D9*0.1</f>
        <v>1090</v>
      </c>
      <c r="F9" s="4">
        <v>0</v>
      </c>
      <c r="G9" s="4">
        <v>0.65</v>
      </c>
      <c r="H9" s="37">
        <f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2" t="s">
        <v>709</v>
      </c>
      <c r="B10" s="190"/>
      <c r="C10" s="151"/>
      <c r="D10" s="32"/>
      <c r="E10" s="92"/>
      <c r="F10" s="151"/>
      <c r="G10" s="151"/>
      <c r="H10" s="32"/>
      <c r="I10" s="2"/>
      <c r="J10" s="52">
        <f>J11</f>
        <v>816.37227999999993</v>
      </c>
      <c r="K10" s="10">
        <f>540+276</f>
        <v>816</v>
      </c>
      <c r="L10" s="10">
        <f>K10-J10</f>
        <v>-0.37227999999993244</v>
      </c>
    </row>
    <row r="11" spans="1:12" x14ac:dyDescent="0.25">
      <c r="A11" s="169" t="s">
        <v>636</v>
      </c>
      <c r="B11" s="4">
        <v>1</v>
      </c>
      <c r="C11" s="4">
        <v>4480</v>
      </c>
      <c r="D11" s="37">
        <f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2" t="s">
        <v>682</v>
      </c>
      <c r="B12" s="190"/>
      <c r="C12" s="151"/>
      <c r="D12" s="32"/>
      <c r="E12" s="92"/>
      <c r="F12" s="151"/>
      <c r="G12" s="151"/>
      <c r="H12" s="32"/>
      <c r="I12" s="2"/>
      <c r="J12" s="52">
        <f>J13</f>
        <v>320.66215999999997</v>
      </c>
      <c r="K12" s="10">
        <v>315</v>
      </c>
      <c r="L12" s="10">
        <f>K12-J12</f>
        <v>-5.6621599999999717</v>
      </c>
    </row>
    <row r="13" spans="1:12" x14ac:dyDescent="0.25">
      <c r="A13" s="6" t="s">
        <v>710</v>
      </c>
      <c r="B13" s="5">
        <v>1</v>
      </c>
      <c r="C13" s="4">
        <v>4900</v>
      </c>
      <c r="D13" s="37">
        <f>B13*C13</f>
        <v>4900</v>
      </c>
      <c r="E13" s="39">
        <f>D13*0.1</f>
        <v>490</v>
      </c>
      <c r="F13" s="5">
        <v>0</v>
      </c>
      <c r="G13" s="5">
        <v>0.1</v>
      </c>
      <c r="H13" s="37">
        <f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2" t="s">
        <v>711</v>
      </c>
      <c r="B14" s="190"/>
      <c r="C14" s="151"/>
      <c r="D14" s="32"/>
      <c r="E14" s="92"/>
      <c r="F14" s="151"/>
      <c r="G14" s="151"/>
      <c r="H14" s="32"/>
      <c r="I14" s="2"/>
      <c r="J14" s="52">
        <f>J15</f>
        <v>320.66215999999997</v>
      </c>
      <c r="K14" s="10">
        <f>315+6</f>
        <v>321</v>
      </c>
      <c r="L14" s="10">
        <f>K14-J14</f>
        <v>0.33784000000002834</v>
      </c>
    </row>
    <row r="15" spans="1:12" x14ac:dyDescent="0.25">
      <c r="A15" s="5" t="s">
        <v>720</v>
      </c>
      <c r="B15" s="5">
        <v>1</v>
      </c>
      <c r="C15" s="5">
        <v>4900</v>
      </c>
      <c r="D15" s="37">
        <f>B15*C15</f>
        <v>4900</v>
      </c>
      <c r="E15" s="39">
        <f>D15*0.1</f>
        <v>490</v>
      </c>
      <c r="F15" s="5">
        <v>0</v>
      </c>
      <c r="G15" s="5">
        <v>0.1</v>
      </c>
      <c r="H15" s="37">
        <f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2" t="s">
        <v>382</v>
      </c>
      <c r="B16" s="190"/>
      <c r="C16" s="151"/>
      <c r="D16" s="32"/>
      <c r="E16" s="92"/>
      <c r="F16" s="151"/>
      <c r="G16" s="151"/>
      <c r="H16" s="32"/>
      <c r="I16" s="2"/>
      <c r="J16" s="52">
        <f>J17</f>
        <v>700.78258799999992</v>
      </c>
      <c r="K16" s="10">
        <f>635+65</f>
        <v>700</v>
      </c>
      <c r="L16" s="10">
        <f>K16-J16</f>
        <v>-0.78258799999991879</v>
      </c>
    </row>
    <row r="17" spans="1:12" x14ac:dyDescent="0.25">
      <c r="A17" s="4" t="s">
        <v>712</v>
      </c>
      <c r="B17" s="4">
        <v>1</v>
      </c>
      <c r="C17" s="4">
        <v>9900</v>
      </c>
      <c r="D17" s="37">
        <f>B17*C17</f>
        <v>9900</v>
      </c>
      <c r="E17" s="39">
        <f>D17*0.1</f>
        <v>990</v>
      </c>
      <c r="F17" s="4">
        <v>0</v>
      </c>
      <c r="G17" s="4">
        <v>0.33</v>
      </c>
      <c r="H17" s="37">
        <f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2" t="s">
        <v>181</v>
      </c>
      <c r="B18" s="190"/>
      <c r="C18" s="151"/>
      <c r="D18" s="32"/>
      <c r="E18" s="92"/>
      <c r="F18" s="151"/>
      <c r="G18" s="151"/>
      <c r="H18" s="32"/>
      <c r="I18" s="2"/>
      <c r="J18" s="52">
        <f>J19</f>
        <v>0</v>
      </c>
      <c r="K18" s="10">
        <v>1041</v>
      </c>
      <c r="L18" s="10">
        <f>K18-J18</f>
        <v>1041</v>
      </c>
    </row>
    <row r="19" spans="1:12" x14ac:dyDescent="0.25">
      <c r="A19" s="4" t="s">
        <v>199</v>
      </c>
      <c r="B19" s="18" t="s">
        <v>236</v>
      </c>
      <c r="C19" s="18"/>
      <c r="D19" s="192"/>
      <c r="E19" s="112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2" t="s">
        <v>331</v>
      </c>
      <c r="B20" s="190"/>
      <c r="C20" s="151"/>
      <c r="D20" s="32"/>
      <c r="E20" s="92"/>
      <c r="F20" s="151"/>
      <c r="G20" s="151"/>
      <c r="H20" s="32"/>
      <c r="I20" s="2"/>
      <c r="J20" s="52">
        <f>SUM(J21:J23)</f>
        <v>2938.7121999999999</v>
      </c>
      <c r="K20" s="10">
        <f>2883+117</f>
        <v>3000</v>
      </c>
      <c r="L20" s="10">
        <f>K20-J20</f>
        <v>61.287800000000061</v>
      </c>
    </row>
    <row r="21" spans="1:12" x14ac:dyDescent="0.25">
      <c r="A21" s="17" t="s">
        <v>713</v>
      </c>
      <c r="B21" s="4">
        <v>1</v>
      </c>
      <c r="C21" s="4">
        <v>9900</v>
      </c>
      <c r="D21" s="37">
        <f>B21*C21</f>
        <v>9900</v>
      </c>
      <c r="E21" s="39">
        <f>D21*0.1</f>
        <v>990</v>
      </c>
      <c r="F21" s="5">
        <v>0</v>
      </c>
      <c r="G21" s="5">
        <v>0.2</v>
      </c>
      <c r="H21" s="37">
        <f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714</v>
      </c>
      <c r="B22" s="4">
        <v>1</v>
      </c>
      <c r="C22" s="4">
        <v>9900</v>
      </c>
      <c r="D22" s="37">
        <f>B22*C22</f>
        <v>9900</v>
      </c>
      <c r="E22" s="39">
        <f>D22*0.1</f>
        <v>990</v>
      </c>
      <c r="F22" s="5">
        <v>0</v>
      </c>
      <c r="G22" s="5">
        <v>0.2</v>
      </c>
      <c r="H22" s="37">
        <f>G22*B22</f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715</v>
      </c>
      <c r="B23" s="4">
        <v>1</v>
      </c>
      <c r="C23" s="4">
        <v>24500</v>
      </c>
      <c r="D23" s="37">
        <f>B23*C23</f>
        <v>24500</v>
      </c>
      <c r="E23" s="39">
        <f>D23*0.1</f>
        <v>2450</v>
      </c>
      <c r="F23" s="4">
        <v>0</v>
      </c>
      <c r="G23" s="4">
        <v>0.6</v>
      </c>
      <c r="H23" s="37">
        <f>G23*B23</f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2" t="s">
        <v>675</v>
      </c>
      <c r="B24" s="190"/>
      <c r="C24" s="151"/>
      <c r="D24" s="32"/>
      <c r="E24" s="92"/>
      <c r="F24" s="151"/>
      <c r="G24" s="151"/>
      <c r="H24" s="32"/>
      <c r="I24" s="2"/>
      <c r="J24" s="52">
        <f>J25+J26</f>
        <v>2204.8373599999995</v>
      </c>
      <c r="K24" s="10">
        <f>860+207</f>
        <v>1067</v>
      </c>
      <c r="L24" s="10">
        <f>K24-J24</f>
        <v>-1137.8373599999995</v>
      </c>
    </row>
    <row r="25" spans="1:12" x14ac:dyDescent="0.25">
      <c r="A25" s="4" t="s">
        <v>716</v>
      </c>
      <c r="B25" s="21">
        <v>1</v>
      </c>
      <c r="C25" s="21">
        <v>14400</v>
      </c>
      <c r="D25" s="37">
        <f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717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2" t="s">
        <v>718</v>
      </c>
      <c r="B27" s="190"/>
      <c r="C27" s="151"/>
      <c r="D27" s="32"/>
      <c r="E27" s="92"/>
      <c r="F27" s="151"/>
      <c r="G27" s="151"/>
      <c r="H27" s="32"/>
      <c r="I27" s="2"/>
      <c r="J27" s="52">
        <f>SUM(J28:J30)</f>
        <v>8252.5215520000002</v>
      </c>
      <c r="K27" s="10">
        <f>7905+348</f>
        <v>8253</v>
      </c>
      <c r="L27" s="10">
        <f>K27-J27</f>
        <v>0.47844799999984389</v>
      </c>
    </row>
    <row r="28" spans="1:12" x14ac:dyDescent="0.25">
      <c r="A28" s="5" t="s">
        <v>722</v>
      </c>
      <c r="B28" s="4">
        <v>3</v>
      </c>
      <c r="C28" s="4">
        <v>14400</v>
      </c>
      <c r="D28" s="37">
        <f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719</v>
      </c>
      <c r="B29" s="4">
        <v>1</v>
      </c>
      <c r="C29" s="4">
        <v>16800</v>
      </c>
      <c r="D29" s="37">
        <f>B29*C29</f>
        <v>16800</v>
      </c>
      <c r="E29" s="39">
        <f>D29*0.1</f>
        <v>1680</v>
      </c>
      <c r="F29" s="4">
        <v>0</v>
      </c>
      <c r="G29" s="5">
        <v>7.0000000000000007E-2</v>
      </c>
      <c r="H29" s="37">
        <f>G29*B29</f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668</v>
      </c>
      <c r="B30" s="4">
        <v>7</v>
      </c>
      <c r="C30" s="4">
        <v>9900</v>
      </c>
      <c r="D30" s="37">
        <f>B30*C30</f>
        <v>69300</v>
      </c>
      <c r="E30" s="39">
        <f>D30*0.1</f>
        <v>6930</v>
      </c>
      <c r="F30" s="4">
        <v>2500</v>
      </c>
      <c r="G30" s="4">
        <v>0.22</v>
      </c>
      <c r="H30" s="37">
        <f>G30*B30</f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12" sqref="A12:XFD12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89">
        <v>42249</v>
      </c>
      <c r="D1" s="30"/>
    </row>
    <row r="2" spans="1:12" ht="21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2" t="s">
        <v>546</v>
      </c>
      <c r="B6" s="196"/>
      <c r="C6" s="124"/>
      <c r="D6" s="32"/>
      <c r="E6" s="92"/>
      <c r="F6" s="177"/>
      <c r="G6" s="124"/>
      <c r="H6" s="32"/>
      <c r="I6" s="2"/>
      <c r="J6" s="52">
        <f>J7</f>
        <v>660.38751000000002</v>
      </c>
      <c r="K6" s="10">
        <f>595+65</f>
        <v>660</v>
      </c>
      <c r="L6" s="10">
        <f>K6-J6</f>
        <v>-0.38751000000002023</v>
      </c>
    </row>
    <row r="7" spans="1:12" x14ac:dyDescent="0.25">
      <c r="A7" s="39" t="s">
        <v>725</v>
      </c>
      <c r="B7" s="98">
        <v>1</v>
      </c>
      <c r="C7" s="99">
        <v>9000</v>
      </c>
      <c r="D7" s="37">
        <f>B7*C7</f>
        <v>9000</v>
      </c>
      <c r="E7" s="39">
        <f>D7*0.1</f>
        <v>900</v>
      </c>
      <c r="F7" s="98">
        <v>0</v>
      </c>
      <c r="G7" s="99">
        <v>0.13</v>
      </c>
      <c r="H7" s="37">
        <f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2" t="s">
        <v>373</v>
      </c>
      <c r="B8" s="196"/>
      <c r="C8" s="124"/>
      <c r="D8" s="32"/>
      <c r="E8" s="92"/>
      <c r="F8" s="123"/>
      <c r="G8" s="124"/>
      <c r="H8" s="32"/>
      <c r="I8" s="2"/>
      <c r="J8" s="52">
        <f>J9</f>
        <v>660.38751000000002</v>
      </c>
      <c r="K8" s="10">
        <f>598+62</f>
        <v>660</v>
      </c>
      <c r="L8" s="10">
        <f>K8-J8</f>
        <v>-0.38751000000002023</v>
      </c>
    </row>
    <row r="9" spans="1:12" x14ac:dyDescent="0.25">
      <c r="A9" s="39" t="s">
        <v>725</v>
      </c>
      <c r="B9" s="98">
        <v>1</v>
      </c>
      <c r="C9" s="99">
        <v>9000</v>
      </c>
      <c r="D9" s="37">
        <f>B9*C9</f>
        <v>9000</v>
      </c>
      <c r="E9" s="39">
        <f>D9*0.1</f>
        <v>900</v>
      </c>
      <c r="F9" s="98">
        <v>0</v>
      </c>
      <c r="G9" s="99">
        <v>0.13</v>
      </c>
      <c r="H9" s="37">
        <f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2" t="s">
        <v>726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660.38751000000002</v>
      </c>
      <c r="K10" s="10">
        <f>595+65</f>
        <v>660</v>
      </c>
      <c r="L10" s="10">
        <f>K10-J10</f>
        <v>-0.38751000000002023</v>
      </c>
    </row>
    <row r="11" spans="1:12" x14ac:dyDescent="0.25">
      <c r="A11" s="39" t="s">
        <v>725</v>
      </c>
      <c r="B11" s="98">
        <v>1</v>
      </c>
      <c r="C11" s="99">
        <v>9000</v>
      </c>
      <c r="D11" s="37">
        <f>B11*C11</f>
        <v>9000</v>
      </c>
      <c r="E11" s="39">
        <f>D11*0.1</f>
        <v>900</v>
      </c>
      <c r="F11" s="98">
        <v>0</v>
      </c>
      <c r="G11" s="99">
        <v>0.13</v>
      </c>
      <c r="H11" s="37">
        <f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193">
        <v>51150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660.38751000000002</v>
      </c>
      <c r="K12" s="10">
        <f>595+65</f>
        <v>660</v>
      </c>
      <c r="L12" s="10">
        <f>K12-J12</f>
        <v>-0.38751000000002023</v>
      </c>
    </row>
    <row r="13" spans="1:12" x14ac:dyDescent="0.25">
      <c r="A13" s="39" t="s">
        <v>725</v>
      </c>
      <c r="B13" s="98">
        <v>1</v>
      </c>
      <c r="C13" s="99">
        <v>9000</v>
      </c>
      <c r="D13" s="37">
        <f>B13*C13</f>
        <v>9000</v>
      </c>
      <c r="E13" s="39">
        <f>D13*0.1</f>
        <v>900</v>
      </c>
      <c r="F13" s="98">
        <v>0</v>
      </c>
      <c r="G13" s="99">
        <v>0.13</v>
      </c>
      <c r="H13" s="37">
        <f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2" t="s">
        <v>727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660.38751000000002</v>
      </c>
      <c r="K14" s="10">
        <f>595+65</f>
        <v>660</v>
      </c>
      <c r="L14" s="10">
        <f>K14-J14</f>
        <v>-0.38751000000002023</v>
      </c>
    </row>
    <row r="15" spans="1:12" x14ac:dyDescent="0.25">
      <c r="A15" s="39" t="s">
        <v>725</v>
      </c>
      <c r="B15" s="98">
        <v>1</v>
      </c>
      <c r="C15" s="99">
        <v>9000</v>
      </c>
      <c r="D15" s="37">
        <f>B15*C15</f>
        <v>9000</v>
      </c>
      <c r="E15" s="39">
        <f>D15*0.1</f>
        <v>900</v>
      </c>
      <c r="F15" s="98">
        <v>0</v>
      </c>
      <c r="G15" s="99">
        <v>0.13</v>
      </c>
      <c r="H15" s="37">
        <f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2" t="s">
        <v>2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1320.77502</v>
      </c>
      <c r="K16" s="10">
        <f>1144+177</f>
        <v>1321</v>
      </c>
      <c r="L16" s="10">
        <f>K16-J16</f>
        <v>0.22497999999995955</v>
      </c>
    </row>
    <row r="17" spans="1:12" x14ac:dyDescent="0.25">
      <c r="A17" s="39" t="s">
        <v>725</v>
      </c>
      <c r="B17" s="98">
        <v>2</v>
      </c>
      <c r="C17" s="99">
        <v>9000</v>
      </c>
      <c r="D17" s="37">
        <f>B17*C17</f>
        <v>18000</v>
      </c>
      <c r="E17" s="39">
        <f>D17*0.1</f>
        <v>1800</v>
      </c>
      <c r="F17" s="98">
        <v>0</v>
      </c>
      <c r="G17" s="99">
        <v>0.13</v>
      </c>
      <c r="H17" s="37">
        <f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2" t="s">
        <v>728</v>
      </c>
      <c r="B18" s="196"/>
      <c r="C18" s="124"/>
      <c r="D18" s="32"/>
      <c r="E18" s="92"/>
      <c r="F18" s="123"/>
      <c r="G18" s="124"/>
      <c r="H18" s="32"/>
      <c r="I18" s="2"/>
      <c r="J18" s="52">
        <f>J19</f>
        <v>1320.77502</v>
      </c>
      <c r="K18" s="10">
        <f>1190+131</f>
        <v>1321</v>
      </c>
      <c r="L18" s="10">
        <f>K18-J18</f>
        <v>0.22497999999995955</v>
      </c>
    </row>
    <row r="19" spans="1:12" x14ac:dyDescent="0.25">
      <c r="A19" s="39" t="s">
        <v>725</v>
      </c>
      <c r="B19" s="98">
        <v>2</v>
      </c>
      <c r="C19" s="99">
        <v>9000</v>
      </c>
      <c r="D19" s="37">
        <f>B19*C19</f>
        <v>18000</v>
      </c>
      <c r="E19" s="39">
        <f>D19*0.1</f>
        <v>1800</v>
      </c>
      <c r="F19" s="98">
        <v>0</v>
      </c>
      <c r="G19" s="99">
        <v>0.13</v>
      </c>
      <c r="H19" s="37">
        <f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2" t="s">
        <v>729</v>
      </c>
      <c r="B20" s="196"/>
      <c r="C20" s="124"/>
      <c r="D20" s="32"/>
      <c r="E20" s="92"/>
      <c r="F20" s="123"/>
      <c r="G20" s="124"/>
      <c r="H20" s="32"/>
      <c r="I20" s="2"/>
      <c r="J20" s="52">
        <f>J21</f>
        <v>660.38751000000002</v>
      </c>
      <c r="K20" s="10">
        <f>595+65</f>
        <v>660</v>
      </c>
      <c r="L20" s="10">
        <f>K20-J20</f>
        <v>-0.38751000000002023</v>
      </c>
    </row>
    <row r="21" spans="1:12" x14ac:dyDescent="0.25">
      <c r="A21" s="39" t="s">
        <v>725</v>
      </c>
      <c r="B21" s="98">
        <v>1</v>
      </c>
      <c r="C21" s="99">
        <v>9000</v>
      </c>
      <c r="D21" s="37">
        <f>B21*C21</f>
        <v>9000</v>
      </c>
      <c r="E21" s="39">
        <f>D21*0.1</f>
        <v>900</v>
      </c>
      <c r="F21" s="98">
        <v>0</v>
      </c>
      <c r="G21" s="99">
        <v>0.13</v>
      </c>
      <c r="H21" s="37">
        <f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2" t="s">
        <v>181</v>
      </c>
      <c r="B22" s="196"/>
      <c r="C22" s="124"/>
      <c r="D22" s="32"/>
      <c r="E22" s="92"/>
      <c r="F22" s="123"/>
      <c r="G22" s="124"/>
      <c r="H22" s="32"/>
      <c r="I22" s="2"/>
      <c r="J22" s="52">
        <f>J23</f>
        <v>2443.50675</v>
      </c>
      <c r="K22" s="10">
        <f>1217+170</f>
        <v>1387</v>
      </c>
      <c r="L22" s="10">
        <f>K22-J22</f>
        <v>-1056.50675</v>
      </c>
    </row>
    <row r="23" spans="1:12" x14ac:dyDescent="0.25">
      <c r="A23" s="39" t="s">
        <v>199</v>
      </c>
      <c r="B23" s="98">
        <v>2</v>
      </c>
      <c r="C23" s="99">
        <v>17500</v>
      </c>
      <c r="D23" s="37">
        <f>B23*C23</f>
        <v>35000</v>
      </c>
      <c r="E23" s="39">
        <f>D23*0.1</f>
        <v>3500</v>
      </c>
      <c r="F23" s="98">
        <v>0</v>
      </c>
      <c r="G23" s="99">
        <v>0.125</v>
      </c>
      <c r="H23" s="37">
        <f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2" t="s">
        <v>730</v>
      </c>
      <c r="B24" s="196"/>
      <c r="C24" s="124"/>
      <c r="D24" s="32"/>
      <c r="E24" s="92"/>
      <c r="F24" s="123"/>
      <c r="G24" s="124"/>
      <c r="H24" s="32"/>
      <c r="I24" s="2"/>
      <c r="J24" s="52">
        <f>J25</f>
        <v>547.18632000000002</v>
      </c>
      <c r="K24" s="10">
        <v>547</v>
      </c>
      <c r="L24" s="10">
        <f>K24-J24</f>
        <v>-0.18632000000002336</v>
      </c>
    </row>
    <row r="25" spans="1:12" x14ac:dyDescent="0.25">
      <c r="A25" s="39" t="s">
        <v>203</v>
      </c>
      <c r="B25" s="98">
        <v>1</v>
      </c>
      <c r="C25" s="99">
        <v>4800</v>
      </c>
      <c r="D25" s="37">
        <f>B25*C25</f>
        <v>4800</v>
      </c>
      <c r="E25" s="39">
        <f>D25*0.1</f>
        <v>480</v>
      </c>
      <c r="F25" s="98">
        <v>2500</v>
      </c>
      <c r="G25" s="99">
        <v>0.16</v>
      </c>
      <c r="H25" s="37">
        <f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2" t="s">
        <v>731</v>
      </c>
      <c r="B26" s="196"/>
      <c r="C26" s="124"/>
      <c r="D26" s="32"/>
      <c r="E26" s="92"/>
      <c r="F26" s="123"/>
      <c r="G26" s="124"/>
      <c r="H26" s="32"/>
      <c r="I26" s="2"/>
      <c r="J26" s="52">
        <f>J27</f>
        <v>543.34521000000007</v>
      </c>
      <c r="K26" s="10">
        <v>495</v>
      </c>
      <c r="L26" s="10">
        <f>K26-J26</f>
        <v>-48.345210000000066</v>
      </c>
    </row>
    <row r="27" spans="1:12" x14ac:dyDescent="0.25">
      <c r="A27" s="39" t="s">
        <v>261</v>
      </c>
      <c r="B27" s="98">
        <v>1</v>
      </c>
      <c r="C27" s="99">
        <v>6500</v>
      </c>
      <c r="D27" s="37">
        <f>B27*C27</f>
        <v>6500</v>
      </c>
      <c r="E27" s="39">
        <f>D27*0.1</f>
        <v>650</v>
      </c>
      <c r="F27" s="98">
        <v>0</v>
      </c>
      <c r="G27" s="99">
        <v>0.23</v>
      </c>
      <c r="H27" s="37">
        <f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2" t="s">
        <v>732</v>
      </c>
      <c r="B28" s="196"/>
      <c r="C28" s="124"/>
      <c r="D28" s="32"/>
      <c r="E28" s="92"/>
      <c r="F28" s="123"/>
      <c r="G28" s="124"/>
      <c r="H28" s="32"/>
      <c r="I28" s="2"/>
      <c r="J28" s="52">
        <f>SUM(J29:J31)</f>
        <v>2750.4518399999997</v>
      </c>
      <c r="K28" s="10">
        <f>2388+362</f>
        <v>2750</v>
      </c>
      <c r="L28" s="10">
        <f>K28-J28</f>
        <v>-0.45183999999972002</v>
      </c>
    </row>
    <row r="29" spans="1:12" x14ac:dyDescent="0.25">
      <c r="A29" s="194" t="s">
        <v>733</v>
      </c>
      <c r="B29" s="197">
        <v>1</v>
      </c>
      <c r="C29" s="162">
        <v>9900</v>
      </c>
      <c r="D29" s="37">
        <f>B29*C29</f>
        <v>9900</v>
      </c>
      <c r="E29" s="39">
        <f>D29*0.1</f>
        <v>990</v>
      </c>
      <c r="F29" s="197">
        <v>0</v>
      </c>
      <c r="G29" s="115">
        <v>0.35</v>
      </c>
      <c r="H29" s="37">
        <f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734</v>
      </c>
      <c r="B30" s="98">
        <v>1</v>
      </c>
      <c r="C30" s="99">
        <v>11900</v>
      </c>
      <c r="D30" s="37">
        <f>B30*C30</f>
        <v>11900</v>
      </c>
      <c r="E30" s="39">
        <f>D30*0.1</f>
        <v>1190</v>
      </c>
      <c r="F30" s="98">
        <v>0</v>
      </c>
      <c r="G30" s="99">
        <v>0.35</v>
      </c>
      <c r="H30" s="37">
        <f>G30*B30</f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509</v>
      </c>
      <c r="B31" s="98">
        <v>1</v>
      </c>
      <c r="C31" s="99">
        <v>12900</v>
      </c>
      <c r="D31" s="37">
        <f>B31*C31</f>
        <v>12900</v>
      </c>
      <c r="E31" s="39">
        <f>D31*0.1</f>
        <v>1290</v>
      </c>
      <c r="F31" s="98">
        <v>0</v>
      </c>
      <c r="G31" s="99">
        <v>0.22</v>
      </c>
      <c r="H31" s="37">
        <f>G31*B31</f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2" t="s">
        <v>750</v>
      </c>
      <c r="B32" s="196"/>
      <c r="C32" s="124"/>
      <c r="D32" s="32"/>
      <c r="E32" s="92"/>
      <c r="F32" s="123"/>
      <c r="G32" s="124"/>
      <c r="H32" s="32"/>
      <c r="I32" s="2"/>
      <c r="J32" s="52">
        <f>J33</f>
        <v>763.98893999999996</v>
      </c>
      <c r="K32" s="10">
        <f>703+61</f>
        <v>764</v>
      </c>
      <c r="L32" s="10">
        <f>K32-J32</f>
        <v>1.1060000000043146E-2</v>
      </c>
    </row>
    <row r="33" spans="1:13" x14ac:dyDescent="0.25">
      <c r="A33" s="39" t="s">
        <v>668</v>
      </c>
      <c r="B33" s="98">
        <v>1</v>
      </c>
      <c r="C33" s="99">
        <v>9900</v>
      </c>
      <c r="D33" s="37">
        <f>B33*C33</f>
        <v>9900</v>
      </c>
      <c r="E33" s="39">
        <f>D33*0.1</f>
        <v>990</v>
      </c>
      <c r="F33" s="98">
        <v>0</v>
      </c>
      <c r="G33" s="99">
        <v>0.22</v>
      </c>
      <c r="H33" s="37">
        <f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2" t="s">
        <v>500</v>
      </c>
      <c r="B34" s="196"/>
      <c r="C34" s="124"/>
      <c r="D34" s="32"/>
      <c r="E34" s="92"/>
      <c r="F34" s="123"/>
      <c r="G34" s="124"/>
      <c r="H34" s="32"/>
      <c r="I34" s="2"/>
      <c r="J34" s="52">
        <f>J35</f>
        <v>2037.1390200000001</v>
      </c>
      <c r="K34" s="10">
        <f>1695+342</f>
        <v>2037</v>
      </c>
      <c r="L34" s="10">
        <f>K34-J34</f>
        <v>-0.1390200000000732</v>
      </c>
    </row>
    <row r="35" spans="1:13" x14ac:dyDescent="0.25">
      <c r="A35" s="130" t="s">
        <v>735</v>
      </c>
      <c r="B35" s="98">
        <v>2</v>
      </c>
      <c r="C35" s="99">
        <v>14400</v>
      </c>
      <c r="D35" s="37">
        <f>B35*C35</f>
        <v>28800</v>
      </c>
      <c r="E35" s="39">
        <f>D35*0.1</f>
        <v>2880</v>
      </c>
      <c r="F35" s="98">
        <v>0</v>
      </c>
      <c r="G35" s="115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2" t="s">
        <v>736</v>
      </c>
      <c r="B36" s="196"/>
      <c r="C36" s="124"/>
      <c r="D36" s="32"/>
      <c r="E36" s="92"/>
      <c r="F36" s="123"/>
      <c r="G36" s="124"/>
      <c r="H36" s="32"/>
      <c r="I36" s="2"/>
      <c r="J36" s="52">
        <f>J37</f>
        <v>359.56889999999999</v>
      </c>
      <c r="K36" s="10">
        <f>330+30</f>
        <v>360</v>
      </c>
      <c r="L36" s="10">
        <f>K36-J36</f>
        <v>0.43110000000001492</v>
      </c>
    </row>
    <row r="37" spans="1:13" x14ac:dyDescent="0.25">
      <c r="A37" s="39" t="s">
        <v>437</v>
      </c>
      <c r="B37" s="98">
        <v>1</v>
      </c>
      <c r="C37" s="99">
        <f>7900/2</f>
        <v>3950</v>
      </c>
      <c r="D37" s="37">
        <f>B37*C37</f>
        <v>3950</v>
      </c>
      <c r="E37" s="39">
        <f>D37*0.1</f>
        <v>395</v>
      </c>
      <c r="F37" s="98">
        <v>0</v>
      </c>
      <c r="G37" s="99">
        <v>0.2</v>
      </c>
      <c r="H37" s="37">
        <f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2" t="s">
        <v>737</v>
      </c>
      <c r="B38" s="196"/>
      <c r="C38" s="124"/>
      <c r="D38" s="32"/>
      <c r="E38" s="92"/>
      <c r="F38" s="123"/>
      <c r="G38" s="124"/>
      <c r="H38" s="32"/>
      <c r="I38" s="2"/>
      <c r="J38" s="52">
        <f>J39</f>
        <v>359.56889999999999</v>
      </c>
      <c r="K38" s="10">
        <f>330+30</f>
        <v>360</v>
      </c>
      <c r="L38" s="10">
        <f>K38-J38</f>
        <v>0.43110000000001492</v>
      </c>
      <c r="M38" t="s">
        <v>752</v>
      </c>
    </row>
    <row r="39" spans="1:13" x14ac:dyDescent="0.25">
      <c r="A39" s="39" t="s">
        <v>437</v>
      </c>
      <c r="B39" s="98">
        <v>1</v>
      </c>
      <c r="C39" s="99">
        <f>7900/2</f>
        <v>3950</v>
      </c>
      <c r="D39" s="37">
        <f>B39*C39</f>
        <v>3950</v>
      </c>
      <c r="E39" s="39">
        <f>D39*0.1</f>
        <v>395</v>
      </c>
      <c r="F39" s="98">
        <v>0</v>
      </c>
      <c r="G39" s="99">
        <v>0.2</v>
      </c>
      <c r="H39" s="37">
        <f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2" t="s">
        <v>458</v>
      </c>
      <c r="B40" s="196"/>
      <c r="C40" s="124"/>
      <c r="D40" s="32"/>
      <c r="E40" s="92"/>
      <c r="F40" s="123"/>
      <c r="G40" s="124"/>
      <c r="H40" s="32"/>
      <c r="I40" s="2"/>
      <c r="J40" s="52">
        <f>J41</f>
        <v>971.31240000000003</v>
      </c>
      <c r="K40" s="10">
        <f>895+76</f>
        <v>971</v>
      </c>
      <c r="L40" s="10">
        <f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>B41*C41</f>
        <v>10900</v>
      </c>
      <c r="E41" s="39">
        <f>D41*0.1</f>
        <v>1090</v>
      </c>
      <c r="F41" s="98">
        <v>2500</v>
      </c>
      <c r="G41" s="99">
        <v>0.2</v>
      </c>
      <c r="H41" s="37">
        <f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2" t="s">
        <v>748</v>
      </c>
      <c r="B42" s="196"/>
      <c r="C42" s="124"/>
      <c r="D42" s="32"/>
      <c r="E42" s="92"/>
      <c r="F42" s="123"/>
      <c r="G42" s="124"/>
      <c r="H42" s="32"/>
      <c r="I42" s="2"/>
      <c r="J42" s="52">
        <f>J43</f>
        <v>1873.8586799999998</v>
      </c>
      <c r="K42" s="10">
        <f>1460+414</f>
        <v>1874</v>
      </c>
      <c r="L42" s="10">
        <f>K42-J42</f>
        <v>0.14132000000017797</v>
      </c>
    </row>
    <row r="43" spans="1:13" x14ac:dyDescent="0.25">
      <c r="A43" s="195" t="s">
        <v>749</v>
      </c>
      <c r="B43" s="181">
        <v>1</v>
      </c>
      <c r="C43" s="180">
        <v>19800</v>
      </c>
      <c r="D43" s="37">
        <f>B43*C43</f>
        <v>19800</v>
      </c>
      <c r="E43" s="39">
        <f>D43*0.1</f>
        <v>1980</v>
      </c>
      <c r="F43" s="98">
        <v>2500</v>
      </c>
      <c r="G43" s="180">
        <v>0.84</v>
      </c>
      <c r="H43" s="37">
        <f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2" t="s">
        <v>354</v>
      </c>
      <c r="B44" s="196"/>
      <c r="C44" s="124"/>
      <c r="D44" s="32"/>
      <c r="E44" s="92"/>
      <c r="F44" s="123"/>
      <c r="G44" s="124"/>
      <c r="H44" s="32"/>
      <c r="I44" s="2"/>
      <c r="J44" s="52">
        <f>J45</f>
        <v>827.40644999999995</v>
      </c>
      <c r="K44" s="10">
        <v>213</v>
      </c>
      <c r="L44" s="10">
        <f>K44-J44</f>
        <v>-614.40644999999995</v>
      </c>
    </row>
    <row r="45" spans="1:13" ht="15.75" thickBot="1" x14ac:dyDescent="0.3">
      <c r="A45" s="164" t="s">
        <v>733</v>
      </c>
      <c r="B45" s="198">
        <v>1</v>
      </c>
      <c r="C45" s="199">
        <v>9900</v>
      </c>
      <c r="D45" s="37">
        <f>B45*C45</f>
        <v>9900</v>
      </c>
      <c r="E45" s="39">
        <f>D45*0.1</f>
        <v>990</v>
      </c>
      <c r="F45" s="102">
        <v>0</v>
      </c>
      <c r="G45" s="200">
        <v>0.35</v>
      </c>
      <c r="H45" s="37">
        <f>G45*B45</f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738</v>
      </c>
    </row>
    <row r="48" spans="1:13" ht="31.5" x14ac:dyDescent="0.5">
      <c r="A48" s="152" t="s">
        <v>731</v>
      </c>
      <c r="B48" s="36" t="s">
        <v>742</v>
      </c>
    </row>
    <row r="49" spans="1:2" x14ac:dyDescent="0.25">
      <c r="A49" t="s">
        <v>739</v>
      </c>
    </row>
    <row r="50" spans="1:2" ht="31.5" x14ac:dyDescent="0.5">
      <c r="A50" s="152" t="s">
        <v>730</v>
      </c>
    </row>
    <row r="51" spans="1:2" x14ac:dyDescent="0.25">
      <c r="A51" t="s">
        <v>743</v>
      </c>
      <c r="B51" s="36" t="s">
        <v>740</v>
      </c>
    </row>
    <row r="52" spans="1:2" x14ac:dyDescent="0.25">
      <c r="A52" t="s">
        <v>743</v>
      </c>
      <c r="B52" s="36" t="s">
        <v>741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281</v>
      </c>
      <c r="B1" s="4"/>
      <c r="C1" s="189">
        <v>42263</v>
      </c>
      <c r="D1" s="30"/>
    </row>
    <row r="2" spans="1:13" ht="21" x14ac:dyDescent="0.35">
      <c r="A2" s="55" t="s">
        <v>239</v>
      </c>
      <c r="B2" s="4"/>
      <c r="C2" s="16">
        <v>8350</v>
      </c>
      <c r="D2" s="30" t="s">
        <v>724</v>
      </c>
    </row>
    <row r="3" spans="1:13" ht="21" x14ac:dyDescent="0.35">
      <c r="A3" s="55" t="s">
        <v>240</v>
      </c>
      <c r="B3" s="4"/>
      <c r="C3" s="170">
        <v>5.8000000000000003E-2</v>
      </c>
      <c r="D3" s="30" t="s">
        <v>704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2" t="s">
        <v>732</v>
      </c>
      <c r="B6" s="196"/>
      <c r="C6" s="124"/>
      <c r="D6" s="32"/>
      <c r="E6" s="92"/>
      <c r="F6" s="177"/>
      <c r="G6" s="124"/>
      <c r="H6" s="32"/>
      <c r="I6" s="2"/>
      <c r="J6" s="52">
        <f>J7</f>
        <v>963.81500000000005</v>
      </c>
      <c r="K6" s="10">
        <v>992</v>
      </c>
      <c r="L6" s="10">
        <f>K6-J6</f>
        <v>28.184999999999945</v>
      </c>
    </row>
    <row r="7" spans="1:13" x14ac:dyDescent="0.25">
      <c r="A7" s="39" t="s">
        <v>753</v>
      </c>
      <c r="B7" s="201">
        <v>1</v>
      </c>
      <c r="C7" s="202">
        <v>7900</v>
      </c>
      <c r="D7" s="37">
        <f>B7*C7</f>
        <v>7900</v>
      </c>
      <c r="E7" s="39">
        <f>D7*0.1</f>
        <v>790</v>
      </c>
      <c r="F7" s="98">
        <v>2500</v>
      </c>
      <c r="G7" s="202">
        <v>0.65</v>
      </c>
      <c r="H7" s="37">
        <f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2" t="s">
        <v>382</v>
      </c>
      <c r="B8" s="196"/>
      <c r="C8" s="124"/>
      <c r="D8" s="32"/>
      <c r="E8" s="92"/>
      <c r="F8" s="123"/>
      <c r="G8" s="124"/>
      <c r="H8" s="32"/>
      <c r="I8" s="2"/>
      <c r="J8" s="52">
        <f>J9</f>
        <v>956.94200000000001</v>
      </c>
      <c r="K8" s="10">
        <v>918</v>
      </c>
      <c r="L8" s="10">
        <f>K8-J8</f>
        <v>-38.942000000000007</v>
      </c>
    </row>
    <row r="9" spans="1:13" x14ac:dyDescent="0.25">
      <c r="A9" s="130" t="s">
        <v>754</v>
      </c>
      <c r="B9" s="98">
        <v>1</v>
      </c>
      <c r="C9" s="99">
        <v>10900</v>
      </c>
      <c r="D9" s="37">
        <f>B9*C9</f>
        <v>10900</v>
      </c>
      <c r="E9" s="39">
        <f>D9*0.1</f>
        <v>1090</v>
      </c>
      <c r="F9" s="98">
        <v>0</v>
      </c>
      <c r="G9" s="99">
        <v>0.54</v>
      </c>
      <c r="H9" s="37">
        <f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2" t="s">
        <v>755</v>
      </c>
      <c r="B10" s="196"/>
      <c r="C10" s="124"/>
      <c r="D10" s="32"/>
      <c r="E10" s="92"/>
      <c r="F10" s="123"/>
      <c r="G10" s="124"/>
      <c r="H10" s="32"/>
      <c r="I10" s="2"/>
      <c r="J10" s="52">
        <f>J11</f>
        <v>690.43200000000002</v>
      </c>
      <c r="K10" s="10">
        <v>1797</v>
      </c>
      <c r="L10" s="10">
        <f>K10-J10</f>
        <v>1106.568</v>
      </c>
    </row>
    <row r="11" spans="1:13" x14ac:dyDescent="0.25">
      <c r="A11" s="39" t="s">
        <v>756</v>
      </c>
      <c r="B11" s="98">
        <v>3</v>
      </c>
      <c r="C11" s="99">
        <v>3000</v>
      </c>
      <c r="D11" s="37">
        <f>B11*C11</f>
        <v>9000</v>
      </c>
      <c r="E11" s="39">
        <f>D11*0.1</f>
        <v>900</v>
      </c>
      <c r="F11" s="98">
        <v>0</v>
      </c>
      <c r="G11" s="99">
        <v>0.08</v>
      </c>
      <c r="H11" s="37">
        <f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2" t="s">
        <v>757</v>
      </c>
      <c r="B12" s="196"/>
      <c r="C12" s="124"/>
      <c r="D12" s="32"/>
      <c r="E12" s="92"/>
      <c r="F12" s="123"/>
      <c r="G12" s="124"/>
      <c r="H12" s="32"/>
      <c r="I12" s="2"/>
      <c r="J12" s="52">
        <f>J13</f>
        <v>437.00100000000003</v>
      </c>
      <c r="K12" s="10">
        <f>416+21</f>
        <v>437</v>
      </c>
      <c r="L12" s="10">
        <f>K12-J12</f>
        <v>-1.0000000000331966E-3</v>
      </c>
    </row>
    <row r="13" spans="1:13" x14ac:dyDescent="0.25">
      <c r="A13" s="39" t="s">
        <v>758</v>
      </c>
      <c r="B13" s="98">
        <v>1</v>
      </c>
      <c r="C13" s="99">
        <v>4800</v>
      </c>
      <c r="D13" s="37">
        <f>B13*C13</f>
        <v>4800</v>
      </c>
      <c r="E13" s="39">
        <f>D13*0.1</f>
        <v>480</v>
      </c>
      <c r="F13" s="98">
        <v>0</v>
      </c>
      <c r="G13" s="99">
        <v>0.27</v>
      </c>
      <c r="H13" s="37">
        <f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2" t="s">
        <v>759</v>
      </c>
      <c r="B14" s="196"/>
      <c r="C14" s="124"/>
      <c r="D14" s="32"/>
      <c r="E14" s="92"/>
      <c r="F14" s="123"/>
      <c r="G14" s="124"/>
      <c r="H14" s="32"/>
      <c r="I14" s="2"/>
      <c r="J14" s="52">
        <f>J15</f>
        <v>364.53000000000003</v>
      </c>
      <c r="K14" s="10">
        <f>377-12</f>
        <v>365</v>
      </c>
      <c r="L14" s="10">
        <f>K14-J14</f>
        <v>0.46999999999997044</v>
      </c>
      <c r="M14" t="s">
        <v>776</v>
      </c>
    </row>
    <row r="15" spans="1:13" x14ac:dyDescent="0.25">
      <c r="A15" s="39" t="s">
        <v>760</v>
      </c>
      <c r="B15" s="98">
        <v>1</v>
      </c>
      <c r="C15" s="99">
        <v>4500</v>
      </c>
      <c r="D15" s="37">
        <f>B15*C15</f>
        <v>4500</v>
      </c>
      <c r="E15" s="39">
        <f>D15*0.1</f>
        <v>450</v>
      </c>
      <c r="F15" s="98">
        <v>500</v>
      </c>
      <c r="G15" s="99">
        <v>0.1</v>
      </c>
      <c r="H15" s="37">
        <f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2" t="s">
        <v>680</v>
      </c>
      <c r="B16" s="196"/>
      <c r="C16" s="124"/>
      <c r="D16" s="32"/>
      <c r="E16" s="92"/>
      <c r="F16" s="123"/>
      <c r="G16" s="124"/>
      <c r="H16" s="32"/>
      <c r="I16" s="2"/>
      <c r="J16" s="52">
        <f>J17</f>
        <v>1352.8790000000001</v>
      </c>
      <c r="K16" s="10">
        <v>1392</v>
      </c>
      <c r="L16" s="10">
        <f>K16-J16</f>
        <v>39.120999999999867</v>
      </c>
    </row>
    <row r="17" spans="1:13" x14ac:dyDescent="0.25">
      <c r="A17" s="39" t="s">
        <v>761</v>
      </c>
      <c r="B17" s="98">
        <v>1</v>
      </c>
      <c r="C17" s="99">
        <v>18700</v>
      </c>
      <c r="D17" s="37">
        <f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2" t="s">
        <v>2</v>
      </c>
      <c r="B18" s="196"/>
      <c r="C18" s="124"/>
      <c r="D18" s="32"/>
      <c r="E18" s="92"/>
      <c r="F18" s="123"/>
      <c r="G18" s="124"/>
      <c r="H18" s="32"/>
      <c r="I18" s="2"/>
      <c r="J18" s="52">
        <f>J19+J20</f>
        <v>1230.18</v>
      </c>
      <c r="K18" s="10">
        <f>1273-89</f>
        <v>1184</v>
      </c>
      <c r="L18" s="10">
        <f>K18-J18</f>
        <v>-46.180000000000064</v>
      </c>
      <c r="M18" t="s">
        <v>777</v>
      </c>
    </row>
    <row r="19" spans="1:13" x14ac:dyDescent="0.25">
      <c r="A19" s="39" t="s">
        <v>762</v>
      </c>
      <c r="B19" s="98">
        <v>2</v>
      </c>
      <c r="C19" s="99">
        <v>3000</v>
      </c>
      <c r="D19" s="37">
        <f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762</v>
      </c>
      <c r="B20" s="98">
        <v>2</v>
      </c>
      <c r="C20" s="99">
        <v>2850</v>
      </c>
      <c r="D20" s="37">
        <f>B20*C20</f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2" t="s">
        <v>763</v>
      </c>
      <c r="B21" s="196"/>
      <c r="C21" s="124"/>
      <c r="D21" s="32"/>
      <c r="E21" s="92"/>
      <c r="F21" s="123"/>
      <c r="G21" s="124"/>
      <c r="H21" s="32"/>
      <c r="I21" s="2"/>
      <c r="J21" s="52">
        <f>J22</f>
        <v>808.23</v>
      </c>
      <c r="K21" s="10">
        <v>910</v>
      </c>
      <c r="L21" s="10">
        <f>K21-J21</f>
        <v>101.76999999999998</v>
      </c>
    </row>
    <row r="22" spans="1:13" ht="15.75" thickBot="1" x14ac:dyDescent="0.3">
      <c r="A22" s="39" t="s">
        <v>764</v>
      </c>
      <c r="B22" s="102">
        <v>1</v>
      </c>
      <c r="C22" s="103">
        <v>6600</v>
      </c>
      <c r="D22" s="37">
        <f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281</v>
      </c>
      <c r="B1" s="4"/>
      <c r="C1" s="189">
        <v>42286</v>
      </c>
      <c r="D1" s="30"/>
    </row>
    <row r="2" spans="1:12" ht="21" x14ac:dyDescent="0.35">
      <c r="A2" s="55" t="s">
        <v>239</v>
      </c>
      <c r="B2" s="4"/>
      <c r="C2" s="16">
        <v>8230</v>
      </c>
      <c r="D2" s="30" t="s">
        <v>724</v>
      </c>
    </row>
    <row r="3" spans="1:12" ht="21" x14ac:dyDescent="0.35">
      <c r="A3" s="55" t="s">
        <v>240</v>
      </c>
      <c r="B3" s="4"/>
      <c r="C3" s="170">
        <v>5.6000000000000001E-2</v>
      </c>
      <c r="D3" s="30" t="s">
        <v>704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03" t="s">
        <v>766</v>
      </c>
      <c r="B6" s="204"/>
      <c r="C6" s="204"/>
      <c r="D6" s="32"/>
      <c r="E6" s="92"/>
      <c r="F6" s="177"/>
      <c r="G6" s="124"/>
      <c r="H6" s="32"/>
      <c r="I6" s="2"/>
      <c r="J6" s="52">
        <f>J7</f>
        <v>692.7088</v>
      </c>
      <c r="K6" s="10">
        <v>677</v>
      </c>
      <c r="L6" s="10">
        <f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>B7*C7</f>
        <v>9300</v>
      </c>
      <c r="E7" s="39">
        <f>D7*0.1</f>
        <v>930</v>
      </c>
      <c r="F7" s="4">
        <v>0</v>
      </c>
      <c r="G7" s="4">
        <v>0.26</v>
      </c>
      <c r="H7" s="37">
        <f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2" t="s">
        <v>711</v>
      </c>
      <c r="B8" s="151"/>
      <c r="C8" s="151"/>
      <c r="D8" s="32"/>
      <c r="E8" s="92"/>
      <c r="F8" s="151"/>
      <c r="G8" s="151"/>
      <c r="H8" s="32"/>
      <c r="I8" s="2"/>
      <c r="J8" s="52">
        <f>J9</f>
        <v>1354.8416</v>
      </c>
      <c r="K8" s="10">
        <v>1362</v>
      </c>
      <c r="L8" s="10">
        <f>K8-J8</f>
        <v>7.1584000000000287</v>
      </c>
    </row>
    <row r="9" spans="1:12" x14ac:dyDescent="0.25">
      <c r="A9" s="4" t="s">
        <v>773</v>
      </c>
      <c r="B9" s="4">
        <v>4</v>
      </c>
      <c r="C9" s="4">
        <v>4900</v>
      </c>
      <c r="D9" s="37">
        <f>B9*C9</f>
        <v>19600</v>
      </c>
      <c r="E9" s="39">
        <f>D9*0.1</f>
        <v>1960</v>
      </c>
      <c r="F9" s="4">
        <v>0</v>
      </c>
      <c r="G9" s="4">
        <v>0.08</v>
      </c>
      <c r="H9" s="37">
        <f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2" t="s">
        <v>767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874.27200000000005</v>
      </c>
      <c r="K10" s="10">
        <f>856+18</f>
        <v>874</v>
      </c>
      <c r="L10" s="10">
        <f>K10-J10</f>
        <v>-0.2720000000000482</v>
      </c>
    </row>
    <row r="11" spans="1:12" x14ac:dyDescent="0.25">
      <c r="A11" s="4" t="s">
        <v>768</v>
      </c>
      <c r="B11" s="4">
        <v>2</v>
      </c>
      <c r="C11" s="4">
        <v>5780</v>
      </c>
      <c r="D11" s="37">
        <f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2" t="s">
        <v>769</v>
      </c>
      <c r="B12" s="151"/>
      <c r="C12" s="151"/>
      <c r="D12" s="32"/>
      <c r="E12" s="92"/>
      <c r="F12" s="151"/>
      <c r="G12" s="151"/>
      <c r="H12" s="32"/>
      <c r="I12" s="2"/>
      <c r="J12" s="52">
        <f>J13+J14</f>
        <v>658.89599999999996</v>
      </c>
      <c r="K12" s="10">
        <v>680</v>
      </c>
      <c r="L12" s="10">
        <f>K12-J12</f>
        <v>21.104000000000042</v>
      </c>
    </row>
    <row r="13" spans="1:12" x14ac:dyDescent="0.25">
      <c r="A13" s="17" t="s">
        <v>770</v>
      </c>
      <c r="B13" s="4">
        <v>1</v>
      </c>
      <c r="C13" s="4">
        <v>4800</v>
      </c>
      <c r="D13" s="37">
        <f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>B14*C14</f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2" t="s">
        <v>750</v>
      </c>
      <c r="B15" s="151"/>
      <c r="C15" s="151"/>
      <c r="D15" s="32"/>
      <c r="E15" s="92"/>
      <c r="F15" s="151"/>
      <c r="G15" s="151"/>
      <c r="H15" s="32"/>
      <c r="I15" s="2"/>
      <c r="J15" s="52">
        <f>J16+J17</f>
        <v>1500.1970666666666</v>
      </c>
      <c r="K15" s="10">
        <f>1460+40</f>
        <v>1500</v>
      </c>
      <c r="L15" s="10">
        <f>K15-J15</f>
        <v>-0.19706666666661476</v>
      </c>
    </row>
    <row r="16" spans="1:12" x14ac:dyDescent="0.25">
      <c r="A16" s="4" t="s">
        <v>771</v>
      </c>
      <c r="B16" s="4">
        <v>1</v>
      </c>
      <c r="C16" s="4">
        <v>9900</v>
      </c>
      <c r="D16" s="37">
        <f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772</v>
      </c>
      <c r="B17" s="4">
        <v>1</v>
      </c>
      <c r="C17" s="4">
        <v>5990</v>
      </c>
      <c r="D17" s="37">
        <f>B17*C17</f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opLeftCell="A25" zoomScale="70" zoomScaleNormal="70" workbookViewId="0">
      <selection activeCell="A28" sqref="A28:XFD31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281</v>
      </c>
      <c r="B1" s="4"/>
      <c r="C1" s="189">
        <v>42322</v>
      </c>
      <c r="D1" s="30"/>
    </row>
    <row r="2" spans="1:13" ht="21" x14ac:dyDescent="0.35">
      <c r="A2" s="55" t="s">
        <v>239</v>
      </c>
      <c r="B2" s="4"/>
      <c r="C2" s="16">
        <v>8390</v>
      </c>
      <c r="D2" s="30"/>
    </row>
    <row r="3" spans="1:13" ht="21" x14ac:dyDescent="0.35">
      <c r="A3" s="55" t="s">
        <v>240</v>
      </c>
      <c r="B3" s="4"/>
      <c r="C3" s="170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2" t="s">
        <v>778</v>
      </c>
      <c r="B6" s="151"/>
      <c r="C6" s="151"/>
      <c r="D6" s="32"/>
      <c r="E6" s="92"/>
      <c r="F6" s="177"/>
      <c r="G6" s="124"/>
      <c r="H6" s="32"/>
      <c r="I6" s="2"/>
      <c r="J6" s="52">
        <f>J7</f>
        <v>324.06031333333334</v>
      </c>
      <c r="K6" s="10">
        <v>315</v>
      </c>
      <c r="L6" s="10">
        <f>K6-J6</f>
        <v>-9.0603133333333403</v>
      </c>
    </row>
    <row r="7" spans="1:13" x14ac:dyDescent="0.25">
      <c r="A7" s="4" t="s">
        <v>779</v>
      </c>
      <c r="B7" s="4">
        <v>1</v>
      </c>
      <c r="C7" s="4">
        <v>3990</v>
      </c>
      <c r="D7" s="37">
        <f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2" t="s">
        <v>780</v>
      </c>
      <c r="B8" s="151"/>
      <c r="C8" s="151"/>
      <c r="D8" s="32"/>
      <c r="E8" s="92"/>
      <c r="F8" s="206"/>
      <c r="G8" s="151"/>
      <c r="H8" s="32"/>
      <c r="I8" s="2"/>
      <c r="J8" s="52">
        <f>J9</f>
        <v>324.06031333333334</v>
      </c>
      <c r="K8" s="10">
        <f>315+9</f>
        <v>324</v>
      </c>
      <c r="L8" s="10">
        <f>K8-J8</f>
        <v>-6.0313333333340324E-2</v>
      </c>
    </row>
    <row r="9" spans="1:13" x14ac:dyDescent="0.25">
      <c r="A9" s="4" t="s">
        <v>779</v>
      </c>
      <c r="B9" s="4">
        <v>1</v>
      </c>
      <c r="C9" s="4">
        <v>3990</v>
      </c>
      <c r="D9" s="37">
        <f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2" t="s">
        <v>781</v>
      </c>
      <c r="B10" s="151"/>
      <c r="C10" s="151"/>
      <c r="D10" s="32"/>
      <c r="E10" s="92"/>
      <c r="F10" s="206"/>
      <c r="G10" s="151"/>
      <c r="H10" s="32"/>
      <c r="I10" s="2"/>
      <c r="J10" s="52">
        <f>J11</f>
        <v>366.39253366666668</v>
      </c>
      <c r="K10" s="10">
        <f>342+24</f>
        <v>366</v>
      </c>
      <c r="L10" s="10">
        <f>K10-J10</f>
        <v>-0.39253366666667944</v>
      </c>
    </row>
    <row r="11" spans="1:13" x14ac:dyDescent="0.25">
      <c r="A11" s="4" t="s">
        <v>782</v>
      </c>
      <c r="B11" s="4">
        <v>1</v>
      </c>
      <c r="C11" s="4">
        <v>3290</v>
      </c>
      <c r="D11" s="37">
        <f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2" t="s">
        <v>783</v>
      </c>
      <c r="B12" s="151"/>
      <c r="C12" s="151"/>
      <c r="D12" s="32"/>
      <c r="E12" s="92"/>
      <c r="F12" s="206"/>
      <c r="G12" s="151"/>
      <c r="H12" s="32"/>
      <c r="I12" s="2"/>
      <c r="J12" s="52">
        <f>J13</f>
        <v>0</v>
      </c>
      <c r="K12" s="10">
        <v>367</v>
      </c>
      <c r="L12" s="10">
        <f>K12-J12</f>
        <v>367</v>
      </c>
    </row>
    <row r="13" spans="1:13" x14ac:dyDescent="0.25">
      <c r="A13" s="18" t="s">
        <v>784</v>
      </c>
      <c r="B13" s="18">
        <v>2</v>
      </c>
      <c r="C13" s="18">
        <v>2200</v>
      </c>
      <c r="D13" s="192">
        <f>B13*C13</f>
        <v>4400</v>
      </c>
      <c r="E13" s="112">
        <f>D13*0.1</f>
        <v>440</v>
      </c>
      <c r="F13" s="208">
        <f>2500/9*2</f>
        <v>555.55555555555554</v>
      </c>
      <c r="G13" s="18">
        <v>7.0000000000000007E-2</v>
      </c>
      <c r="H13" s="192">
        <f>G13*B13</f>
        <v>0.14000000000000001</v>
      </c>
      <c r="I13" s="18">
        <f>H13*$C$2</f>
        <v>1174.6000000000001</v>
      </c>
      <c r="J13" s="78"/>
      <c r="K13" s="209"/>
      <c r="L13" s="210"/>
      <c r="M13" t="s">
        <v>809</v>
      </c>
    </row>
    <row r="14" spans="1:13" ht="31.5" x14ac:dyDescent="0.5">
      <c r="A14" s="152" t="s">
        <v>682</v>
      </c>
      <c r="B14" s="151"/>
      <c r="C14" s="151"/>
      <c r="D14" s="32"/>
      <c r="E14" s="92"/>
      <c r="F14" s="206"/>
      <c r="G14" s="151"/>
      <c r="H14" s="32"/>
      <c r="I14" s="2"/>
      <c r="J14" s="52">
        <f>J15</f>
        <v>0</v>
      </c>
      <c r="K14" s="10">
        <f>1015-1015</f>
        <v>0</v>
      </c>
      <c r="L14" s="10">
        <f>K14-J14</f>
        <v>0</v>
      </c>
    </row>
    <row r="15" spans="1:13" x14ac:dyDescent="0.25">
      <c r="A15" s="18" t="s">
        <v>785</v>
      </c>
      <c r="B15" s="18">
        <v>1</v>
      </c>
      <c r="C15" s="18">
        <v>11210</v>
      </c>
      <c r="D15" s="192">
        <f>B15*C15</f>
        <v>11210</v>
      </c>
      <c r="E15" s="112">
        <f>D15*0.1</f>
        <v>1121</v>
      </c>
      <c r="F15" s="208">
        <v>2500</v>
      </c>
      <c r="G15" s="18">
        <v>0.4</v>
      </c>
      <c r="H15" s="192">
        <f>G15*B15</f>
        <v>0.4</v>
      </c>
      <c r="I15" s="18">
        <f>H15*$C$2</f>
        <v>3356</v>
      </c>
      <c r="J15" s="78"/>
      <c r="K15" s="209"/>
      <c r="L15" s="210"/>
      <c r="M15" t="s">
        <v>817</v>
      </c>
    </row>
    <row r="16" spans="1:13" ht="31.5" x14ac:dyDescent="0.5">
      <c r="A16" s="152" t="s">
        <v>786</v>
      </c>
      <c r="B16" s="151"/>
      <c r="C16" s="151"/>
      <c r="D16" s="32"/>
      <c r="E16" s="92"/>
      <c r="F16" s="206"/>
      <c r="G16" s="151"/>
      <c r="H16" s="32"/>
      <c r="I16" s="2"/>
      <c r="J16" s="52">
        <f>J17</f>
        <v>697.09135666666668</v>
      </c>
      <c r="K16" s="10">
        <f>676+21</f>
        <v>697</v>
      </c>
      <c r="L16" s="10">
        <f>K16-J16</f>
        <v>-9.135666666668385E-2</v>
      </c>
    </row>
    <row r="17" spans="1:12" x14ac:dyDescent="0.25">
      <c r="A17" s="4" t="s">
        <v>787</v>
      </c>
      <c r="B17" s="4">
        <v>1</v>
      </c>
      <c r="C17" s="4">
        <v>7230</v>
      </c>
      <c r="D17" s="37">
        <f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2" t="s">
        <v>482</v>
      </c>
      <c r="B18" s="151"/>
      <c r="C18" s="151"/>
      <c r="D18" s="32"/>
      <c r="E18" s="92"/>
      <c r="F18" s="206"/>
      <c r="G18" s="151"/>
      <c r="H18" s="32"/>
      <c r="I18" s="2"/>
      <c r="J18" s="52">
        <f>J19+J20</f>
        <v>1720.8915413333334</v>
      </c>
      <c r="K18" s="10">
        <f>1663+58</f>
        <v>1721</v>
      </c>
      <c r="L18" s="10">
        <f>K18-J18</f>
        <v>0.10845866666659276</v>
      </c>
    </row>
    <row r="19" spans="1:12" ht="23.25" x14ac:dyDescent="0.35">
      <c r="A19" s="4" t="s">
        <v>779</v>
      </c>
      <c r="B19" s="205">
        <v>2</v>
      </c>
      <c r="C19" s="4">
        <v>3990</v>
      </c>
      <c r="D19" s="37">
        <f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788</v>
      </c>
      <c r="B20" s="4">
        <v>1</v>
      </c>
      <c r="C20" s="4">
        <v>13400</v>
      </c>
      <c r="D20" s="37">
        <f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2" t="s">
        <v>500</v>
      </c>
      <c r="B21" s="151"/>
      <c r="C21" s="151"/>
      <c r="D21" s="32"/>
      <c r="E21" s="92"/>
      <c r="F21" s="206"/>
      <c r="G21" s="151"/>
      <c r="H21" s="32"/>
      <c r="I21" s="2"/>
      <c r="J21" s="52">
        <f>J22+J23</f>
        <v>4361.1793550000002</v>
      </c>
      <c r="K21" s="10">
        <v>4031</v>
      </c>
      <c r="L21" s="10">
        <f>K21-J21</f>
        <v>-330.17935500000021</v>
      </c>
    </row>
    <row r="22" spans="1:12" x14ac:dyDescent="0.25">
      <c r="A22" s="4" t="s">
        <v>668</v>
      </c>
      <c r="B22" s="4">
        <v>5</v>
      </c>
      <c r="C22" s="4">
        <v>9900</v>
      </c>
      <c r="D22" s="37">
        <f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789</v>
      </c>
      <c r="B23" s="4">
        <v>1</v>
      </c>
      <c r="C23" s="4">
        <v>8500</v>
      </c>
      <c r="D23" s="37">
        <f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2" t="s">
        <v>331</v>
      </c>
      <c r="B24" s="151"/>
      <c r="C24" s="151"/>
      <c r="D24" s="32"/>
      <c r="E24" s="92"/>
      <c r="F24" s="206"/>
      <c r="G24" s="151"/>
      <c r="H24" s="32"/>
      <c r="I24" s="2"/>
      <c r="J24" s="52">
        <f>SUM(J25:J27)</f>
        <v>1686.9756270000003</v>
      </c>
      <c r="K24" s="10">
        <v>2508</v>
      </c>
      <c r="L24" s="10">
        <f>K24-J24</f>
        <v>821.02437299999974</v>
      </c>
    </row>
    <row r="25" spans="1:12" x14ac:dyDescent="0.25">
      <c r="A25" s="18" t="s">
        <v>790</v>
      </c>
      <c r="B25" s="18">
        <v>1</v>
      </c>
      <c r="C25" s="18">
        <v>12600</v>
      </c>
      <c r="D25" s="192">
        <f>B25*C25</f>
        <v>12600</v>
      </c>
      <c r="E25" s="112">
        <f>D25*0.1</f>
        <v>1260</v>
      </c>
      <c r="F25" s="208">
        <v>0</v>
      </c>
      <c r="G25" s="18">
        <v>0.4</v>
      </c>
      <c r="H25" s="192">
        <f>G25*B25</f>
        <v>0.4</v>
      </c>
      <c r="I25" s="18">
        <f>H25*$C$2</f>
        <v>3356</v>
      </c>
      <c r="J25" s="78"/>
      <c r="K25" s="209"/>
      <c r="L25" s="210"/>
    </row>
    <row r="26" spans="1:12" x14ac:dyDescent="0.25">
      <c r="A26" s="41" t="s">
        <v>791</v>
      </c>
      <c r="B26" s="4">
        <v>1</v>
      </c>
      <c r="C26" s="4">
        <v>6700</v>
      </c>
      <c r="D26" s="37">
        <f>B26*C26</f>
        <v>6700</v>
      </c>
      <c r="E26" s="39">
        <f>D26*0.1</f>
        <v>670</v>
      </c>
      <c r="F26" s="60">
        <v>2500</v>
      </c>
      <c r="G26" s="4">
        <v>0.23</v>
      </c>
      <c r="H26" s="37">
        <f>G26*B26</f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792</v>
      </c>
      <c r="B27" s="4">
        <v>1</v>
      </c>
      <c r="C27" s="4">
        <v>9900</v>
      </c>
      <c r="D27" s="37">
        <f>B27*C27</f>
        <v>9900</v>
      </c>
      <c r="E27" s="39">
        <f>D27*0.1</f>
        <v>990</v>
      </c>
      <c r="F27" s="60">
        <v>2500</v>
      </c>
      <c r="G27" s="4">
        <v>0.5</v>
      </c>
      <c r="H27" s="37">
        <f>G27*B27</f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03" t="s">
        <v>680</v>
      </c>
      <c r="B28" s="151"/>
      <c r="C28" s="151"/>
      <c r="D28" s="32"/>
      <c r="E28" s="92"/>
      <c r="F28" s="206"/>
      <c r="G28" s="151"/>
      <c r="H28" s="32"/>
      <c r="I28" s="2"/>
      <c r="J28" s="52">
        <f>SUM(J29:J31)</f>
        <v>2990.291706</v>
      </c>
      <c r="K28" s="10">
        <f>2853+137</f>
        <v>2990</v>
      </c>
      <c r="L28" s="10">
        <f>K28-J28</f>
        <v>-0.29170599999997648</v>
      </c>
    </row>
    <row r="29" spans="1:12" x14ac:dyDescent="0.25">
      <c r="A29" s="17" t="s">
        <v>793</v>
      </c>
      <c r="B29" s="4">
        <v>1</v>
      </c>
      <c r="C29" s="4">
        <v>16900</v>
      </c>
      <c r="D29" s="37">
        <f>B29*C29</f>
        <v>16900</v>
      </c>
      <c r="E29" s="39">
        <f>D29*0.1</f>
        <v>1690</v>
      </c>
      <c r="F29" s="60">
        <v>0</v>
      </c>
      <c r="G29" s="4">
        <v>0.34</v>
      </c>
      <c r="H29" s="37">
        <f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794</v>
      </c>
      <c r="B30" s="4">
        <v>1</v>
      </c>
      <c r="C30" s="4">
        <v>12900</v>
      </c>
      <c r="D30" s="37">
        <f>B30*C30</f>
        <v>12900</v>
      </c>
      <c r="E30" s="39">
        <f>D30*0.1</f>
        <v>1290</v>
      </c>
      <c r="F30" s="60">
        <v>0</v>
      </c>
      <c r="G30" s="4">
        <v>1</v>
      </c>
      <c r="H30" s="37">
        <f>G30*B30</f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795</v>
      </c>
      <c r="B31" s="4">
        <v>1</v>
      </c>
      <c r="C31" s="4">
        <v>6000</v>
      </c>
      <c r="D31" s="37">
        <f>B31*C31</f>
        <v>6000</v>
      </c>
      <c r="E31" s="39">
        <f>D31*0.1</f>
        <v>600</v>
      </c>
      <c r="F31" s="60">
        <f>2500/4</f>
        <v>625</v>
      </c>
      <c r="G31" s="4">
        <v>0.1</v>
      </c>
      <c r="H31" s="37">
        <f>G31*B31</f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2" t="s">
        <v>769</v>
      </c>
      <c r="B32" s="151"/>
      <c r="C32" s="151"/>
      <c r="D32" s="32"/>
      <c r="E32" s="92"/>
      <c r="F32" s="206"/>
      <c r="G32" s="151"/>
      <c r="H32" s="32"/>
      <c r="I32" s="2"/>
      <c r="J32" s="52">
        <f>SUM(J33:J35)</f>
        <v>1851.9930173333335</v>
      </c>
      <c r="K32" s="10">
        <f>1677+175</f>
        <v>1852</v>
      </c>
      <c r="L32" s="10">
        <f>K32-J32</f>
        <v>6.9826666665449011E-3</v>
      </c>
    </row>
    <row r="33" spans="1:12" x14ac:dyDescent="0.25">
      <c r="A33" s="17" t="s">
        <v>796</v>
      </c>
      <c r="B33" s="4">
        <v>4</v>
      </c>
      <c r="C33" s="4">
        <v>650</v>
      </c>
      <c r="D33" s="37">
        <f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25">
      <c r="A34" s="4" t="s">
        <v>779</v>
      </c>
      <c r="B34" s="4">
        <v>1</v>
      </c>
      <c r="C34" s="4">
        <v>3990</v>
      </c>
      <c r="D34" s="37">
        <f>B34*C34</f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1" t="s">
        <v>797</v>
      </c>
      <c r="B35" s="4">
        <v>1</v>
      </c>
      <c r="C35" s="4">
        <v>12000</v>
      </c>
      <c r="D35" s="37">
        <f>B35*C35</f>
        <v>12000</v>
      </c>
      <c r="E35" s="39">
        <f>D35*0.1</f>
        <v>1200</v>
      </c>
      <c r="F35" s="60">
        <v>0</v>
      </c>
      <c r="G35" s="4">
        <v>0.36</v>
      </c>
      <c r="H35" s="37">
        <f>G35*B35</f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2" t="s">
        <v>763</v>
      </c>
      <c r="B36" s="151"/>
      <c r="C36" s="151"/>
      <c r="D36" s="32"/>
      <c r="E36" s="92"/>
      <c r="F36" s="206"/>
      <c r="G36" s="151"/>
      <c r="H36" s="32"/>
      <c r="I36" s="2"/>
      <c r="J36" s="52">
        <f>SUM(J37:J39)</f>
        <v>2004.292179</v>
      </c>
      <c r="K36" s="10">
        <f>1793+110</f>
        <v>1903</v>
      </c>
      <c r="L36" s="10">
        <f>K36-J36</f>
        <v>-101.29217900000003</v>
      </c>
    </row>
    <row r="37" spans="1:12" x14ac:dyDescent="0.25">
      <c r="A37" s="4" t="s">
        <v>798</v>
      </c>
      <c r="B37" s="4">
        <v>1</v>
      </c>
      <c r="C37" s="4">
        <v>13900</v>
      </c>
      <c r="D37" s="37">
        <f>B37*C37</f>
        <v>13900</v>
      </c>
      <c r="E37" s="39">
        <f>D37*0.1</f>
        <v>1390</v>
      </c>
      <c r="F37" s="60">
        <v>0</v>
      </c>
      <c r="G37" s="4">
        <v>0.22</v>
      </c>
      <c r="H37" s="37">
        <f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799</v>
      </c>
      <c r="B38" s="4">
        <v>1</v>
      </c>
      <c r="C38" s="4">
        <v>2640</v>
      </c>
      <c r="D38" s="37">
        <f>B38*C38</f>
        <v>2640</v>
      </c>
      <c r="E38" s="39">
        <f>D38*0.1</f>
        <v>264</v>
      </c>
      <c r="F38" s="60">
        <v>2500</v>
      </c>
      <c r="G38" s="4">
        <v>0.12</v>
      </c>
      <c r="H38" s="37">
        <f>G38*B38</f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800</v>
      </c>
      <c r="B39" s="4">
        <v>1</v>
      </c>
      <c r="C39" s="4">
        <v>6000</v>
      </c>
      <c r="D39" s="37">
        <f>B39*C39</f>
        <v>6000</v>
      </c>
      <c r="E39" s="39">
        <f>D39*0.1</f>
        <v>600</v>
      </c>
      <c r="F39" s="60">
        <v>2500</v>
      </c>
      <c r="G39" s="4">
        <v>0.27</v>
      </c>
      <c r="H39" s="37">
        <f>G39*B39</f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2" t="s">
        <v>688</v>
      </c>
      <c r="B40" s="196"/>
      <c r="C40" s="124"/>
      <c r="D40" s="32"/>
      <c r="E40" s="92"/>
      <c r="F40" s="207"/>
      <c r="G40" s="124"/>
      <c r="H40" s="32"/>
      <c r="I40" s="2"/>
      <c r="J40" s="52">
        <f>SUM(J41:J44)</f>
        <v>2221.1756770000002</v>
      </c>
      <c r="K40" s="10">
        <f>2143+78</f>
        <v>2221</v>
      </c>
      <c r="L40" s="10">
        <f>K40-J40</f>
        <v>-0.17567700000017794</v>
      </c>
    </row>
    <row r="41" spans="1:12" x14ac:dyDescent="0.25">
      <c r="A41" s="17" t="s">
        <v>801</v>
      </c>
      <c r="B41" s="4">
        <v>1</v>
      </c>
      <c r="C41" s="4">
        <v>6000</v>
      </c>
      <c r="D41" s="37">
        <f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802</v>
      </c>
      <c r="B42" s="4">
        <v>1</v>
      </c>
      <c r="C42" s="4">
        <v>6000</v>
      </c>
      <c r="D42" s="37">
        <f>B42*C42</f>
        <v>6000</v>
      </c>
      <c r="E42" s="39">
        <f>D42*0.1</f>
        <v>600</v>
      </c>
      <c r="F42" s="60">
        <f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803</v>
      </c>
      <c r="B43" s="4">
        <v>1</v>
      </c>
      <c r="C43" s="4">
        <v>6000</v>
      </c>
      <c r="D43" s="37">
        <f>B43*C43</f>
        <v>6000</v>
      </c>
      <c r="E43" s="39">
        <f>D43*0.1</f>
        <v>600</v>
      </c>
      <c r="F43" s="60">
        <f>2500/4</f>
        <v>625</v>
      </c>
      <c r="G43" s="4">
        <v>0.12</v>
      </c>
      <c r="H43" s="37">
        <f>G43*B43</f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804</v>
      </c>
      <c r="B44" s="4">
        <v>1</v>
      </c>
      <c r="C44" s="4">
        <v>9900</v>
      </c>
      <c r="D44" s="37">
        <f>B44*C44</f>
        <v>9900</v>
      </c>
      <c r="E44" s="39">
        <f>D44*0.1</f>
        <v>990</v>
      </c>
      <c r="F44" s="60">
        <v>0</v>
      </c>
      <c r="G44" s="4">
        <v>0.39</v>
      </c>
      <c r="H44" s="37">
        <f>G44*B44</f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5" x14ac:dyDescent="0.25"/>
  <cols>
    <col min="1" max="1" width="53.7109375" customWidth="1"/>
    <col min="3" max="3" width="12" customWidth="1"/>
    <col min="11" max="11" width="9.5703125" bestFit="1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42348</v>
      </c>
      <c r="D1" s="30"/>
    </row>
    <row r="2" spans="1:12" ht="21" x14ac:dyDescent="0.35">
      <c r="A2" s="55" t="s">
        <v>239</v>
      </c>
      <c r="B2" s="4"/>
      <c r="C2" s="16">
        <v>7920</v>
      </c>
      <c r="D2" s="30" t="s">
        <v>724</v>
      </c>
    </row>
    <row r="3" spans="1:12" ht="21" x14ac:dyDescent="0.35">
      <c r="A3" s="55" t="s">
        <v>240</v>
      </c>
      <c r="B3" s="4"/>
      <c r="C3" s="170">
        <v>6.0499999999999998E-2</v>
      </c>
      <c r="D3" s="30" t="s">
        <v>704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810</v>
      </c>
      <c r="B6" s="151"/>
      <c r="C6" s="151"/>
      <c r="D6" s="32"/>
      <c r="E6" s="92"/>
      <c r="F6" s="177"/>
      <c r="G6" s="124"/>
      <c r="H6" s="32"/>
      <c r="I6" s="2"/>
      <c r="J6" s="52">
        <f>J7</f>
        <v>812.75699999999995</v>
      </c>
      <c r="K6" s="10">
        <f>770+43</f>
        <v>813</v>
      </c>
      <c r="L6" s="10">
        <f>K6-J6</f>
        <v>0.24300000000005184</v>
      </c>
    </row>
    <row r="7" spans="1:12" x14ac:dyDescent="0.25">
      <c r="A7" s="5" t="s">
        <v>811</v>
      </c>
      <c r="B7" s="211">
        <v>1</v>
      </c>
      <c r="C7" s="211">
        <v>8500</v>
      </c>
      <c r="D7" s="37">
        <f>B7*C7</f>
        <v>8500</v>
      </c>
      <c r="E7" s="39">
        <f>D7*0.1</f>
        <v>850</v>
      </c>
      <c r="F7">
        <v>2500</v>
      </c>
      <c r="G7" s="211">
        <v>0.2</v>
      </c>
      <c r="H7" s="37">
        <f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.5" x14ac:dyDescent="0.5">
      <c r="A8" s="152" t="s">
        <v>812</v>
      </c>
      <c r="B8" s="151"/>
      <c r="C8" s="151"/>
      <c r="D8" s="32"/>
      <c r="E8" s="92"/>
      <c r="F8" s="151"/>
      <c r="G8" s="151"/>
      <c r="H8" s="32"/>
      <c r="I8" s="2"/>
      <c r="J8" s="52">
        <f>J9</f>
        <v>2390.5244000000002</v>
      </c>
      <c r="K8" s="10">
        <f>2252+139</f>
        <v>2391</v>
      </c>
      <c r="L8" s="10">
        <f>K8-J8</f>
        <v>0.47559999999975844</v>
      </c>
    </row>
    <row r="9" spans="1:12" x14ac:dyDescent="0.25">
      <c r="A9" s="41" t="s">
        <v>813</v>
      </c>
      <c r="B9" s="211">
        <v>4</v>
      </c>
      <c r="C9">
        <v>6900</v>
      </c>
      <c r="D9" s="37">
        <f>B9*C9</f>
        <v>27600</v>
      </c>
      <c r="E9" s="39">
        <f>D9*0.1</f>
        <v>2760</v>
      </c>
      <c r="F9">
        <v>2500</v>
      </c>
      <c r="G9" s="211">
        <v>0.21</v>
      </c>
      <c r="H9" s="37">
        <f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.5" x14ac:dyDescent="0.5">
      <c r="A10" s="152" t="s">
        <v>23</v>
      </c>
      <c r="B10" s="151"/>
      <c r="C10" s="151"/>
      <c r="D10" s="32"/>
      <c r="E10" s="92"/>
      <c r="F10" s="151"/>
      <c r="G10" s="151"/>
      <c r="H10" s="32"/>
      <c r="I10" s="2"/>
      <c r="J10" s="52">
        <f>J11</f>
        <v>448.45019999999994</v>
      </c>
      <c r="K10" s="10">
        <f>415+33</f>
        <v>448</v>
      </c>
      <c r="L10" s="10">
        <f>K10-J10</f>
        <v>-0.45019999999993843</v>
      </c>
    </row>
    <row r="11" spans="1:12" x14ac:dyDescent="0.25">
      <c r="A11" s="5" t="s">
        <v>814</v>
      </c>
      <c r="B11" s="5">
        <v>1</v>
      </c>
      <c r="C11" s="5">
        <v>5780</v>
      </c>
      <c r="D11" s="37">
        <f>B11*C11</f>
        <v>5780</v>
      </c>
      <c r="E11" s="39">
        <f>D11*0.1</f>
        <v>578</v>
      </c>
      <c r="F11">
        <v>500</v>
      </c>
      <c r="G11" s="4">
        <v>7.0000000000000007E-2</v>
      </c>
      <c r="H11" s="37">
        <f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>D9*0.05</f>
        <v>0.43099999999999999</v>
      </c>
      <c r="F9" s="4"/>
      <c r="G9" s="4">
        <v>0.1</v>
      </c>
      <c r="H9" s="4">
        <f>G9*B9</f>
        <v>0.2</v>
      </c>
      <c r="I9" s="4">
        <f>H9*$C$2</f>
        <v>1.3160000000000001</v>
      </c>
      <c r="J9" s="51">
        <f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>B10*C10</f>
        <v>2.98</v>
      </c>
      <c r="E10" s="4">
        <f>D10*0.05</f>
        <v>0.14899999999999999</v>
      </c>
      <c r="F10" s="4"/>
      <c r="G10" s="4">
        <v>7.0000000000000007E-2</v>
      </c>
      <c r="H10" s="4">
        <f>G10</f>
        <v>7.0000000000000007E-2</v>
      </c>
      <c r="I10" s="4">
        <f>H10*$C$2</f>
        <v>0.46060000000000006</v>
      </c>
      <c r="J10" s="51">
        <f>(D10+E10+F10+I10)*$C$3</f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>B11*C11</f>
        <v>4.96</v>
      </c>
      <c r="E11" s="4">
        <f>D11*0.05</f>
        <v>0.248</v>
      </c>
      <c r="F11" s="4"/>
      <c r="G11" s="4">
        <v>0.1</v>
      </c>
      <c r="H11" s="4">
        <f>G11</f>
        <v>0.1</v>
      </c>
      <c r="I11" s="4">
        <f>H11*$C$2</f>
        <v>0.65800000000000003</v>
      </c>
      <c r="J11" s="51">
        <f>(D11+E11+F11+I11)*$C$3</f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>B14*C14</f>
        <v>4.96</v>
      </c>
      <c r="E14" s="4">
        <f>D14*0.05</f>
        <v>0.248</v>
      </c>
      <c r="F14" s="4">
        <v>0</v>
      </c>
      <c r="G14" s="4">
        <v>0.1</v>
      </c>
      <c r="H14" s="4">
        <f>G14</f>
        <v>0.1</v>
      </c>
      <c r="I14" s="4">
        <f>H14*$C$2</f>
        <v>0.65800000000000003</v>
      </c>
      <c r="J14" s="51">
        <f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>K15-J15</f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>B17*C17</f>
        <v>4.96</v>
      </c>
      <c r="E17" s="4">
        <f>D17*0.05</f>
        <v>0.248</v>
      </c>
      <c r="F17" s="4">
        <v>0</v>
      </c>
      <c r="G17" s="4">
        <v>0.1</v>
      </c>
      <c r="H17" s="4">
        <f>G17</f>
        <v>0.1</v>
      </c>
      <c r="I17" s="4">
        <f>H17*$C$2</f>
        <v>0.65800000000000003</v>
      </c>
      <c r="J17" s="51">
        <f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>K20-J20</f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>B22*C22</f>
        <v>4.96</v>
      </c>
      <c r="E22" s="4">
        <f t="shared" ref="E22:E97" si="0">D22*0.05</f>
        <v>0.248</v>
      </c>
      <c r="F22" s="4">
        <v>0</v>
      </c>
      <c r="G22" s="4">
        <v>0.1</v>
      </c>
      <c r="H22" s="4">
        <f>G22</f>
        <v>0.1</v>
      </c>
      <c r="I22" s="4">
        <f t="shared" ref="I22:I97" si="1">H22*$C$2</f>
        <v>0.65800000000000003</v>
      </c>
      <c r="J22" s="51">
        <f t="shared" ref="J22:J97" si="2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>K26-J26</f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0"/>
        <v>0.36850000000000005</v>
      </c>
      <c r="F27" s="5">
        <v>2.33</v>
      </c>
      <c r="G27" s="5"/>
      <c r="H27" s="5">
        <v>0.4</v>
      </c>
      <c r="I27" s="4">
        <f t="shared" si="1"/>
        <v>2.6320000000000001</v>
      </c>
      <c r="J27" s="51">
        <f t="shared" si="2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0"/>
        <v>1.0645</v>
      </c>
      <c r="F28" s="5">
        <v>0</v>
      </c>
      <c r="G28" s="5"/>
      <c r="H28" s="5">
        <v>0.2</v>
      </c>
      <c r="I28" s="4">
        <f t="shared" si="1"/>
        <v>1.3160000000000001</v>
      </c>
      <c r="J28" s="51">
        <f t="shared" si="2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0"/>
        <v>0.30249999999999999</v>
      </c>
      <c r="F29" s="5">
        <f>2.33/2</f>
        <v>1.165</v>
      </c>
      <c r="G29" s="5"/>
      <c r="H29" s="5">
        <v>0.26</v>
      </c>
      <c r="I29" s="4">
        <f t="shared" si="1"/>
        <v>1.7108000000000001</v>
      </c>
      <c r="J29" s="51">
        <f t="shared" si="2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>K30-J30</f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0"/>
        <v>0.46050000000000008</v>
      </c>
      <c r="F31" s="5">
        <v>2.33</v>
      </c>
      <c r="G31" s="5"/>
      <c r="H31" s="5">
        <v>0.2</v>
      </c>
      <c r="I31" s="4">
        <f t="shared" si="1"/>
        <v>1.3160000000000001</v>
      </c>
      <c r="J31" s="51">
        <f t="shared" si="2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0"/>
        <v>0.16300000000000001</v>
      </c>
      <c r="F32" s="5">
        <v>2.33</v>
      </c>
      <c r="G32" s="5"/>
      <c r="H32" s="5">
        <v>0.3</v>
      </c>
      <c r="I32" s="4">
        <f t="shared" si="1"/>
        <v>1.974</v>
      </c>
      <c r="J32" s="51">
        <f t="shared" si="2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>K33-J33</f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0"/>
        <v>0.17100000000000001</v>
      </c>
      <c r="F34" s="21">
        <v>2.33</v>
      </c>
      <c r="G34" s="37">
        <v>0.3</v>
      </c>
      <c r="H34" s="38">
        <f t="shared" ref="H34:H40" si="3">G34*B34</f>
        <v>0.3</v>
      </c>
      <c r="I34" s="4">
        <f t="shared" si="1"/>
        <v>1.974</v>
      </c>
      <c r="J34" s="51">
        <f t="shared" si="2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0"/>
        <v>0.50250000000000006</v>
      </c>
      <c r="F35" s="4">
        <v>2.33</v>
      </c>
      <c r="G35" s="4">
        <v>0.3</v>
      </c>
      <c r="H35" s="38">
        <f t="shared" si="3"/>
        <v>0.3</v>
      </c>
      <c r="I35" s="4">
        <f t="shared" si="1"/>
        <v>1.974</v>
      </c>
      <c r="J35" s="51">
        <f t="shared" si="2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>D36</f>
        <v>13.95</v>
      </c>
      <c r="D36" s="4">
        <v>13.95</v>
      </c>
      <c r="E36" s="4">
        <f t="shared" si="0"/>
        <v>0.69750000000000001</v>
      </c>
      <c r="F36" s="4">
        <v>0</v>
      </c>
      <c r="G36" s="4">
        <v>0.4</v>
      </c>
      <c r="H36" s="38">
        <f t="shared" si="3"/>
        <v>0.4</v>
      </c>
      <c r="I36" s="4">
        <f t="shared" si="1"/>
        <v>2.6320000000000001</v>
      </c>
      <c r="J36" s="51">
        <f t="shared" si="2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>D37</f>
        <v>12.83</v>
      </c>
      <c r="D37" s="4">
        <v>12.83</v>
      </c>
      <c r="E37" s="4">
        <f t="shared" si="0"/>
        <v>0.64150000000000007</v>
      </c>
      <c r="F37" s="4">
        <v>0</v>
      </c>
      <c r="G37" s="4">
        <v>0.3</v>
      </c>
      <c r="H37" s="38">
        <f t="shared" si="3"/>
        <v>0.3</v>
      </c>
      <c r="I37" s="4">
        <f t="shared" si="1"/>
        <v>1.974</v>
      </c>
      <c r="J37" s="51">
        <f t="shared" si="2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>D38</f>
        <v>9.0299999999999994</v>
      </c>
      <c r="D38" s="4">
        <v>9.0299999999999994</v>
      </c>
      <c r="E38" s="4">
        <f t="shared" si="0"/>
        <v>0.45150000000000001</v>
      </c>
      <c r="F38" s="4">
        <f>2.33/2</f>
        <v>1.165</v>
      </c>
      <c r="G38" s="4">
        <v>0.3</v>
      </c>
      <c r="H38" s="38">
        <f t="shared" si="3"/>
        <v>0.3</v>
      </c>
      <c r="I38" s="4">
        <f t="shared" si="1"/>
        <v>1.974</v>
      </c>
      <c r="J38" s="51">
        <f t="shared" si="2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0"/>
        <v>0.21000000000000002</v>
      </c>
      <c r="F39" s="4">
        <f>2.33/2</f>
        <v>1.165</v>
      </c>
      <c r="G39" s="4">
        <v>0.2</v>
      </c>
      <c r="H39" s="40">
        <f t="shared" si="3"/>
        <v>0.2</v>
      </c>
      <c r="I39" s="4">
        <f t="shared" si="1"/>
        <v>1.3160000000000001</v>
      </c>
      <c r="J39" s="51">
        <f t="shared" si="2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0"/>
        <v>0.2155</v>
      </c>
      <c r="F40" s="4"/>
      <c r="G40" s="4">
        <v>0.1</v>
      </c>
      <c r="H40" s="4">
        <f t="shared" si="3"/>
        <v>0.1</v>
      </c>
      <c r="I40" s="4">
        <f t="shared" si="1"/>
        <v>0.65800000000000003</v>
      </c>
      <c r="J40" s="51">
        <f t="shared" si="2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0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1"/>
        <v>1.3160000000000001</v>
      </c>
      <c r="J42" s="51">
        <f t="shared" si="2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0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1"/>
        <v>1.3160000000000001</v>
      </c>
      <c r="J43" s="51">
        <f t="shared" si="2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0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1"/>
        <v>1.974</v>
      </c>
      <c r="J44" s="51">
        <f t="shared" si="2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0"/>
        <v>0.2155</v>
      </c>
      <c r="F45" s="4"/>
      <c r="G45" s="4">
        <v>0.1</v>
      </c>
      <c r="H45" s="4">
        <f>G45*B45</f>
        <v>0.1</v>
      </c>
      <c r="I45" s="4">
        <f t="shared" si="1"/>
        <v>0.65800000000000003</v>
      </c>
      <c r="J45" s="51">
        <f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>B46*C46</f>
        <v>2.98</v>
      </c>
      <c r="E46" s="4">
        <f t="shared" si="0"/>
        <v>0.14899999999999999</v>
      </c>
      <c r="F46" s="4"/>
      <c r="G46" s="4">
        <v>7.0000000000000007E-2</v>
      </c>
      <c r="H46" s="4">
        <f>G46</f>
        <v>7.0000000000000007E-2</v>
      </c>
      <c r="I46" s="4">
        <f t="shared" si="1"/>
        <v>0.46060000000000006</v>
      </c>
      <c r="J46" s="51">
        <f>(D46+E46+F46+I46)*$C$3</f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>K47-J47</f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0"/>
        <v>0.6745000000000001</v>
      </c>
      <c r="F48" s="4">
        <v>2.33</v>
      </c>
      <c r="G48" s="4">
        <v>0.3</v>
      </c>
      <c r="H48" s="38">
        <f t="shared" ref="H48:H54" si="4">G48*B48</f>
        <v>0.3</v>
      </c>
      <c r="I48" s="4">
        <f t="shared" si="1"/>
        <v>1.974</v>
      </c>
      <c r="J48" s="51">
        <f t="shared" si="2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0"/>
        <v>0.22799999999999998</v>
      </c>
      <c r="F49" s="21">
        <f>2.33/2</f>
        <v>1.165</v>
      </c>
      <c r="G49" s="37">
        <v>0.3</v>
      </c>
      <c r="H49" s="38">
        <f t="shared" si="4"/>
        <v>0.3</v>
      </c>
      <c r="I49" s="4">
        <f t="shared" si="1"/>
        <v>1.974</v>
      </c>
      <c r="J49" s="51">
        <f t="shared" si="2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0"/>
        <v>0.13950000000000001</v>
      </c>
      <c r="F50" s="4">
        <v>2.38</v>
      </c>
      <c r="G50" s="4">
        <v>0.3</v>
      </c>
      <c r="H50" s="38">
        <f t="shared" si="4"/>
        <v>0.3</v>
      </c>
      <c r="I50" s="4">
        <f t="shared" si="1"/>
        <v>1.974</v>
      </c>
      <c r="J50" s="51">
        <f t="shared" si="2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0"/>
        <v>0.22799999999999998</v>
      </c>
      <c r="F51" s="4">
        <v>2.33</v>
      </c>
      <c r="G51" s="4">
        <v>0.2</v>
      </c>
      <c r="H51" s="38">
        <f t="shared" si="4"/>
        <v>0.2</v>
      </c>
      <c r="I51" s="4">
        <f t="shared" si="1"/>
        <v>1.3160000000000001</v>
      </c>
      <c r="J51" s="51">
        <f t="shared" si="2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0"/>
        <v>0.27850000000000003</v>
      </c>
      <c r="F52" s="4">
        <f>2.33/4</f>
        <v>0.58250000000000002</v>
      </c>
      <c r="G52" s="4">
        <v>0.2</v>
      </c>
      <c r="H52" s="38">
        <f t="shared" si="4"/>
        <v>0.2</v>
      </c>
      <c r="I52" s="4">
        <f t="shared" si="1"/>
        <v>1.3160000000000001</v>
      </c>
      <c r="J52" s="51">
        <f t="shared" si="2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0"/>
        <v>0.45599999999999996</v>
      </c>
      <c r="F53" s="4">
        <v>2.33</v>
      </c>
      <c r="G53" s="4">
        <v>0.47</v>
      </c>
      <c r="H53" s="38">
        <f t="shared" si="4"/>
        <v>0.47</v>
      </c>
      <c r="I53" s="4">
        <f t="shared" si="1"/>
        <v>3.0926</v>
      </c>
      <c r="J53" s="51">
        <f t="shared" si="2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0"/>
        <v>0.45150000000000001</v>
      </c>
      <c r="F54" s="4">
        <f>2.33/2</f>
        <v>1.165</v>
      </c>
      <c r="G54" s="4">
        <v>0.3</v>
      </c>
      <c r="H54" s="38">
        <f t="shared" si="4"/>
        <v>0.3</v>
      </c>
      <c r="I54" s="4">
        <f t="shared" si="1"/>
        <v>1.974</v>
      </c>
      <c r="J54" s="51">
        <f t="shared" si="2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>B56*C56</f>
        <v>4.96</v>
      </c>
      <c r="E56" s="4">
        <f t="shared" si="0"/>
        <v>0.248</v>
      </c>
      <c r="F56" s="4">
        <v>0</v>
      </c>
      <c r="G56" s="4">
        <v>0.1</v>
      </c>
      <c r="H56" s="4">
        <f>G56</f>
        <v>0.1</v>
      </c>
      <c r="I56" s="4">
        <f t="shared" si="1"/>
        <v>0.65800000000000003</v>
      </c>
      <c r="J56" s="51">
        <f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>K57-J57</f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0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1"/>
        <v>1.3160000000000001</v>
      </c>
      <c r="J58" s="51">
        <f t="shared" si="2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0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1"/>
        <v>1.3160000000000001</v>
      </c>
      <c r="J59" s="51">
        <f t="shared" si="2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0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1"/>
        <v>1.3160000000000001</v>
      </c>
      <c r="J60" s="51">
        <f t="shared" si="2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0"/>
        <v>0.39050000000000001</v>
      </c>
      <c r="F61" s="4">
        <v>0</v>
      </c>
      <c r="G61" s="4">
        <v>0.2</v>
      </c>
      <c r="H61" s="38">
        <f>G61*B61</f>
        <v>0.2</v>
      </c>
      <c r="I61" s="4">
        <f t="shared" si="1"/>
        <v>1.3160000000000001</v>
      </c>
      <c r="J61" s="51">
        <f t="shared" si="2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0"/>
        <v>6.5500000000000003E-2</v>
      </c>
      <c r="F62" s="4">
        <v>2.33</v>
      </c>
      <c r="G62" s="4">
        <v>0.2</v>
      </c>
      <c r="H62" s="38">
        <f>G62*B62</f>
        <v>0.2</v>
      </c>
      <c r="I62" s="4">
        <f t="shared" si="1"/>
        <v>1.3160000000000001</v>
      </c>
      <c r="J62" s="51">
        <f t="shared" si="2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0"/>
        <v>0.69269999999999998</v>
      </c>
      <c r="F63" s="4"/>
      <c r="G63" s="4">
        <v>0.2</v>
      </c>
      <c r="H63" s="4">
        <f>G63</f>
        <v>0.2</v>
      </c>
      <c r="I63" s="4">
        <f t="shared" si="1"/>
        <v>1.3160000000000001</v>
      </c>
      <c r="J63" s="51">
        <f t="shared" si="2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0"/>
        <v>0.43099999999999999</v>
      </c>
      <c r="F64" s="4"/>
      <c r="G64" s="4">
        <v>0.1</v>
      </c>
      <c r="H64" s="4">
        <f>G64*B64</f>
        <v>0.2</v>
      </c>
      <c r="I64" s="4">
        <f t="shared" si="1"/>
        <v>1.3160000000000001</v>
      </c>
      <c r="J64" s="51">
        <f t="shared" si="2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>B65*C65</f>
        <v>2.98</v>
      </c>
      <c r="E65" s="4">
        <f t="shared" si="0"/>
        <v>0.14899999999999999</v>
      </c>
      <c r="F65" s="4"/>
      <c r="G65" s="4">
        <v>7.0000000000000007E-2</v>
      </c>
      <c r="H65" s="4">
        <f>G65</f>
        <v>7.0000000000000007E-2</v>
      </c>
      <c r="I65" s="4">
        <f t="shared" si="1"/>
        <v>0.46060000000000006</v>
      </c>
      <c r="J65" s="51">
        <f t="shared" si="2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>B66*C66</f>
        <v>4.96</v>
      </c>
      <c r="E66" s="4">
        <f t="shared" si="0"/>
        <v>0.248</v>
      </c>
      <c r="F66" s="4"/>
      <c r="G66" s="4">
        <v>0.1</v>
      </c>
      <c r="H66" s="4">
        <f>G66</f>
        <v>0.1</v>
      </c>
      <c r="I66" s="4">
        <f t="shared" si="1"/>
        <v>0.65800000000000003</v>
      </c>
      <c r="J66" s="51">
        <f t="shared" si="2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>K67-J67</f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0"/>
        <v>0.21000000000000002</v>
      </c>
      <c r="F68" s="4">
        <f>2.33/3</f>
        <v>0.77666666666666673</v>
      </c>
      <c r="G68" s="4">
        <v>0.2</v>
      </c>
      <c r="H68" s="40">
        <f>G68*B68</f>
        <v>0.2</v>
      </c>
      <c r="I68" s="4">
        <f t="shared" si="1"/>
        <v>1.3160000000000001</v>
      </c>
      <c r="J68" s="51">
        <f t="shared" si="2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>B69*C69</f>
        <v>2.98</v>
      </c>
      <c r="E69" s="4">
        <f t="shared" si="0"/>
        <v>0.14899999999999999</v>
      </c>
      <c r="F69" s="4"/>
      <c r="G69" s="4">
        <v>7.0000000000000007E-2</v>
      </c>
      <c r="H69" s="4">
        <f>G69</f>
        <v>7.0000000000000007E-2</v>
      </c>
      <c r="I69" s="4">
        <f t="shared" si="1"/>
        <v>0.46060000000000006</v>
      </c>
      <c r="J69" s="51">
        <f t="shared" si="2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>B70*C70</f>
        <v>4.96</v>
      </c>
      <c r="E70" s="4">
        <f t="shared" si="0"/>
        <v>0.248</v>
      </c>
      <c r="F70" s="4"/>
      <c r="G70" s="4">
        <v>0.1</v>
      </c>
      <c r="H70" s="4">
        <f>G70</f>
        <v>0.1</v>
      </c>
      <c r="I70" s="4">
        <f t="shared" si="1"/>
        <v>0.65800000000000003</v>
      </c>
      <c r="J70" s="51">
        <f t="shared" si="2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>D75*0.05</f>
        <v>0.2155</v>
      </c>
      <c r="F75" s="4"/>
      <c r="G75" s="4">
        <v>0.1</v>
      </c>
      <c r="H75" s="4">
        <f>G75*B75</f>
        <v>0.1</v>
      </c>
      <c r="I75" s="4">
        <f>H75*$C$2</f>
        <v>0.65800000000000003</v>
      </c>
      <c r="J75" s="51">
        <f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0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1"/>
        <v>1.7108000000000001</v>
      </c>
      <c r="J85" s="51">
        <f t="shared" si="2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>K86-J86</f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0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1"/>
        <v>1.3160000000000001</v>
      </c>
      <c r="J87" s="51">
        <f t="shared" si="2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>K88-J88</f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0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1"/>
        <v>6.58</v>
      </c>
      <c r="J89" s="51">
        <f t="shared" si="2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5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0"/>
        <v>0.21000000000000002</v>
      </c>
      <c r="F91" s="4">
        <v>2.33</v>
      </c>
      <c r="G91" s="4">
        <v>0.2</v>
      </c>
      <c r="H91" s="40">
        <f>G91*B91</f>
        <v>0.2</v>
      </c>
      <c r="I91" s="4">
        <f t="shared" si="1"/>
        <v>1.3160000000000001</v>
      </c>
      <c r="J91" s="51">
        <f t="shared" si="2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5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0"/>
        <v>1.02275</v>
      </c>
      <c r="F93" s="4">
        <v>2.33</v>
      </c>
      <c r="G93" s="4">
        <v>0.3</v>
      </c>
      <c r="H93" s="4">
        <f>0.3*B93</f>
        <v>0.3</v>
      </c>
      <c r="I93" s="4">
        <f t="shared" si="1"/>
        <v>1.974</v>
      </c>
      <c r="J93" s="51">
        <f t="shared" si="2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5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0"/>
        <v>0.69269999999999998</v>
      </c>
      <c r="F95">
        <v>0</v>
      </c>
      <c r="G95">
        <v>0.2</v>
      </c>
      <c r="H95">
        <f>G95</f>
        <v>0.2</v>
      </c>
      <c r="I95" s="4">
        <f t="shared" si="1"/>
        <v>1.3160000000000001</v>
      </c>
      <c r="J95" s="51">
        <f t="shared" si="2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5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0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1"/>
        <v>1.974</v>
      </c>
      <c r="J97" s="51">
        <f t="shared" si="2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5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>D99*0.05</f>
        <v>0.22799999999999998</v>
      </c>
      <c r="F99" s="21">
        <f>2.33/2</f>
        <v>1.165</v>
      </c>
      <c r="G99" s="37">
        <v>0.3</v>
      </c>
      <c r="H99" s="38">
        <f>G99*B99</f>
        <v>0.3</v>
      </c>
      <c r="I99" s="4">
        <f>H99*$C$2</f>
        <v>1.974</v>
      </c>
      <c r="J99" s="51">
        <f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opLeftCell="A19" zoomScale="80" zoomScaleNormal="80" workbookViewId="0">
      <selection activeCell="A6" sqref="A6:XFD9"/>
    </sheetView>
  </sheetViews>
  <sheetFormatPr defaultRowHeight="15" x14ac:dyDescent="0.25"/>
  <cols>
    <col min="1" max="1" width="25" customWidth="1"/>
    <col min="3" max="3" width="16.7109375" customWidth="1"/>
    <col min="6" max="6" width="11.42578125" customWidth="1"/>
    <col min="8" max="8" width="10.7109375" customWidth="1"/>
    <col min="11" max="11" width="9.5703125" bestFit="1" customWidth="1"/>
    <col min="12" max="12" width="11.140625" customWidth="1"/>
  </cols>
  <sheetData>
    <row r="1" spans="1:12" ht="21" x14ac:dyDescent="0.35">
      <c r="A1" s="55" t="s">
        <v>281</v>
      </c>
      <c r="B1" s="4"/>
      <c r="C1" s="189">
        <v>42403</v>
      </c>
      <c r="D1" s="30"/>
    </row>
    <row r="2" spans="1:12" ht="38.25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0">
        <v>6.7000000000000004E-2</v>
      </c>
      <c r="D3" s="30"/>
    </row>
    <row r="4" spans="1:12" ht="15.75" thickBot="1" x14ac:dyDescent="0.3"/>
    <row r="5" spans="1:12" ht="45" x14ac:dyDescent="0.2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2" t="s">
        <v>331</v>
      </c>
      <c r="B6" s="151"/>
      <c r="C6" s="151"/>
      <c r="D6" s="2"/>
      <c r="E6" s="92"/>
      <c r="F6" s="207"/>
      <c r="G6" s="124"/>
      <c r="H6" s="32"/>
      <c r="I6" s="2"/>
      <c r="J6" s="52">
        <f>SUM(J7:J9)</f>
        <v>1656.7090000000001</v>
      </c>
      <c r="K6" s="10">
        <v>783</v>
      </c>
      <c r="L6" s="10">
        <f>K6-J6</f>
        <v>-873.70900000000006</v>
      </c>
    </row>
    <row r="7" spans="1:12" x14ac:dyDescent="0.25">
      <c r="A7" s="214" t="s">
        <v>818</v>
      </c>
      <c r="B7" s="4">
        <v>1</v>
      </c>
      <c r="C7" s="4">
        <v>6000</v>
      </c>
      <c r="D7" s="4">
        <f>B7*C7</f>
        <v>6000</v>
      </c>
      <c r="E7" s="39">
        <f>D7*0.1</f>
        <v>600</v>
      </c>
      <c r="F7" s="98">
        <v>2500</v>
      </c>
      <c r="G7" s="99">
        <v>0.1</v>
      </c>
      <c r="H7" s="37">
        <f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25">
      <c r="A8" s="214" t="s">
        <v>819</v>
      </c>
      <c r="B8" s="4">
        <v>1</v>
      </c>
      <c r="C8" s="4">
        <v>6000</v>
      </c>
      <c r="D8" s="4">
        <f>B8*C8</f>
        <v>6000</v>
      </c>
      <c r="E8" s="39">
        <f>D8*0.1</f>
        <v>600</v>
      </c>
      <c r="F8" s="98"/>
      <c r="G8" s="99">
        <v>0.1</v>
      </c>
      <c r="H8" s="37">
        <f>G8*B8</f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25">
      <c r="A9" s="214" t="s">
        <v>820</v>
      </c>
      <c r="B9" s="4">
        <v>1</v>
      </c>
      <c r="C9" s="4">
        <v>6000</v>
      </c>
      <c r="D9" s="4">
        <f>B9*C9</f>
        <v>6000</v>
      </c>
      <c r="E9" s="39">
        <f>D9*0.1</f>
        <v>600</v>
      </c>
      <c r="F9" s="98"/>
      <c r="G9" s="99">
        <v>0.1</v>
      </c>
      <c r="H9" s="37">
        <f>G9*B9</f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.5" x14ac:dyDescent="0.5">
      <c r="A10" s="152" t="s">
        <v>195</v>
      </c>
      <c r="B10" s="151"/>
      <c r="C10" s="151"/>
      <c r="D10" s="2"/>
      <c r="E10" s="92"/>
      <c r="F10" s="207"/>
      <c r="G10" s="124"/>
      <c r="H10" s="32"/>
      <c r="I10" s="2"/>
      <c r="J10" s="52">
        <f>SUM(J11:J12)</f>
        <v>833.09140000000014</v>
      </c>
      <c r="K10" s="10">
        <v>911</v>
      </c>
      <c r="L10" s="10">
        <f>K10-J10</f>
        <v>77.908599999999865</v>
      </c>
    </row>
    <row r="11" spans="1:12" x14ac:dyDescent="0.25">
      <c r="A11" s="4" t="s">
        <v>821</v>
      </c>
      <c r="B11" s="4">
        <v>1</v>
      </c>
      <c r="C11" s="4">
        <v>3800</v>
      </c>
      <c r="D11" s="4">
        <f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25">
      <c r="A12" s="4" t="s">
        <v>822</v>
      </c>
      <c r="B12" s="4">
        <v>1</v>
      </c>
      <c r="C12" s="4">
        <v>3800</v>
      </c>
      <c r="D12" s="4">
        <f>B12*C12</f>
        <v>3800</v>
      </c>
      <c r="E12" s="39">
        <f>D12*0.1</f>
        <v>380</v>
      </c>
      <c r="F12" s="98">
        <f>2500/5</f>
        <v>500</v>
      </c>
      <c r="G12" s="99">
        <v>0.19</v>
      </c>
      <c r="H12" s="37">
        <f>G12*B12</f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.5" x14ac:dyDescent="0.5">
      <c r="A13" s="152" t="s">
        <v>680</v>
      </c>
      <c r="B13" s="151"/>
      <c r="C13" s="151"/>
      <c r="D13" s="2"/>
      <c r="E13" s="92"/>
      <c r="F13" s="123"/>
      <c r="G13" s="124"/>
      <c r="H13" s="32"/>
      <c r="I13" s="2"/>
      <c r="J13" s="52">
        <f>SUM(J14:J15)</f>
        <v>2629.75</v>
      </c>
      <c r="K13" s="10">
        <f>2541+39</f>
        <v>2580</v>
      </c>
      <c r="L13" s="10">
        <f>K13-J13</f>
        <v>-49.75</v>
      </c>
    </row>
    <row r="14" spans="1:12" x14ac:dyDescent="0.25">
      <c r="A14" s="17" t="s">
        <v>823</v>
      </c>
      <c r="B14" s="4">
        <v>1</v>
      </c>
      <c r="C14" s="4">
        <v>15390</v>
      </c>
      <c r="D14" s="4">
        <f>B14*C14</f>
        <v>15390</v>
      </c>
      <c r="E14" s="39">
        <f>D14*0.1</f>
        <v>1539</v>
      </c>
      <c r="F14" s="98">
        <v>2500</v>
      </c>
      <c r="G14" s="99">
        <v>0.3</v>
      </c>
      <c r="H14" s="37">
        <f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25">
      <c r="A15" s="4" t="s">
        <v>824</v>
      </c>
      <c r="B15" s="4">
        <v>1</v>
      </c>
      <c r="C15" s="4">
        <v>11400</v>
      </c>
      <c r="D15" s="4">
        <f>B15*C15</f>
        <v>11400</v>
      </c>
      <c r="E15" s="39">
        <f>D15*0.1</f>
        <v>1140</v>
      </c>
      <c r="F15" s="98">
        <v>0</v>
      </c>
      <c r="G15" s="99">
        <v>0.6</v>
      </c>
      <c r="H15" s="37">
        <f>G15*B15</f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.5" x14ac:dyDescent="0.5">
      <c r="A16" s="152" t="s">
        <v>778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752.36533333333341</v>
      </c>
      <c r="K16" s="10">
        <f>728+33</f>
        <v>761</v>
      </c>
      <c r="L16" s="10">
        <f>K16-J16</f>
        <v>8.6346666666665897</v>
      </c>
    </row>
    <row r="17" spans="1:13" x14ac:dyDescent="0.25">
      <c r="A17" s="4" t="s">
        <v>779</v>
      </c>
      <c r="B17" s="213">
        <v>2</v>
      </c>
      <c r="C17" s="4">
        <v>3990</v>
      </c>
      <c r="D17" s="4">
        <f>B17*C17</f>
        <v>7980</v>
      </c>
      <c r="E17" s="39">
        <f>D17*0.1</f>
        <v>798</v>
      </c>
      <c r="F17" s="215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.5" x14ac:dyDescent="0.5">
      <c r="A18" s="152" t="s">
        <v>825</v>
      </c>
      <c r="B18" s="151"/>
      <c r="C18" s="151"/>
      <c r="D18" s="2"/>
      <c r="E18" s="92"/>
      <c r="F18" s="123"/>
      <c r="G18" s="124"/>
      <c r="H18" s="32"/>
      <c r="I18" s="2"/>
      <c r="J18" s="52">
        <f>J19</f>
        <v>737.46900000000005</v>
      </c>
      <c r="K18" s="10">
        <v>661</v>
      </c>
      <c r="L18" s="10">
        <f>K18-J18</f>
        <v>-76.469000000000051</v>
      </c>
    </row>
    <row r="19" spans="1:13" x14ac:dyDescent="0.25">
      <c r="A19" s="4" t="s">
        <v>826</v>
      </c>
      <c r="B19" s="4">
        <v>1</v>
      </c>
      <c r="C19" s="4">
        <v>7800</v>
      </c>
      <c r="D19" s="4">
        <f>B19*C19</f>
        <v>7800</v>
      </c>
      <c r="E19" s="39">
        <f>D19*0.1</f>
        <v>780</v>
      </c>
      <c r="F19" s="98">
        <v>0</v>
      </c>
      <c r="G19" s="99">
        <v>0.3</v>
      </c>
      <c r="H19" s="37">
        <f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.5" x14ac:dyDescent="0.5">
      <c r="A20" s="152" t="s">
        <v>827</v>
      </c>
      <c r="B20" s="151"/>
      <c r="C20" s="151"/>
      <c r="D20" s="2"/>
      <c r="E20" s="92"/>
      <c r="F20" s="123"/>
      <c r="G20" s="124"/>
      <c r="H20" s="32"/>
      <c r="I20" s="2"/>
      <c r="J20" s="52">
        <f>J21</f>
        <v>696.48509999999999</v>
      </c>
      <c r="K20" s="10">
        <f>664+32</f>
        <v>696</v>
      </c>
      <c r="L20" s="10">
        <f>K20-J20</f>
        <v>-0.48509999999998854</v>
      </c>
    </row>
    <row r="21" spans="1:13" x14ac:dyDescent="0.25">
      <c r="A21" s="4" t="s">
        <v>828</v>
      </c>
      <c r="B21" s="4">
        <v>1</v>
      </c>
      <c r="C21" s="4">
        <v>8200</v>
      </c>
      <c r="D21" s="4">
        <f>B21*C21</f>
        <v>8200</v>
      </c>
      <c r="E21" s="39">
        <f>D21*0.1</f>
        <v>820</v>
      </c>
      <c r="F21" s="98">
        <v>0</v>
      </c>
      <c r="G21" s="99">
        <v>0.17</v>
      </c>
      <c r="H21" s="37">
        <f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.5" x14ac:dyDescent="0.5">
      <c r="A22" s="152" t="s">
        <v>829</v>
      </c>
      <c r="B22" s="151"/>
      <c r="C22" s="151"/>
      <c r="D22" s="2"/>
      <c r="E22" s="92"/>
      <c r="F22" s="123"/>
      <c r="G22" s="124"/>
      <c r="H22" s="32"/>
      <c r="I22" s="2"/>
      <c r="J22" s="52">
        <f>J23</f>
        <v>416.54570000000007</v>
      </c>
      <c r="K22" s="10">
        <f>459-42</f>
        <v>417</v>
      </c>
      <c r="L22" s="10">
        <f>K22-J22</f>
        <v>0.45429999999993242</v>
      </c>
      <c r="M22" t="s">
        <v>836</v>
      </c>
    </row>
    <row r="23" spans="1:13" x14ac:dyDescent="0.25">
      <c r="A23" s="4" t="s">
        <v>821</v>
      </c>
      <c r="B23" s="4">
        <v>1</v>
      </c>
      <c r="C23" s="4">
        <v>3800</v>
      </c>
      <c r="D23" s="4">
        <f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.5" x14ac:dyDescent="0.5">
      <c r="A24" s="152" t="s">
        <v>830</v>
      </c>
      <c r="B24" s="151"/>
      <c r="C24" s="151"/>
      <c r="D24" s="2"/>
      <c r="E24" s="92"/>
      <c r="F24" s="123"/>
      <c r="G24" s="124"/>
      <c r="H24" s="32"/>
      <c r="I24" s="2"/>
      <c r="J24" s="52">
        <f>J25</f>
        <v>1128.548</v>
      </c>
      <c r="K24" s="10">
        <v>1088</v>
      </c>
      <c r="L24" s="10">
        <f>K24-J24</f>
        <v>-40.548000000000002</v>
      </c>
    </row>
    <row r="25" spans="1:13" x14ac:dyDescent="0.25">
      <c r="A25" s="6" t="s">
        <v>831</v>
      </c>
      <c r="B25" s="4">
        <v>1</v>
      </c>
      <c r="C25" s="4">
        <v>10900</v>
      </c>
      <c r="D25" s="4">
        <f>B25*C25</f>
        <v>10900</v>
      </c>
      <c r="E25" s="39">
        <f>D25*0.1</f>
        <v>1090</v>
      </c>
      <c r="F25" s="98">
        <v>0</v>
      </c>
      <c r="G25" s="99">
        <v>0.6</v>
      </c>
      <c r="H25" s="37">
        <f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.5" x14ac:dyDescent="0.5">
      <c r="A26" s="152" t="s">
        <v>391</v>
      </c>
      <c r="B26" s="151"/>
      <c r="C26" s="151"/>
      <c r="D26" s="2"/>
      <c r="E26" s="92"/>
      <c r="F26" s="123"/>
      <c r="G26" s="124"/>
      <c r="H26" s="32"/>
      <c r="I26" s="2"/>
      <c r="J26" s="52">
        <f>J27</f>
        <v>1085.1856</v>
      </c>
      <c r="K26" s="10">
        <f>1088-3</f>
        <v>1085</v>
      </c>
      <c r="L26" s="10">
        <f>K26-J26</f>
        <v>-0.18560000000002219</v>
      </c>
      <c r="M26" t="s">
        <v>837</v>
      </c>
    </row>
    <row r="27" spans="1:13" ht="15.75" thickBot="1" x14ac:dyDescent="0.3">
      <c r="A27" s="17" t="s">
        <v>832</v>
      </c>
      <c r="B27" s="4">
        <v>1</v>
      </c>
      <c r="C27" s="4">
        <v>10900</v>
      </c>
      <c r="D27" s="4">
        <f>B27*C27</f>
        <v>10900</v>
      </c>
      <c r="E27" s="39">
        <f>D27*0.1</f>
        <v>1090</v>
      </c>
      <c r="F27" s="102">
        <v>0</v>
      </c>
      <c r="G27" s="103">
        <v>0.52</v>
      </c>
      <c r="H27" s="37">
        <f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70" zoomScaleNormal="70" workbookViewId="0">
      <selection activeCell="K17" sqref="K17"/>
    </sheetView>
  </sheetViews>
  <sheetFormatPr defaultRowHeight="15" x14ac:dyDescent="0.25"/>
  <cols>
    <col min="1" max="1" width="62.5703125" customWidth="1"/>
    <col min="3" max="3" width="21.42578125" customWidth="1"/>
    <col min="6" max="6" width="12.140625" customWidth="1"/>
    <col min="10" max="10" width="9.5703125" bestFit="1" customWidth="1"/>
    <col min="11" max="11" width="11.42578125" customWidth="1"/>
    <col min="12" max="12" width="11.28515625" customWidth="1"/>
  </cols>
  <sheetData>
    <row r="1" spans="1:12" ht="21" x14ac:dyDescent="0.35">
      <c r="A1" s="55" t="s">
        <v>281</v>
      </c>
      <c r="B1" s="4"/>
      <c r="C1" s="189">
        <v>42432</v>
      </c>
      <c r="D1" s="30"/>
    </row>
    <row r="2" spans="1:12" ht="21" x14ac:dyDescent="0.35">
      <c r="A2" s="55" t="s">
        <v>239</v>
      </c>
      <c r="B2" s="4"/>
      <c r="C2" s="16">
        <v>7980</v>
      </c>
      <c r="D2" s="30"/>
    </row>
    <row r="3" spans="1:12" ht="21" x14ac:dyDescent="0.35">
      <c r="A3" s="55" t="s">
        <v>240</v>
      </c>
      <c r="B3" s="4"/>
      <c r="C3" s="170">
        <v>6.0999999999999999E-2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217" t="s">
        <v>401</v>
      </c>
      <c r="F5" s="94" t="s">
        <v>350</v>
      </c>
      <c r="G5" s="95" t="s">
        <v>7</v>
      </c>
      <c r="H5" s="218" t="s">
        <v>10</v>
      </c>
      <c r="I5" s="216" t="s">
        <v>351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20" t="s">
        <v>391</v>
      </c>
      <c r="B6" s="151"/>
      <c r="C6" s="151"/>
      <c r="D6" s="2"/>
      <c r="E6" s="92"/>
      <c r="F6" s="177"/>
      <c r="G6" s="124"/>
      <c r="H6" s="32"/>
      <c r="I6" s="2"/>
      <c r="J6" s="52">
        <f>J7</f>
        <v>320.33133333333336</v>
      </c>
      <c r="K6" s="10">
        <v>322</v>
      </c>
      <c r="L6" s="221">
        <f>K6-J6</f>
        <v>1.6686666666666383</v>
      </c>
    </row>
    <row r="7" spans="1:12" x14ac:dyDescent="0.25">
      <c r="A7" s="136" t="s">
        <v>838</v>
      </c>
      <c r="B7" s="4">
        <v>1</v>
      </c>
      <c r="C7" s="4">
        <v>1840</v>
      </c>
      <c r="D7" s="4">
        <f>B7*C7</f>
        <v>1840</v>
      </c>
      <c r="E7" s="39">
        <f>D7*0.1</f>
        <v>184</v>
      </c>
      <c r="F7" s="215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7"/>
    </row>
    <row r="8" spans="1:12" ht="31.5" x14ac:dyDescent="0.5">
      <c r="A8" s="220" t="s">
        <v>830</v>
      </c>
      <c r="B8" s="151"/>
      <c r="C8" s="151"/>
      <c r="D8" s="2"/>
      <c r="E8" s="92"/>
      <c r="F8" s="177"/>
      <c r="G8" s="124"/>
      <c r="H8" s="32"/>
      <c r="I8" s="2"/>
      <c r="J8" s="52">
        <f>J9</f>
        <v>320.33133333333336</v>
      </c>
      <c r="K8" s="10">
        <v>363</v>
      </c>
      <c r="L8" s="221">
        <f>K8-J8</f>
        <v>42.668666666666638</v>
      </c>
    </row>
    <row r="9" spans="1:12" x14ac:dyDescent="0.25">
      <c r="A9" s="136" t="s">
        <v>838</v>
      </c>
      <c r="B9" s="4">
        <v>1</v>
      </c>
      <c r="C9" s="4">
        <v>1840</v>
      </c>
      <c r="D9" s="4">
        <f>B9*C9</f>
        <v>1840</v>
      </c>
      <c r="E9" s="39">
        <f>D9*0.1</f>
        <v>184</v>
      </c>
      <c r="F9" s="215">
        <f>2500/3</f>
        <v>833.33333333333337</v>
      </c>
      <c r="G9" s="99">
        <v>0.3</v>
      </c>
      <c r="H9" s="37">
        <f>G9*B9</f>
        <v>0.3</v>
      </c>
      <c r="I9" s="4">
        <f>H9*$C$2</f>
        <v>2394</v>
      </c>
      <c r="J9" s="51">
        <f>(D9+E9+F9+I9)*$C$3</f>
        <v>320.33133333333336</v>
      </c>
      <c r="K9" s="6"/>
      <c r="L9" s="137"/>
    </row>
    <row r="10" spans="1:12" ht="31.5" x14ac:dyDescent="0.5">
      <c r="A10" s="220" t="s">
        <v>825</v>
      </c>
      <c r="B10" s="151"/>
      <c r="C10" s="151"/>
      <c r="D10" s="2"/>
      <c r="E10" s="92"/>
      <c r="F10" s="177"/>
      <c r="G10" s="124"/>
      <c r="H10" s="32"/>
      <c r="I10" s="2"/>
      <c r="J10" s="52">
        <f>J11</f>
        <v>442.738</v>
      </c>
      <c r="K10" s="10">
        <v>520</v>
      </c>
      <c r="L10" s="221">
        <f>K10-J10</f>
        <v>77.262</v>
      </c>
    </row>
    <row r="11" spans="1:12" x14ac:dyDescent="0.25">
      <c r="A11" s="98" t="s">
        <v>839</v>
      </c>
      <c r="B11" s="4">
        <v>1</v>
      </c>
      <c r="C11" s="4">
        <v>3600</v>
      </c>
      <c r="D11" s="4">
        <f>B11*C11</f>
        <v>3600</v>
      </c>
      <c r="E11" s="39">
        <f>D11*0.1</f>
        <v>360</v>
      </c>
      <c r="F11" s="215">
        <v>2500</v>
      </c>
      <c r="G11" s="99">
        <v>0.1</v>
      </c>
      <c r="H11" s="37">
        <f>G11*B11</f>
        <v>0.1</v>
      </c>
      <c r="I11" s="4">
        <f>H11*$C$2</f>
        <v>798</v>
      </c>
      <c r="J11" s="51">
        <f>(D11+E11+F11+I11)*$C$3</f>
        <v>442.738</v>
      </c>
      <c r="K11" s="6"/>
      <c r="L11" s="137"/>
    </row>
    <row r="12" spans="1:12" ht="31.5" x14ac:dyDescent="0.5">
      <c r="A12" s="220" t="s">
        <v>31</v>
      </c>
      <c r="B12" s="151"/>
      <c r="C12" s="151"/>
      <c r="D12" s="2"/>
      <c r="E12" s="92"/>
      <c r="F12" s="177"/>
      <c r="G12" s="124"/>
      <c r="H12" s="32"/>
      <c r="I12" s="2"/>
      <c r="J12" s="52">
        <f>J13</f>
        <v>806.77379999999994</v>
      </c>
      <c r="K12" s="10">
        <f>791+13</f>
        <v>804</v>
      </c>
      <c r="L12" s="221">
        <f>K12-J12</f>
        <v>-2.7737999999999374</v>
      </c>
    </row>
    <row r="13" spans="1:12" x14ac:dyDescent="0.25">
      <c r="A13" s="136" t="s">
        <v>840</v>
      </c>
      <c r="B13" s="4">
        <v>1</v>
      </c>
      <c r="C13" s="4">
        <v>10500</v>
      </c>
      <c r="D13" s="4">
        <f>B13*C13</f>
        <v>10500</v>
      </c>
      <c r="E13" s="39">
        <f>D13*0.1</f>
        <v>1050</v>
      </c>
      <c r="F13" s="215">
        <v>0</v>
      </c>
      <c r="G13" s="99">
        <v>0.21</v>
      </c>
      <c r="H13" s="37">
        <f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7"/>
    </row>
    <row r="14" spans="1:12" ht="31.5" x14ac:dyDescent="0.5">
      <c r="A14" s="220" t="s">
        <v>841</v>
      </c>
      <c r="B14" s="151"/>
      <c r="C14" s="151"/>
      <c r="D14" s="2"/>
      <c r="E14" s="92"/>
      <c r="F14" s="177"/>
      <c r="G14" s="124"/>
      <c r="H14" s="32"/>
      <c r="I14" s="2"/>
      <c r="J14" s="52">
        <f>J15</f>
        <v>1097.146</v>
      </c>
      <c r="K14" s="10">
        <v>1097</v>
      </c>
      <c r="L14" s="221">
        <f>K14-J14</f>
        <v>-0.14599999999995816</v>
      </c>
    </row>
    <row r="15" spans="1:12" x14ac:dyDescent="0.25">
      <c r="A15" s="98" t="s">
        <v>842</v>
      </c>
      <c r="B15" s="4">
        <v>1</v>
      </c>
      <c r="C15" s="4">
        <v>14900</v>
      </c>
      <c r="D15" s="4">
        <f>B15*C15</f>
        <v>14900</v>
      </c>
      <c r="E15" s="39">
        <f>D15*0.1</f>
        <v>1490</v>
      </c>
      <c r="F15" s="215">
        <v>0</v>
      </c>
      <c r="G15" s="99">
        <v>0.2</v>
      </c>
      <c r="H15" s="37">
        <f>G15*B15</f>
        <v>0.2</v>
      </c>
      <c r="I15" s="4">
        <f>H15*$C$2</f>
        <v>1596</v>
      </c>
      <c r="J15" s="51">
        <f>(D15+E15+F15+I15)*$C$3</f>
        <v>1097.146</v>
      </c>
      <c r="K15" s="6"/>
      <c r="L15" s="137"/>
    </row>
    <row r="16" spans="1:12" ht="31.5" x14ac:dyDescent="0.5">
      <c r="A16" s="220" t="s">
        <v>230</v>
      </c>
      <c r="B16" s="151"/>
      <c r="C16" s="151"/>
      <c r="D16" s="2"/>
      <c r="E16" s="92"/>
      <c r="F16" s="177"/>
      <c r="G16" s="124"/>
      <c r="H16" s="32"/>
      <c r="I16" s="2"/>
      <c r="J16" s="52">
        <f>J17</f>
        <v>511.52566666666672</v>
      </c>
      <c r="K16" s="10">
        <v>511</v>
      </c>
      <c r="L16" s="221">
        <f>K16-J16</f>
        <v>-0.5256666666667229</v>
      </c>
    </row>
    <row r="17" spans="1:12" x14ac:dyDescent="0.25">
      <c r="A17" s="98" t="s">
        <v>851</v>
      </c>
      <c r="B17" s="4">
        <v>1</v>
      </c>
      <c r="C17" s="168">
        <f>10900/3</f>
        <v>3633.3333333333335</v>
      </c>
      <c r="D17" s="168">
        <f>B17*C17</f>
        <v>3633.3333333333335</v>
      </c>
      <c r="E17" s="227">
        <f>D17*0.1</f>
        <v>363.33333333333337</v>
      </c>
      <c r="F17" s="215">
        <v>0</v>
      </c>
      <c r="G17" s="99">
        <v>0.55000000000000004</v>
      </c>
      <c r="H17" s="37">
        <f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7"/>
    </row>
    <row r="18" spans="1:12" ht="31.5" x14ac:dyDescent="0.5">
      <c r="A18" s="220" t="s">
        <v>382</v>
      </c>
      <c r="B18" s="151"/>
      <c r="C18" s="151"/>
      <c r="D18" s="2"/>
      <c r="E18" s="92"/>
      <c r="F18" s="177"/>
      <c r="G18" s="124"/>
      <c r="H18" s="32"/>
      <c r="I18" s="2"/>
      <c r="J18" s="52">
        <f>SUM(J19:J20)</f>
        <v>1915.4854</v>
      </c>
      <c r="K18" s="10">
        <f>1798+157</f>
        <v>1955</v>
      </c>
      <c r="L18" s="221">
        <f>K18-J18</f>
        <v>39.514599999999973</v>
      </c>
    </row>
    <row r="19" spans="1:12" x14ac:dyDescent="0.25">
      <c r="A19" s="136" t="s">
        <v>843</v>
      </c>
      <c r="B19" s="4">
        <v>1</v>
      </c>
      <c r="C19" s="4">
        <v>10900</v>
      </c>
      <c r="D19" s="4">
        <f>B19*C19</f>
        <v>10900</v>
      </c>
      <c r="E19" s="39">
        <f>D19*0.1</f>
        <v>1090</v>
      </c>
      <c r="F19" s="215">
        <v>0</v>
      </c>
      <c r="G19" s="99">
        <v>0.6</v>
      </c>
      <c r="H19" s="37">
        <f>G19*B19</f>
        <v>0.6</v>
      </c>
      <c r="I19" s="4">
        <f>H19*$C$2</f>
        <v>4788</v>
      </c>
      <c r="J19" s="51">
        <f>(D19+E19+F19+I19)*$C$3</f>
        <v>1023.458</v>
      </c>
      <c r="K19" s="6"/>
      <c r="L19" s="137"/>
    </row>
    <row r="20" spans="1:12" x14ac:dyDescent="0.25">
      <c r="A20" s="136" t="s">
        <v>844</v>
      </c>
      <c r="B20" s="4">
        <v>1</v>
      </c>
      <c r="C20" s="4">
        <v>10900</v>
      </c>
      <c r="D20" s="4">
        <f>B20*C20</f>
        <v>10900</v>
      </c>
      <c r="E20" s="39">
        <f>D20*0.1</f>
        <v>1090</v>
      </c>
      <c r="F20" s="215">
        <v>0</v>
      </c>
      <c r="G20" s="99">
        <v>0.33</v>
      </c>
      <c r="H20" s="37">
        <f>G20*B20</f>
        <v>0.33</v>
      </c>
      <c r="I20" s="4">
        <f>H20*$C$2</f>
        <v>2633.4</v>
      </c>
      <c r="J20" s="51">
        <f>(D20+E20+F20+I20)*$C$3</f>
        <v>892.02739999999994</v>
      </c>
      <c r="K20" s="6"/>
      <c r="L20" s="137"/>
    </row>
    <row r="21" spans="1:12" ht="31.5" x14ac:dyDescent="0.5">
      <c r="A21" s="220" t="s">
        <v>707</v>
      </c>
      <c r="B21" s="151"/>
      <c r="C21" s="151"/>
      <c r="D21" s="2"/>
      <c r="E21" s="92"/>
      <c r="F21" s="177"/>
      <c r="G21" s="124"/>
      <c r="H21" s="32"/>
      <c r="I21" s="2"/>
      <c r="J21" s="52">
        <f>SUM(J22:J23)</f>
        <v>1368.1283333333333</v>
      </c>
      <c r="K21" s="10">
        <v>983</v>
      </c>
      <c r="L21" s="221">
        <f>K21-J21</f>
        <v>-385.12833333333333</v>
      </c>
    </row>
    <row r="22" spans="1:12" x14ac:dyDescent="0.25">
      <c r="A22" s="136" t="s">
        <v>838</v>
      </c>
      <c r="B22" s="4">
        <v>1</v>
      </c>
      <c r="C22" s="4">
        <v>1840</v>
      </c>
      <c r="D22" s="4">
        <f>B22*C22</f>
        <v>1840</v>
      </c>
      <c r="E22" s="39">
        <f>D22*0.1</f>
        <v>184</v>
      </c>
      <c r="F22" s="215">
        <f>2500/3</f>
        <v>833.33333333333337</v>
      </c>
      <c r="G22" s="99">
        <v>0.3</v>
      </c>
      <c r="H22" s="37">
        <f>G22*B22</f>
        <v>0.3</v>
      </c>
      <c r="I22" s="4">
        <f>H22*$C$2</f>
        <v>2394</v>
      </c>
      <c r="J22" s="51">
        <f>(D22+E22+F22+I22)*$C$3</f>
        <v>320.33133333333336</v>
      </c>
      <c r="K22" s="6"/>
      <c r="L22" s="137"/>
    </row>
    <row r="23" spans="1:12" x14ac:dyDescent="0.25">
      <c r="A23" s="136" t="s">
        <v>845</v>
      </c>
      <c r="B23" s="4">
        <v>1</v>
      </c>
      <c r="C23" s="4">
        <v>10900</v>
      </c>
      <c r="D23" s="4">
        <f>B23*C23</f>
        <v>10900</v>
      </c>
      <c r="E23" s="39">
        <f>D23*0.1</f>
        <v>1090</v>
      </c>
      <c r="F23" s="98">
        <v>0</v>
      </c>
      <c r="G23" s="99">
        <v>0.65</v>
      </c>
      <c r="H23" s="37">
        <f>G23*B23</f>
        <v>0.65</v>
      </c>
      <c r="I23" s="4">
        <f>H23*$C$2</f>
        <v>5187</v>
      </c>
      <c r="J23" s="51">
        <f>(D23+E23+F23+I23)*$C$3</f>
        <v>1047.797</v>
      </c>
      <c r="K23" s="6"/>
      <c r="L23" s="137"/>
    </row>
    <row r="24" spans="1:12" ht="31.5" x14ac:dyDescent="0.5">
      <c r="A24" s="220" t="s">
        <v>846</v>
      </c>
      <c r="B24" s="151"/>
      <c r="C24" s="151"/>
      <c r="D24" s="2"/>
      <c r="E24" s="92"/>
      <c r="F24" s="207"/>
      <c r="G24" s="124"/>
      <c r="H24" s="32"/>
      <c r="I24" s="2"/>
      <c r="J24" s="52">
        <f>SUM(J25:J26)</f>
        <v>1453.0444</v>
      </c>
      <c r="K24" s="10">
        <f>1451+2</f>
        <v>1453</v>
      </c>
      <c r="L24" s="221">
        <f>K24-J24</f>
        <v>-4.4399999999995998E-2</v>
      </c>
    </row>
    <row r="25" spans="1:12" x14ac:dyDescent="0.25">
      <c r="A25" s="134" t="s">
        <v>539</v>
      </c>
      <c r="B25" s="4">
        <v>1</v>
      </c>
      <c r="C25" s="4">
        <v>9900</v>
      </c>
      <c r="D25" s="4">
        <f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7"/>
    </row>
    <row r="26" spans="1:12" x14ac:dyDescent="0.25">
      <c r="A26" s="134" t="s">
        <v>847</v>
      </c>
      <c r="B26" s="4">
        <v>1</v>
      </c>
      <c r="C26" s="4">
        <v>6000</v>
      </c>
      <c r="D26" s="4">
        <f>B26*C26</f>
        <v>6000</v>
      </c>
      <c r="E26" s="39">
        <f>D26*0.1</f>
        <v>600</v>
      </c>
      <c r="F26" s="98">
        <v>2500</v>
      </c>
      <c r="G26" s="99">
        <v>0.2</v>
      </c>
      <c r="H26" s="37">
        <f>G26*B26</f>
        <v>0.2</v>
      </c>
      <c r="I26" s="4">
        <f>H26*$C$2</f>
        <v>1596</v>
      </c>
      <c r="J26" s="51">
        <f>(D26+E26+F26+I26)*$C$3</f>
        <v>652.45600000000002</v>
      </c>
      <c r="K26" s="6"/>
      <c r="L26" s="137"/>
    </row>
    <row r="27" spans="1:12" ht="33.6" customHeight="1" x14ac:dyDescent="0.5">
      <c r="A27" s="220" t="s">
        <v>331</v>
      </c>
      <c r="B27" s="151"/>
      <c r="C27" s="151"/>
      <c r="D27" s="2"/>
      <c r="E27" s="92"/>
      <c r="F27" s="207"/>
      <c r="G27" s="124"/>
      <c r="H27" s="32"/>
      <c r="I27" s="2"/>
      <c r="J27" s="52">
        <f>SUM(J28:J30)</f>
        <v>1601.9942000000001</v>
      </c>
      <c r="K27" s="10">
        <v>1658</v>
      </c>
      <c r="L27" s="221">
        <f>K27-J27</f>
        <v>56.005799999999908</v>
      </c>
    </row>
    <row r="28" spans="1:12" x14ac:dyDescent="0.25">
      <c r="A28" s="136" t="s">
        <v>848</v>
      </c>
      <c r="B28" s="4">
        <v>1</v>
      </c>
      <c r="C28" s="4">
        <v>4900</v>
      </c>
      <c r="D28" s="4">
        <f>B28*C28</f>
        <v>4900</v>
      </c>
      <c r="E28" s="39">
        <f>D28*0.1</f>
        <v>490</v>
      </c>
      <c r="F28" s="98">
        <v>2500</v>
      </c>
      <c r="G28" s="99">
        <v>0.1</v>
      </c>
      <c r="H28" s="37">
        <f>G28*B28</f>
        <v>0.1</v>
      </c>
      <c r="I28" s="4">
        <f>H28*$C$2</f>
        <v>798</v>
      </c>
      <c r="J28" s="51">
        <f>(D28+E28+F28+I28)*$C$3</f>
        <v>529.96799999999996</v>
      </c>
      <c r="K28" s="6"/>
      <c r="L28" s="137"/>
    </row>
    <row r="29" spans="1:12" x14ac:dyDescent="0.25">
      <c r="A29" s="136" t="s">
        <v>849</v>
      </c>
      <c r="B29" s="4">
        <v>1</v>
      </c>
      <c r="C29" s="4">
        <v>4900</v>
      </c>
      <c r="D29" s="4">
        <f>B29*C29</f>
        <v>4900</v>
      </c>
      <c r="E29" s="39">
        <f>D29*0.1</f>
        <v>490</v>
      </c>
      <c r="F29" s="98"/>
      <c r="G29" s="99">
        <v>0.1</v>
      </c>
      <c r="H29" s="37">
        <f>G29*B29</f>
        <v>0.1</v>
      </c>
      <c r="I29" s="4">
        <f>H29*$C$2</f>
        <v>798</v>
      </c>
      <c r="J29" s="51">
        <f>(D29+E29+F29+I29)*$C$3</f>
        <v>377.46800000000002</v>
      </c>
      <c r="K29" s="6"/>
      <c r="L29" s="137"/>
    </row>
    <row r="30" spans="1:12" x14ac:dyDescent="0.25">
      <c r="A30" s="136" t="s">
        <v>791</v>
      </c>
      <c r="B30" s="4">
        <v>1</v>
      </c>
      <c r="C30" s="4">
        <v>6700</v>
      </c>
      <c r="D30" s="4">
        <f>B30*C30</f>
        <v>6700</v>
      </c>
      <c r="E30" s="39">
        <f>D30*0.1</f>
        <v>670</v>
      </c>
      <c r="F30" s="98">
        <v>2500</v>
      </c>
      <c r="G30" s="99">
        <v>0.19</v>
      </c>
      <c r="H30" s="37">
        <f>G30*B30</f>
        <v>0.19</v>
      </c>
      <c r="I30" s="4">
        <f>H30*$C$2</f>
        <v>1516.2</v>
      </c>
      <c r="J30" s="51">
        <f>(D30+E30+F30+I30)*$C$3</f>
        <v>694.55820000000006</v>
      </c>
      <c r="K30" s="6"/>
      <c r="L30" s="137"/>
    </row>
    <row r="31" spans="1:12" ht="31.5" x14ac:dyDescent="0.5">
      <c r="A31" s="220" t="s">
        <v>616</v>
      </c>
      <c r="B31" s="151"/>
      <c r="C31" s="151"/>
      <c r="D31" s="2"/>
      <c r="E31" s="92"/>
      <c r="F31" s="207"/>
      <c r="G31" s="124"/>
      <c r="H31" s="32"/>
      <c r="I31" s="2"/>
      <c r="J31" s="52">
        <f>SUM(J32:J35)</f>
        <v>8451.2937999999995</v>
      </c>
      <c r="K31" s="10">
        <v>8490</v>
      </c>
      <c r="L31" s="221">
        <f>K31-J31</f>
        <v>38.706200000000536</v>
      </c>
    </row>
    <row r="32" spans="1:12" x14ac:dyDescent="0.25">
      <c r="A32" s="98" t="s">
        <v>850</v>
      </c>
      <c r="B32" s="4">
        <v>1</v>
      </c>
      <c r="C32" s="4">
        <v>78000</v>
      </c>
      <c r="D32" s="4">
        <f>B32*C32</f>
        <v>78000</v>
      </c>
      <c r="E32" s="39">
        <f>D32*0.1</f>
        <v>7800</v>
      </c>
      <c r="F32" s="98">
        <v>0</v>
      </c>
      <c r="G32" s="99">
        <v>1.42</v>
      </c>
      <c r="H32" s="37">
        <f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7"/>
    </row>
    <row r="33" spans="1:12" x14ac:dyDescent="0.25">
      <c r="A33" s="98" t="s">
        <v>172</v>
      </c>
      <c r="B33" s="4">
        <v>1</v>
      </c>
      <c r="C33" s="4">
        <v>2000</v>
      </c>
      <c r="D33" s="4">
        <f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>G33*B33</f>
        <v>0.1</v>
      </c>
      <c r="I33" s="4">
        <f>H33*$C$2</f>
        <v>798</v>
      </c>
      <c r="J33" s="51">
        <f>(D33+E33+F33+I33)*$C$3</f>
        <v>221.00299999999999</v>
      </c>
      <c r="K33" s="6"/>
      <c r="L33" s="137"/>
    </row>
    <row r="34" spans="1:12" x14ac:dyDescent="0.25">
      <c r="A34" s="98" t="s">
        <v>437</v>
      </c>
      <c r="B34" s="4">
        <v>1</v>
      </c>
      <c r="C34" s="4">
        <v>5930</v>
      </c>
      <c r="D34" s="4">
        <f>B34*C34</f>
        <v>5930</v>
      </c>
      <c r="E34" s="39">
        <f>D34*0.1</f>
        <v>593</v>
      </c>
      <c r="F34" s="98">
        <v>2500</v>
      </c>
      <c r="G34" s="99">
        <v>0.25</v>
      </c>
      <c r="H34" s="37">
        <f>G34*B34</f>
        <v>0.25</v>
      </c>
      <c r="I34" s="4">
        <f>H34*$C$2</f>
        <v>1995</v>
      </c>
      <c r="J34" s="51">
        <f>(D34+E34+F34+I34)*$C$3</f>
        <v>672.09799999999996</v>
      </c>
      <c r="K34" s="6"/>
      <c r="L34" s="137"/>
    </row>
    <row r="35" spans="1:12" ht="15.75" thickBot="1" x14ac:dyDescent="0.3">
      <c r="A35" s="102" t="s">
        <v>57</v>
      </c>
      <c r="B35" s="222">
        <v>1</v>
      </c>
      <c r="C35" s="222">
        <v>19600</v>
      </c>
      <c r="D35" s="222">
        <f>B35*C35</f>
        <v>19600</v>
      </c>
      <c r="E35" s="223">
        <f>D35*0.1</f>
        <v>1960</v>
      </c>
      <c r="F35" s="102">
        <v>2500</v>
      </c>
      <c r="G35" s="103">
        <v>0.34</v>
      </c>
      <c r="H35" s="224">
        <f>G35*B35</f>
        <v>0.34</v>
      </c>
      <c r="I35" s="222">
        <f>H35*$C$2</f>
        <v>2713.2000000000003</v>
      </c>
      <c r="J35" s="225">
        <f>(D35+E35+F35+I35)*$C$3</f>
        <v>1633.1651999999999</v>
      </c>
      <c r="K35" s="226"/>
      <c r="L35" s="139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topLeftCell="A4" zoomScale="60" zoomScaleNormal="60" workbookViewId="0">
      <selection activeCell="A5" sqref="A5:L40"/>
    </sheetView>
  </sheetViews>
  <sheetFormatPr defaultRowHeight="15" x14ac:dyDescent="0.25"/>
  <cols>
    <col min="1" max="1" width="48.5703125" customWidth="1"/>
    <col min="3" max="3" width="15.5703125" customWidth="1"/>
    <col min="6" max="6" width="10.5703125" customWidth="1"/>
    <col min="9" max="9" width="11.7109375" customWidth="1"/>
    <col min="10" max="10" width="10.7109375" customWidth="1"/>
    <col min="11" max="11" width="12.42578125" customWidth="1"/>
    <col min="12" max="12" width="11.85546875" customWidth="1"/>
    <col min="13" max="13" width="28.85546875" customWidth="1"/>
  </cols>
  <sheetData>
    <row r="1" spans="1:12" ht="21" x14ac:dyDescent="0.35">
      <c r="A1" s="55" t="s">
        <v>281</v>
      </c>
      <c r="B1" s="4"/>
      <c r="C1" s="189">
        <v>42470</v>
      </c>
      <c r="D1" s="30"/>
    </row>
    <row r="2" spans="1:12" ht="21" x14ac:dyDescent="0.35">
      <c r="A2" s="55" t="s">
        <v>239</v>
      </c>
      <c r="B2" s="4"/>
      <c r="C2" s="16">
        <v>8430</v>
      </c>
      <c r="D2" s="30" t="s">
        <v>724</v>
      </c>
    </row>
    <row r="3" spans="1:12" ht="21" x14ac:dyDescent="0.35">
      <c r="A3" s="55" t="s">
        <v>240</v>
      </c>
      <c r="B3" s="4"/>
      <c r="C3" s="170">
        <v>6.0100000000000001E-2</v>
      </c>
      <c r="D3" s="30" t="s">
        <v>704</v>
      </c>
    </row>
    <row r="4" spans="1:12" ht="15.75" thickBot="1" x14ac:dyDescent="0.3"/>
    <row r="5" spans="1:12" ht="45" x14ac:dyDescent="0.25">
      <c r="A5" s="94">
        <v>30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3.6" customHeight="1" x14ac:dyDescent="0.5">
      <c r="A6" s="220" t="s">
        <v>856</v>
      </c>
      <c r="B6" s="151"/>
      <c r="C6" s="151"/>
      <c r="D6" s="2"/>
      <c r="E6" s="97"/>
      <c r="F6" s="228"/>
      <c r="G6" s="231"/>
      <c r="H6" s="96"/>
      <c r="I6" s="2"/>
      <c r="J6" s="52">
        <f>SUM(J7:J11)</f>
        <v>4737.5027</v>
      </c>
      <c r="K6" s="10">
        <f>4276+64+386+12</f>
        <v>4738</v>
      </c>
      <c r="L6" s="221">
        <f>K6-J6</f>
        <v>0.49729999999999563</v>
      </c>
    </row>
    <row r="7" spans="1:12" x14ac:dyDescent="0.25">
      <c r="A7" s="230" t="s">
        <v>857</v>
      </c>
      <c r="B7" s="4">
        <v>1</v>
      </c>
      <c r="C7" s="4">
        <v>8000</v>
      </c>
      <c r="D7" s="4">
        <f>B7*C7</f>
        <v>8000</v>
      </c>
      <c r="E7" s="99">
        <f>D7*0.1</f>
        <v>800</v>
      </c>
      <c r="F7" s="37">
        <v>2500</v>
      </c>
      <c r="G7" s="39">
        <v>0.4</v>
      </c>
      <c r="H7" s="98">
        <f>G7*B7</f>
        <v>0.4</v>
      </c>
      <c r="I7" s="4">
        <f>H7*$C$2</f>
        <v>3372</v>
      </c>
      <c r="J7" s="51">
        <f>(D7+E7+F7+I7)*$C$3</f>
        <v>881.78719999999998</v>
      </c>
      <c r="K7" s="6"/>
      <c r="L7" s="137"/>
    </row>
    <row r="8" spans="1:12" x14ac:dyDescent="0.25">
      <c r="A8" s="230" t="s">
        <v>858</v>
      </c>
      <c r="B8" s="4">
        <v>2</v>
      </c>
      <c r="C8" s="4">
        <v>6000</v>
      </c>
      <c r="D8" s="4">
        <f>B8*C8</f>
        <v>12000</v>
      </c>
      <c r="E8" s="99">
        <f>D8*0.1</f>
        <v>1200</v>
      </c>
      <c r="F8" s="37">
        <v>0</v>
      </c>
      <c r="G8" s="39">
        <v>0.4</v>
      </c>
      <c r="H8" s="98">
        <f>G8*B8</f>
        <v>0.8</v>
      </c>
      <c r="I8" s="4">
        <f>H8*$C$2</f>
        <v>6744</v>
      </c>
      <c r="J8" s="51">
        <f>(D8+E8+F8+I8)*$C$3</f>
        <v>1198.6343999999999</v>
      </c>
      <c r="K8" s="6"/>
      <c r="L8" s="137"/>
    </row>
    <row r="9" spans="1:12" x14ac:dyDescent="0.25">
      <c r="A9" s="98" t="s">
        <v>859</v>
      </c>
      <c r="B9" s="4">
        <v>1</v>
      </c>
      <c r="C9" s="4">
        <v>2520</v>
      </c>
      <c r="D9" s="4">
        <f>B9*C9</f>
        <v>2520</v>
      </c>
      <c r="E9" s="99">
        <f>D9*0.1</f>
        <v>252</v>
      </c>
      <c r="F9" s="37">
        <f>2500/4</f>
        <v>625</v>
      </c>
      <c r="G9" s="39">
        <v>0.1</v>
      </c>
      <c r="H9" s="98">
        <f>G9*B9</f>
        <v>0.1</v>
      </c>
      <c r="I9" s="4">
        <f>H9*$C$2</f>
        <v>843</v>
      </c>
      <c r="J9" s="51">
        <f>(D9+E9+F9+I9)*$C$3</f>
        <v>254.82400000000001</v>
      </c>
      <c r="K9" s="6"/>
      <c r="L9" s="137"/>
    </row>
    <row r="10" spans="1:12" x14ac:dyDescent="0.25">
      <c r="A10" s="98" t="s">
        <v>860</v>
      </c>
      <c r="B10" s="4">
        <v>1</v>
      </c>
      <c r="C10" s="4">
        <v>17800</v>
      </c>
      <c r="D10" s="4">
        <f>B10*C10</f>
        <v>17800</v>
      </c>
      <c r="E10" s="99">
        <f>D10*0.1</f>
        <v>1780</v>
      </c>
      <c r="F10" s="37">
        <v>0</v>
      </c>
      <c r="G10" s="39">
        <v>0.5</v>
      </c>
      <c r="H10" s="98">
        <f>G10*B10</f>
        <v>0.5</v>
      </c>
      <c r="I10" s="4">
        <f>H10*$C$2</f>
        <v>4215</v>
      </c>
      <c r="J10" s="51">
        <f>(D10+E10+F10+I10)*$C$3</f>
        <v>1430.0795000000001</v>
      </c>
      <c r="K10" s="6"/>
      <c r="L10" s="137"/>
    </row>
    <row r="11" spans="1:12" x14ac:dyDescent="0.25">
      <c r="A11" s="230" t="s">
        <v>576</v>
      </c>
      <c r="B11" s="4">
        <v>1</v>
      </c>
      <c r="C11" s="4">
        <v>11640</v>
      </c>
      <c r="D11" s="4">
        <f>B11*C11</f>
        <v>11640</v>
      </c>
      <c r="E11" s="99">
        <f>D11*0.1</f>
        <v>1164</v>
      </c>
      <c r="F11" s="37">
        <v>0</v>
      </c>
      <c r="G11" s="39">
        <v>0.4</v>
      </c>
      <c r="H11" s="98">
        <f>G11*B11</f>
        <v>0.4</v>
      </c>
      <c r="I11" s="4">
        <f>H11*$C$2</f>
        <v>3372</v>
      </c>
      <c r="J11" s="51">
        <f>(D11+E11+F11+I11)*$C$3</f>
        <v>972.17759999999998</v>
      </c>
      <c r="K11" s="6"/>
      <c r="L11" s="137"/>
    </row>
    <row r="12" spans="1:12" ht="33.6" customHeight="1" x14ac:dyDescent="0.5">
      <c r="A12" s="220" t="s">
        <v>861</v>
      </c>
      <c r="B12" s="151"/>
      <c r="C12" s="151"/>
      <c r="D12" s="2"/>
      <c r="E12" s="97"/>
      <c r="F12" s="228"/>
      <c r="G12" s="231"/>
      <c r="H12" s="96"/>
      <c r="I12" s="2"/>
      <c r="J12" s="52">
        <f>SUM(J13:J14)</f>
        <v>1519.7306699999999</v>
      </c>
      <c r="K12" s="10">
        <f>1501+19</f>
        <v>1520</v>
      </c>
      <c r="L12" s="221">
        <f>K12-J12</f>
        <v>0.26933000000008178</v>
      </c>
    </row>
    <row r="13" spans="1:12" x14ac:dyDescent="0.25">
      <c r="A13" s="98" t="s">
        <v>862</v>
      </c>
      <c r="B13" s="4">
        <v>1</v>
      </c>
      <c r="C13" s="4">
        <v>7800</v>
      </c>
      <c r="D13" s="4">
        <f>B13*C13</f>
        <v>7800</v>
      </c>
      <c r="E13" s="99">
        <f>D13*0.1</f>
        <v>780</v>
      </c>
      <c r="F13" s="37">
        <v>0</v>
      </c>
      <c r="G13" s="39">
        <v>0.15</v>
      </c>
      <c r="H13" s="98">
        <f>G13*B13</f>
        <v>0.15</v>
      </c>
      <c r="I13" s="4">
        <f>H13*$C$2</f>
        <v>1264.5</v>
      </c>
      <c r="J13" s="51">
        <f>(D13+E13+F13+I13)*$C$3</f>
        <v>591.65445</v>
      </c>
      <c r="K13" s="6"/>
      <c r="L13" s="137"/>
    </row>
    <row r="14" spans="1:12" x14ac:dyDescent="0.25">
      <c r="A14" s="98" t="s">
        <v>67</v>
      </c>
      <c r="B14" s="4">
        <v>1</v>
      </c>
      <c r="C14" s="4">
        <v>9900</v>
      </c>
      <c r="D14" s="4">
        <f>B14*C14</f>
        <v>9900</v>
      </c>
      <c r="E14" s="99">
        <f>D14*0.1</f>
        <v>990</v>
      </c>
      <c r="F14" s="37">
        <v>0</v>
      </c>
      <c r="G14" s="39">
        <v>0.54</v>
      </c>
      <c r="H14" s="98">
        <f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7"/>
    </row>
    <row r="15" spans="1:12" ht="33.6" customHeight="1" x14ac:dyDescent="0.5">
      <c r="A15" s="220" t="s">
        <v>482</v>
      </c>
      <c r="B15" s="151"/>
      <c r="C15" s="151"/>
      <c r="D15" s="2"/>
      <c r="E15" s="97"/>
      <c r="F15" s="156"/>
      <c r="G15" s="231"/>
      <c r="H15" s="96"/>
      <c r="I15" s="2"/>
      <c r="J15" s="52">
        <f>SUM(J16:J17)</f>
        <v>3032.7301400000001</v>
      </c>
      <c r="K15" s="10">
        <f>2499+534</f>
        <v>3033</v>
      </c>
      <c r="L15" s="221">
        <f>K15-J15</f>
        <v>0.26985999999988053</v>
      </c>
    </row>
    <row r="16" spans="1:12" x14ac:dyDescent="0.25">
      <c r="A16" s="98" t="s">
        <v>67</v>
      </c>
      <c r="B16" s="4">
        <v>2</v>
      </c>
      <c r="C16" s="4">
        <v>9900</v>
      </c>
      <c r="D16" s="4">
        <f>B16*C16</f>
        <v>19800</v>
      </c>
      <c r="E16" s="99">
        <f>D16*0.1</f>
        <v>1980</v>
      </c>
      <c r="F16" s="37">
        <v>0</v>
      </c>
      <c r="G16" s="39">
        <v>0.54</v>
      </c>
      <c r="H16" s="98">
        <f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7"/>
    </row>
    <row r="17" spans="1:13" x14ac:dyDescent="0.25">
      <c r="A17" s="98" t="s">
        <v>882</v>
      </c>
      <c r="B17" s="4">
        <v>1</v>
      </c>
      <c r="C17" s="4">
        <f>10900</f>
        <v>10900</v>
      </c>
      <c r="D17" s="4">
        <f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7"/>
    </row>
    <row r="18" spans="1:13" ht="33.6" customHeight="1" x14ac:dyDescent="0.5">
      <c r="A18" s="220" t="s">
        <v>868</v>
      </c>
      <c r="B18" s="151"/>
      <c r="C18" s="151"/>
      <c r="D18" s="2"/>
      <c r="E18" s="97"/>
      <c r="F18" s="156"/>
      <c r="G18" s="231"/>
      <c r="H18" s="96"/>
      <c r="I18" s="2"/>
      <c r="J18" s="52">
        <f>SUM(J19:J20)</f>
        <v>2492.6595200000002</v>
      </c>
      <c r="K18" s="10">
        <f>2475+18</f>
        <v>2493</v>
      </c>
      <c r="L18" s="221">
        <f>K18-J18</f>
        <v>0.34047999999984313</v>
      </c>
    </row>
    <row r="19" spans="1:13" x14ac:dyDescent="0.25">
      <c r="A19" s="98" t="s">
        <v>869</v>
      </c>
      <c r="B19" s="4">
        <v>1</v>
      </c>
      <c r="C19" s="4">
        <v>12800</v>
      </c>
      <c r="D19" s="4">
        <f>B19*C19</f>
        <v>12800</v>
      </c>
      <c r="E19" s="99">
        <f>D19*0.1</f>
        <v>1280</v>
      </c>
      <c r="F19" s="37">
        <v>0</v>
      </c>
      <c r="G19" s="39">
        <v>0.4</v>
      </c>
      <c r="H19" s="98">
        <f>G19*B19</f>
        <v>0.4</v>
      </c>
      <c r="I19" s="4">
        <f>H19*$C$2</f>
        <v>3372</v>
      </c>
      <c r="J19" s="51">
        <f>(D19+E19+F19+I19)*$C$3</f>
        <v>1048.8652</v>
      </c>
      <c r="K19" s="6"/>
      <c r="L19" s="137"/>
    </row>
    <row r="20" spans="1:13" x14ac:dyDescent="0.25">
      <c r="A20" s="98" t="s">
        <v>199</v>
      </c>
      <c r="B20" s="4">
        <v>1</v>
      </c>
      <c r="C20" s="4">
        <v>20000</v>
      </c>
      <c r="D20" s="4">
        <f>B20*C20</f>
        <v>20000</v>
      </c>
      <c r="E20" s="99">
        <f>D20*0.1</f>
        <v>2000</v>
      </c>
      <c r="F20" s="37">
        <v>0</v>
      </c>
      <c r="G20" s="39">
        <v>0.24</v>
      </c>
      <c r="H20" s="98">
        <f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7"/>
    </row>
    <row r="21" spans="1:13" ht="31.5" x14ac:dyDescent="0.5">
      <c r="A21" s="220" t="s">
        <v>786</v>
      </c>
      <c r="B21" s="151"/>
      <c r="C21" s="151"/>
      <c r="D21" s="2"/>
      <c r="E21" s="97"/>
      <c r="F21" s="229"/>
      <c r="G21" s="231"/>
      <c r="H21" s="96"/>
      <c r="I21" s="2"/>
      <c r="J21" s="52">
        <f>J22</f>
        <v>1173.53664</v>
      </c>
      <c r="K21" s="10">
        <v>1300</v>
      </c>
      <c r="L21" s="221">
        <f>K21-J21</f>
        <v>126.46335999999997</v>
      </c>
    </row>
    <row r="22" spans="1:13" x14ac:dyDescent="0.25">
      <c r="A22" s="98" t="s">
        <v>864</v>
      </c>
      <c r="B22" s="4">
        <v>2</v>
      </c>
      <c r="C22" s="4">
        <v>5900</v>
      </c>
      <c r="D22" s="4">
        <f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7"/>
    </row>
    <row r="23" spans="1:13" ht="31.5" x14ac:dyDescent="0.5">
      <c r="A23" s="220" t="s">
        <v>863</v>
      </c>
      <c r="B23" s="151"/>
      <c r="C23" s="151"/>
      <c r="D23" s="2"/>
      <c r="E23" s="97"/>
      <c r="F23" s="229"/>
      <c r="G23" s="231"/>
      <c r="H23" s="96"/>
      <c r="I23" s="2"/>
      <c r="J23" s="52">
        <f>J24</f>
        <v>1377.1914999999999</v>
      </c>
      <c r="K23" s="10">
        <f>1364+13</f>
        <v>1377</v>
      </c>
      <c r="L23" s="221">
        <f>K23-J23</f>
        <v>-0.19149999999990541</v>
      </c>
    </row>
    <row r="24" spans="1:13" x14ac:dyDescent="0.25">
      <c r="A24" s="98" t="s">
        <v>261</v>
      </c>
      <c r="B24" s="4">
        <v>1</v>
      </c>
      <c r="C24" s="4">
        <v>17000</v>
      </c>
      <c r="D24" s="4">
        <f>B24*C24</f>
        <v>17000</v>
      </c>
      <c r="E24" s="99">
        <f>D24*0.1</f>
        <v>1700</v>
      </c>
      <c r="F24" s="37">
        <v>0</v>
      </c>
      <c r="G24" s="39">
        <v>0.5</v>
      </c>
      <c r="H24" s="98">
        <f>G24*B24</f>
        <v>0.5</v>
      </c>
      <c r="I24" s="4">
        <f>H24*$C$2</f>
        <v>4215</v>
      </c>
      <c r="J24" s="51">
        <f>(D24+E24+F24+I24)*$C$3</f>
        <v>1377.1914999999999</v>
      </c>
      <c r="K24" s="6"/>
      <c r="L24" s="137"/>
    </row>
    <row r="25" spans="1:13" ht="31.5" x14ac:dyDescent="0.5">
      <c r="A25" s="220" t="s">
        <v>865</v>
      </c>
      <c r="B25" s="151"/>
      <c r="C25" s="151"/>
      <c r="D25" s="2"/>
      <c r="E25" s="97"/>
      <c r="F25" s="156"/>
      <c r="G25" s="231"/>
      <c r="H25" s="96"/>
      <c r="I25" s="2"/>
      <c r="J25" s="52">
        <f>J26</f>
        <v>1055.4762000000001</v>
      </c>
      <c r="K25" s="10">
        <v>1045</v>
      </c>
      <c r="L25" s="221">
        <f>K25-J25</f>
        <v>-10.476200000000063</v>
      </c>
    </row>
    <row r="26" spans="1:13" x14ac:dyDescent="0.25">
      <c r="A26" s="98" t="s">
        <v>866</v>
      </c>
      <c r="B26" s="4">
        <v>1</v>
      </c>
      <c r="C26" s="4">
        <v>12900</v>
      </c>
      <c r="D26" s="4">
        <f>B26*C26</f>
        <v>12900</v>
      </c>
      <c r="E26" s="99">
        <f>D26*0.1</f>
        <v>1290</v>
      </c>
      <c r="F26" s="37">
        <v>0</v>
      </c>
      <c r="G26" s="39">
        <v>0.4</v>
      </c>
      <c r="H26" s="98">
        <f>G26*B26</f>
        <v>0.4</v>
      </c>
      <c r="I26" s="4">
        <f>H26*$C$2</f>
        <v>3372</v>
      </c>
      <c r="J26" s="51">
        <f>(D26+E26+F26+I26)*$C$3</f>
        <v>1055.4762000000001</v>
      </c>
      <c r="K26" s="6"/>
      <c r="L26" s="137"/>
    </row>
    <row r="27" spans="1:13" ht="31.5" x14ac:dyDescent="0.5">
      <c r="A27" s="220" t="s">
        <v>619</v>
      </c>
      <c r="B27" s="151"/>
      <c r="C27" s="151"/>
      <c r="D27" s="2"/>
      <c r="E27" s="97"/>
      <c r="F27" s="156"/>
      <c r="G27" s="231"/>
      <c r="H27" s="96"/>
      <c r="I27" s="2"/>
      <c r="J27" s="52">
        <f>J28</f>
        <v>509.64800000000002</v>
      </c>
      <c r="K27" s="10">
        <f>600-90</f>
        <v>510</v>
      </c>
      <c r="L27" s="221">
        <f>K27-J27</f>
        <v>0.35199999999997544</v>
      </c>
      <c r="M27" t="s">
        <v>883</v>
      </c>
    </row>
    <row r="28" spans="1:13" x14ac:dyDescent="0.25">
      <c r="A28" s="98" t="s">
        <v>867</v>
      </c>
      <c r="B28" s="4">
        <v>2</v>
      </c>
      <c r="C28" s="4">
        <v>2520</v>
      </c>
      <c r="D28" s="4">
        <f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>G28*B28</f>
        <v>0.2</v>
      </c>
      <c r="I28" s="4">
        <f>H28*$C$2</f>
        <v>1686</v>
      </c>
      <c r="J28" s="51">
        <f>(D28+E28+F28+I28)*$C$3</f>
        <v>509.64800000000002</v>
      </c>
      <c r="K28" s="6"/>
      <c r="L28" s="137"/>
    </row>
    <row r="29" spans="1:13" ht="31.5" x14ac:dyDescent="0.5">
      <c r="A29" s="220" t="s">
        <v>870</v>
      </c>
      <c r="B29" s="151"/>
      <c r="C29" s="151"/>
      <c r="D29" s="2"/>
      <c r="E29" s="97"/>
      <c r="F29" s="229"/>
      <c r="G29" s="231"/>
      <c r="H29" s="96"/>
      <c r="I29" s="2"/>
      <c r="J29" s="52">
        <f>J30</f>
        <v>2115.8806</v>
      </c>
      <c r="K29" s="10">
        <f>2110+6</f>
        <v>2116</v>
      </c>
      <c r="L29" s="221">
        <f>K29-J29</f>
        <v>0.11940000000004147</v>
      </c>
    </row>
    <row r="30" spans="1:13" x14ac:dyDescent="0.25">
      <c r="A30" s="98" t="s">
        <v>871</v>
      </c>
      <c r="B30" s="4">
        <v>1</v>
      </c>
      <c r="C30" s="4">
        <v>28200</v>
      </c>
      <c r="D30" s="4">
        <f>B30*C30</f>
        <v>28200</v>
      </c>
      <c r="E30" s="99">
        <f>D30*0.1</f>
        <v>2820</v>
      </c>
      <c r="F30" s="37">
        <v>2500</v>
      </c>
      <c r="G30" s="39">
        <v>0.2</v>
      </c>
      <c r="H30" s="98">
        <f>G30*B30</f>
        <v>0.2</v>
      </c>
      <c r="I30" s="4">
        <f>H30*$C$2</f>
        <v>1686</v>
      </c>
      <c r="J30" s="51">
        <f>(D30+E30+F30+I30)*$C$3</f>
        <v>2115.8806</v>
      </c>
      <c r="K30" s="6"/>
      <c r="L30" s="137"/>
    </row>
    <row r="31" spans="1:13" ht="31.5" x14ac:dyDescent="0.5">
      <c r="A31" s="220" t="s">
        <v>872</v>
      </c>
      <c r="B31" s="151"/>
      <c r="C31" s="151"/>
      <c r="D31" s="2"/>
      <c r="E31" s="97"/>
      <c r="F31" s="156"/>
      <c r="G31" s="231"/>
      <c r="H31" s="96"/>
      <c r="I31" s="2"/>
      <c r="J31" s="52">
        <f>J32</f>
        <v>1523.8054500000001</v>
      </c>
      <c r="K31" s="10">
        <v>1515</v>
      </c>
      <c r="L31" s="221">
        <f>K31-J31</f>
        <v>-8.8054500000000644</v>
      </c>
    </row>
    <row r="32" spans="1:13" ht="15.75" thickBot="1" x14ac:dyDescent="0.3">
      <c r="A32" s="138" t="s">
        <v>873</v>
      </c>
      <c r="B32" s="222">
        <v>1</v>
      </c>
      <c r="C32" s="222">
        <v>21900</v>
      </c>
      <c r="D32" s="222">
        <f>B32*C32</f>
        <v>21900</v>
      </c>
      <c r="E32" s="103">
        <f>D32*0.1</f>
        <v>2190</v>
      </c>
      <c r="F32" s="102">
        <v>0</v>
      </c>
      <c r="G32" s="4">
        <v>0.15</v>
      </c>
      <c r="H32" s="102">
        <f>G32*B32</f>
        <v>0.15</v>
      </c>
      <c r="I32" s="222">
        <f>H32*$C$2</f>
        <v>1264.5</v>
      </c>
      <c r="J32" s="225">
        <f>(D32+E32+F32+I32)*$C$3</f>
        <v>1523.8054500000001</v>
      </c>
      <c r="K32" s="226"/>
      <c r="L32" s="139"/>
    </row>
    <row r="33" spans="1:12" ht="31.5" x14ac:dyDescent="0.5">
      <c r="A33" s="220" t="s">
        <v>878</v>
      </c>
      <c r="B33" s="151"/>
      <c r="C33" s="151"/>
      <c r="D33" s="2"/>
      <c r="E33" s="97"/>
      <c r="F33" s="156"/>
      <c r="G33" s="231"/>
      <c r="H33" s="96"/>
      <c r="I33" s="2"/>
      <c r="J33" s="52">
        <f>J34</f>
        <v>670.98644999999999</v>
      </c>
      <c r="K33" s="10">
        <f>657+14</f>
        <v>671</v>
      </c>
      <c r="L33" s="221">
        <f>K33-J33</f>
        <v>1.3550000000009277E-2</v>
      </c>
    </row>
    <row r="34" spans="1:12" ht="15.75" thickBot="1" x14ac:dyDescent="0.3">
      <c r="A34" s="4" t="s">
        <v>725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>G34*B34</f>
        <v>0.15</v>
      </c>
      <c r="I34" s="222">
        <f>H34*$C$2</f>
        <v>1264.5</v>
      </c>
      <c r="J34" s="225">
        <f>(D34+E34+F34+I34)*$C$3</f>
        <v>670.98644999999999</v>
      </c>
      <c r="K34" s="226"/>
      <c r="L34" s="139"/>
    </row>
    <row r="35" spans="1:12" ht="31.5" x14ac:dyDescent="0.5">
      <c r="A35" s="220" t="s">
        <v>879</v>
      </c>
      <c r="B35" s="151"/>
      <c r="C35" s="151"/>
      <c r="D35" s="2"/>
      <c r="E35" s="97"/>
      <c r="F35" s="156"/>
      <c r="G35" s="231"/>
      <c r="H35" s="96"/>
      <c r="I35" s="2"/>
      <c r="J35" s="52">
        <f>J36</f>
        <v>670.98644999999999</v>
      </c>
      <c r="K35" s="10">
        <f>657+15</f>
        <v>672</v>
      </c>
      <c r="L35" s="221">
        <f>K35-J35</f>
        <v>1.0135500000000093</v>
      </c>
    </row>
    <row r="36" spans="1:12" ht="15.75" thickBot="1" x14ac:dyDescent="0.3">
      <c r="A36" s="4" t="s">
        <v>725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>G36*B36</f>
        <v>0.15</v>
      </c>
      <c r="I36" s="222">
        <f>H36*$C$2</f>
        <v>1264.5</v>
      </c>
      <c r="J36" s="225">
        <f>(D36+E36+F36+I36)*$C$3</f>
        <v>670.98644999999999</v>
      </c>
      <c r="K36" s="226"/>
      <c r="L36" s="139"/>
    </row>
    <row r="37" spans="1:12" ht="31.5" x14ac:dyDescent="0.5">
      <c r="A37" s="220" t="s">
        <v>825</v>
      </c>
      <c r="B37" s="151"/>
      <c r="C37" s="151"/>
      <c r="D37" s="2"/>
      <c r="E37" s="97"/>
      <c r="F37" s="156"/>
      <c r="G37" s="231"/>
      <c r="H37" s="96"/>
      <c r="I37" s="2"/>
      <c r="J37" s="52">
        <f>J38</f>
        <v>670.98644999999999</v>
      </c>
      <c r="K37" s="10">
        <v>657</v>
      </c>
      <c r="L37" s="221">
        <f>K37-J37</f>
        <v>-13.986449999999991</v>
      </c>
    </row>
    <row r="38" spans="1:12" ht="15.75" thickBot="1" x14ac:dyDescent="0.3">
      <c r="A38" s="4" t="s">
        <v>725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>G38*B38</f>
        <v>0.15</v>
      </c>
      <c r="I38" s="222">
        <f>H38*$C$2</f>
        <v>1264.5</v>
      </c>
      <c r="J38" s="225">
        <f>(D38+E38+F38+I38)*$C$3</f>
        <v>670.98644999999999</v>
      </c>
      <c r="K38" s="226"/>
      <c r="L38" s="139"/>
    </row>
    <row r="39" spans="1:12" ht="31.5" x14ac:dyDescent="0.5">
      <c r="A39" s="220" t="s">
        <v>447</v>
      </c>
      <c r="B39" s="151"/>
      <c r="C39" s="151"/>
      <c r="D39" s="2"/>
      <c r="E39" s="97"/>
      <c r="F39" s="156"/>
      <c r="G39" s="231"/>
      <c r="H39" s="96"/>
      <c r="I39" s="2"/>
      <c r="J39" s="52">
        <f>J40</f>
        <v>670.98644999999999</v>
      </c>
      <c r="K39" s="10">
        <f>657+14</f>
        <v>671</v>
      </c>
      <c r="L39" s="221">
        <f>K39-J39</f>
        <v>1.3550000000009277E-2</v>
      </c>
    </row>
    <row r="40" spans="1:12" ht="15.75" thickBot="1" x14ac:dyDescent="0.3">
      <c r="A40" s="4" t="s">
        <v>725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>G40*B40</f>
        <v>0.15</v>
      </c>
      <c r="I40" s="222">
        <f>H40*$C$2</f>
        <v>1264.5</v>
      </c>
      <c r="J40" s="225">
        <f>(D40+E40+F40+I40)*$C$3</f>
        <v>670.98644999999999</v>
      </c>
      <c r="K40" s="226"/>
      <c r="L40" s="139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zoomScale="70" zoomScaleNormal="70" workbookViewId="0">
      <selection activeCell="A5" sqref="A5:XFD12"/>
    </sheetView>
  </sheetViews>
  <sheetFormatPr defaultRowHeight="15" x14ac:dyDescent="0.25"/>
  <cols>
    <col min="1" max="1" width="33.7109375" customWidth="1"/>
    <col min="3" max="3" width="11.7109375" customWidth="1"/>
    <col min="10" max="10" width="11" customWidth="1"/>
    <col min="11" max="11" width="12.140625" customWidth="1"/>
    <col min="12" max="12" width="11.42578125" customWidth="1"/>
  </cols>
  <sheetData>
    <row r="1" spans="1:12" ht="21" x14ac:dyDescent="0.35">
      <c r="A1" s="55" t="s">
        <v>281</v>
      </c>
      <c r="B1" s="4"/>
      <c r="C1" s="189">
        <v>42500</v>
      </c>
      <c r="D1" s="30"/>
    </row>
    <row r="2" spans="1:12" ht="21" x14ac:dyDescent="0.35">
      <c r="A2" s="55" t="s">
        <v>239</v>
      </c>
      <c r="B2" s="4"/>
      <c r="C2" s="16">
        <v>8655</v>
      </c>
      <c r="D2" s="30"/>
    </row>
    <row r="3" spans="1:12" ht="21" x14ac:dyDescent="0.35">
      <c r="A3" s="55" t="s">
        <v>240</v>
      </c>
      <c r="B3" s="4"/>
      <c r="C3" s="170">
        <v>5.7410000000000003E-2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203" t="s">
        <v>2</v>
      </c>
      <c r="B6" s="204"/>
      <c r="C6" s="204"/>
      <c r="D6" s="2"/>
      <c r="E6" s="97"/>
      <c r="F6" s="156"/>
      <c r="G6" s="231"/>
      <c r="H6" s="96"/>
      <c r="I6" s="2"/>
      <c r="J6" s="52">
        <f>J7</f>
        <v>612.38385850000009</v>
      </c>
      <c r="K6" s="10">
        <v>624</v>
      </c>
      <c r="L6" s="221">
        <f>K6-J6</f>
        <v>11.616141499999912</v>
      </c>
    </row>
    <row r="7" spans="1:12" x14ac:dyDescent="0.25">
      <c r="A7" s="4" t="s">
        <v>261</v>
      </c>
      <c r="B7" s="4">
        <v>1</v>
      </c>
      <c r="C7" s="4">
        <v>5300</v>
      </c>
      <c r="D7" s="4">
        <f>B7*C7</f>
        <v>5300</v>
      </c>
      <c r="E7" s="99">
        <f>D7*0.1</f>
        <v>530</v>
      </c>
      <c r="F7" s="4">
        <v>2500</v>
      </c>
      <c r="G7" s="4">
        <v>0.27</v>
      </c>
      <c r="H7" s="98">
        <f>G7*B7</f>
        <v>0.27</v>
      </c>
      <c r="I7" s="4">
        <f>H7*$C$2</f>
        <v>2336.8500000000004</v>
      </c>
      <c r="J7" s="51">
        <f>(D7+E7+F7+I7)*$C$3</f>
        <v>612.38385850000009</v>
      </c>
      <c r="K7" s="6"/>
      <c r="L7" s="137"/>
    </row>
    <row r="8" spans="1:12" ht="31.5" x14ac:dyDescent="0.5">
      <c r="A8" s="152" t="s">
        <v>382</v>
      </c>
      <c r="B8" s="151"/>
      <c r="C8" s="151"/>
      <c r="D8" s="2"/>
      <c r="E8" s="97"/>
      <c r="F8" s="151"/>
      <c r="G8" s="151"/>
      <c r="H8" s="96"/>
      <c r="I8" s="2"/>
      <c r="J8" s="52">
        <f>SUM(J9:J10)</f>
        <v>2065.9160730000003</v>
      </c>
      <c r="K8" s="10">
        <f>1827+239</f>
        <v>2066</v>
      </c>
      <c r="L8" s="221">
        <f>K8-J8</f>
        <v>8.39269999996759E-2</v>
      </c>
    </row>
    <row r="9" spans="1:12" ht="30" x14ac:dyDescent="0.25">
      <c r="A9" s="7" t="s">
        <v>884</v>
      </c>
      <c r="B9" s="4">
        <v>1</v>
      </c>
      <c r="C9" s="4">
        <v>11900</v>
      </c>
      <c r="D9" s="4">
        <f>B9*C9</f>
        <v>11900</v>
      </c>
      <c r="E9" s="99">
        <f>D9*0.1</f>
        <v>1190</v>
      </c>
      <c r="F9" s="4">
        <v>0</v>
      </c>
      <c r="G9" s="4">
        <v>0.63</v>
      </c>
      <c r="H9" s="98">
        <f>G9*B9</f>
        <v>0.63</v>
      </c>
      <c r="I9" s="4">
        <f>H9*$C$2</f>
        <v>5452.65</v>
      </c>
      <c r="J9" s="51">
        <f>(D9+E9+F9+I9)*$C$3</f>
        <v>1064.5335365000001</v>
      </c>
      <c r="K9" s="6"/>
      <c r="L9" s="137"/>
    </row>
    <row r="10" spans="1:12" ht="30" x14ac:dyDescent="0.25">
      <c r="A10" s="7" t="s">
        <v>885</v>
      </c>
      <c r="B10" s="4">
        <v>1</v>
      </c>
      <c r="C10" s="4">
        <v>10900</v>
      </c>
      <c r="D10" s="4">
        <f>B10*C10</f>
        <v>10900</v>
      </c>
      <c r="E10" s="99">
        <f>D10*0.1</f>
        <v>1090</v>
      </c>
      <c r="F10" s="4">
        <v>0</v>
      </c>
      <c r="G10" s="4">
        <v>0.63</v>
      </c>
      <c r="H10" s="98">
        <f>G10*B10</f>
        <v>0.63</v>
      </c>
      <c r="I10" s="4">
        <f>H10*$C$2</f>
        <v>5452.65</v>
      </c>
      <c r="J10" s="51">
        <f>(D10+E10+F10+I10)*$C$3</f>
        <v>1001.3825365000001</v>
      </c>
      <c r="K10" s="6"/>
      <c r="L10" s="137"/>
    </row>
    <row r="11" spans="1:12" ht="31.5" x14ac:dyDescent="0.5">
      <c r="A11" s="152" t="s">
        <v>680</v>
      </c>
      <c r="B11" s="151"/>
      <c r="C11" s="151"/>
      <c r="D11" s="2"/>
      <c r="E11" s="97"/>
      <c r="F11" s="151"/>
      <c r="G11" s="151"/>
      <c r="H11" s="96"/>
      <c r="I11" s="2"/>
      <c r="J11" s="52">
        <f>SUM(J12:J12)</f>
        <v>731.024494</v>
      </c>
      <c r="K11" s="10">
        <v>737</v>
      </c>
      <c r="L11" s="221">
        <f>K11-J11</f>
        <v>5.9755059999999958</v>
      </c>
    </row>
    <row r="12" spans="1:12" x14ac:dyDescent="0.25">
      <c r="A12" s="17" t="s">
        <v>886</v>
      </c>
      <c r="B12" s="4">
        <v>1</v>
      </c>
      <c r="C12" s="4">
        <v>7100</v>
      </c>
      <c r="D12" s="4">
        <f>B12*C12</f>
        <v>7100</v>
      </c>
      <c r="E12" s="99">
        <f>D12*0.1</f>
        <v>710</v>
      </c>
      <c r="F12" s="4">
        <v>2500</v>
      </c>
      <c r="G12" s="4">
        <v>0.28000000000000003</v>
      </c>
      <c r="H12" s="98">
        <f>G12*B12</f>
        <v>0.28000000000000003</v>
      </c>
      <c r="I12" s="4">
        <f>H12*$C$2</f>
        <v>2423.4</v>
      </c>
      <c r="J12" s="51">
        <f>(D12+E12+F12+I12)*$C$3</f>
        <v>731.024494</v>
      </c>
      <c r="K12" s="6"/>
      <c r="L12" s="137"/>
    </row>
    <row r="13" spans="1:12" ht="31.5" x14ac:dyDescent="0.5">
      <c r="A13" s="152" t="s">
        <v>887</v>
      </c>
      <c r="B13" s="151"/>
      <c r="C13" s="151"/>
      <c r="D13" s="2"/>
      <c r="E13" s="97"/>
      <c r="F13" s="151"/>
      <c r="G13" s="151"/>
      <c r="H13" s="96"/>
      <c r="I13" s="2"/>
      <c r="J13" s="52">
        <f>SUM(J14:J15)</f>
        <v>1212.5451280000002</v>
      </c>
      <c r="K13" s="10">
        <f>1198+15</f>
        <v>1213</v>
      </c>
      <c r="L13" s="221">
        <f>K13-J13</f>
        <v>0.45487199999979566</v>
      </c>
    </row>
    <row r="14" spans="1:12" x14ac:dyDescent="0.25">
      <c r="A14" s="4" t="s">
        <v>57</v>
      </c>
      <c r="B14" s="4">
        <v>1</v>
      </c>
      <c r="C14" s="4">
        <v>6300</v>
      </c>
      <c r="D14" s="4">
        <f>B14*C14</f>
        <v>6300</v>
      </c>
      <c r="E14" s="99">
        <f>D14*0.1</f>
        <v>630</v>
      </c>
      <c r="F14" s="4">
        <f>2500/4</f>
        <v>625</v>
      </c>
      <c r="G14" s="4">
        <v>0.16</v>
      </c>
      <c r="H14" s="98">
        <f>G14*B14</f>
        <v>0.16</v>
      </c>
      <c r="I14" s="4">
        <f>H14*$C$2</f>
        <v>1384.8</v>
      </c>
      <c r="J14" s="51">
        <f>(D14+E14+F14+I14)*$C$3</f>
        <v>513.23391800000002</v>
      </c>
      <c r="K14" s="6"/>
      <c r="L14" s="137"/>
    </row>
    <row r="15" spans="1:12" x14ac:dyDescent="0.25">
      <c r="A15" s="4" t="s">
        <v>57</v>
      </c>
      <c r="B15" s="4">
        <v>1</v>
      </c>
      <c r="C15" s="4">
        <v>9500</v>
      </c>
      <c r="D15" s="4">
        <f>B15*C15</f>
        <v>9500</v>
      </c>
      <c r="E15" s="99">
        <f>D15*0.1</f>
        <v>950</v>
      </c>
      <c r="F15" s="4">
        <v>0</v>
      </c>
      <c r="G15" s="4">
        <v>0.2</v>
      </c>
      <c r="H15" s="98">
        <f>G15*B15</f>
        <v>0.2</v>
      </c>
      <c r="I15" s="4">
        <f>H15*$C$2</f>
        <v>1731</v>
      </c>
      <c r="J15" s="51">
        <f>(D15+E15+F15+I15)*$C$3</f>
        <v>699.31121000000007</v>
      </c>
      <c r="K15" s="6"/>
      <c r="L15" s="137"/>
    </row>
    <row r="16" spans="1:12" ht="31.5" x14ac:dyDescent="0.5">
      <c r="A16" s="152" t="s">
        <v>888</v>
      </c>
      <c r="B16" s="151"/>
      <c r="C16" s="151"/>
      <c r="D16" s="2"/>
      <c r="E16" s="97"/>
      <c r="F16" s="151"/>
      <c r="G16" s="151"/>
      <c r="H16" s="96"/>
      <c r="I16" s="2"/>
      <c r="J16" s="52">
        <f>SUM(J17:J18)</f>
        <v>1887.376714</v>
      </c>
      <c r="K16" s="10">
        <v>2046</v>
      </c>
      <c r="L16" s="221">
        <f>K16-J16</f>
        <v>158.62328600000001</v>
      </c>
    </row>
    <row r="17" spans="1:12" x14ac:dyDescent="0.25">
      <c r="A17" s="4" t="s">
        <v>57</v>
      </c>
      <c r="B17" s="232">
        <v>2</v>
      </c>
      <c r="C17" s="4">
        <v>6300</v>
      </c>
      <c r="D17" s="4">
        <f>B17*C17</f>
        <v>12600</v>
      </c>
      <c r="E17" s="99">
        <f>D17*0.1</f>
        <v>1260</v>
      </c>
      <c r="F17" s="4">
        <f>2500/4*2</f>
        <v>1250</v>
      </c>
      <c r="G17" s="4">
        <v>0.16</v>
      </c>
      <c r="H17" s="98">
        <f>G17*B17</f>
        <v>0.32</v>
      </c>
      <c r="I17" s="4">
        <f>H17*$C$2</f>
        <v>2769.6</v>
      </c>
      <c r="J17" s="51">
        <f>(D17+E17+F17+I17)*$C$3</f>
        <v>1026.467836</v>
      </c>
      <c r="K17" s="6"/>
      <c r="L17" s="137"/>
    </row>
    <row r="18" spans="1:12" x14ac:dyDescent="0.25">
      <c r="A18" s="17" t="s">
        <v>895</v>
      </c>
      <c r="B18" s="4">
        <v>4</v>
      </c>
      <c r="C18" s="4">
        <v>2700</v>
      </c>
      <c r="D18" s="4">
        <f>B18*C18</f>
        <v>10800</v>
      </c>
      <c r="E18" s="99">
        <f>D18*0.1</f>
        <v>1080</v>
      </c>
      <c r="F18" s="5">
        <v>0</v>
      </c>
      <c r="G18" s="4">
        <v>0.09</v>
      </c>
      <c r="H18" s="98">
        <f>G18*B18</f>
        <v>0.36</v>
      </c>
      <c r="I18" s="4">
        <f>H18*$C$2</f>
        <v>3115.7999999999997</v>
      </c>
      <c r="J18" s="51">
        <f>(D18+E18+F18+I18)*$C$3</f>
        <v>860.90887799999996</v>
      </c>
      <c r="K18" s="6"/>
      <c r="L18" s="137"/>
    </row>
    <row r="19" spans="1:12" ht="31.5" x14ac:dyDescent="0.5">
      <c r="A19" s="152" t="s">
        <v>889</v>
      </c>
      <c r="B19" s="151"/>
      <c r="C19" s="151"/>
      <c r="D19" s="2"/>
      <c r="E19" s="97"/>
      <c r="F19" s="151"/>
      <c r="G19" s="151"/>
      <c r="H19" s="96"/>
      <c r="I19" s="2"/>
      <c r="J19" s="52">
        <f>J20</f>
        <v>513.23391800000002</v>
      </c>
      <c r="K19" s="10">
        <f>506+7</f>
        <v>513</v>
      </c>
      <c r="L19" s="221">
        <f>K19-J19</f>
        <v>-0.23391800000001695</v>
      </c>
    </row>
    <row r="20" spans="1:12" x14ac:dyDescent="0.25">
      <c r="A20" s="4" t="s">
        <v>57</v>
      </c>
      <c r="B20" s="4">
        <v>1</v>
      </c>
      <c r="C20" s="4">
        <v>6300</v>
      </c>
      <c r="D20" s="4">
        <f>B20*C20</f>
        <v>6300</v>
      </c>
      <c r="E20" s="99">
        <f>D20*0.1</f>
        <v>630</v>
      </c>
      <c r="F20" s="4">
        <f>2500/4</f>
        <v>625</v>
      </c>
      <c r="G20" s="4">
        <v>0.16</v>
      </c>
      <c r="H20" s="98">
        <f>G20*B20</f>
        <v>0.16</v>
      </c>
      <c r="I20" s="4">
        <f>H20*$C$2</f>
        <v>1384.8</v>
      </c>
      <c r="J20" s="51">
        <f>(D20+E20+F20+I20)*$C$3</f>
        <v>513.23391800000002</v>
      </c>
      <c r="K20" s="6"/>
      <c r="L20" s="137"/>
    </row>
    <row r="21" spans="1:12" ht="31.5" x14ac:dyDescent="0.5">
      <c r="A21" s="152" t="s">
        <v>750</v>
      </c>
      <c r="B21" s="151"/>
      <c r="C21" s="151"/>
      <c r="D21" s="2"/>
      <c r="E21" s="97"/>
      <c r="F21" s="151"/>
      <c r="G21" s="151"/>
      <c r="H21" s="96"/>
      <c r="I21" s="2"/>
      <c r="J21" s="52">
        <f>J22</f>
        <v>982.14444549999996</v>
      </c>
      <c r="K21" s="10">
        <v>970</v>
      </c>
      <c r="L21" s="221">
        <f>K21-J21</f>
        <v>-12.144445499999961</v>
      </c>
    </row>
    <row r="22" spans="1:12" x14ac:dyDescent="0.25">
      <c r="A22" s="4" t="s">
        <v>761</v>
      </c>
      <c r="B22" s="4">
        <v>1</v>
      </c>
      <c r="C22" s="4">
        <v>13900</v>
      </c>
      <c r="D22" s="4">
        <f>B22*C22</f>
        <v>13900</v>
      </c>
      <c r="E22" s="99">
        <f>D22*0.1</f>
        <v>1390</v>
      </c>
      <c r="F22" s="4">
        <v>0</v>
      </c>
      <c r="G22" s="4">
        <v>0.21</v>
      </c>
      <c r="H22" s="98">
        <f>G22*B22</f>
        <v>0.21</v>
      </c>
      <c r="I22" s="4">
        <f>H22*$C$2</f>
        <v>1817.55</v>
      </c>
      <c r="J22" s="51">
        <f>(D22+E22+F22+I22)*$C$3</f>
        <v>982.14444549999996</v>
      </c>
      <c r="K22" s="6"/>
      <c r="L22" s="137"/>
    </row>
    <row r="23" spans="1:12" ht="31.5" x14ac:dyDescent="0.5">
      <c r="A23" s="152" t="s">
        <v>331</v>
      </c>
      <c r="B23" s="151"/>
      <c r="C23" s="151"/>
      <c r="D23" s="2"/>
      <c r="E23" s="97"/>
      <c r="F23" s="151"/>
      <c r="G23" s="151"/>
      <c r="H23" s="96"/>
      <c r="I23" s="2"/>
      <c r="J23" s="52">
        <f>SUM(J24:J25)</f>
        <v>1961.1399524999999</v>
      </c>
      <c r="K23" s="10">
        <v>1830</v>
      </c>
      <c r="L23" s="221">
        <f>K23-J23</f>
        <v>-131.13995249999994</v>
      </c>
    </row>
    <row r="24" spans="1:12" x14ac:dyDescent="0.25">
      <c r="A24" s="17" t="s">
        <v>890</v>
      </c>
      <c r="B24" s="4">
        <v>1</v>
      </c>
      <c r="C24" s="4">
        <v>8000</v>
      </c>
      <c r="D24" s="4">
        <f>B24*C24</f>
        <v>8000</v>
      </c>
      <c r="E24" s="99">
        <f>D24*0.1</f>
        <v>800</v>
      </c>
      <c r="F24" s="4">
        <v>3000</v>
      </c>
      <c r="G24" s="4">
        <v>0.15</v>
      </c>
      <c r="H24" s="98">
        <f>G24*B24</f>
        <v>0.15</v>
      </c>
      <c r="I24" s="4">
        <f>H24*$C$2</f>
        <v>1298.25</v>
      </c>
      <c r="J24" s="51">
        <f>(D24+E24+F24+I24)*$C$3</f>
        <v>751.97053249999999</v>
      </c>
      <c r="K24" s="6"/>
      <c r="L24" s="137"/>
    </row>
    <row r="25" spans="1:12" x14ac:dyDescent="0.25">
      <c r="A25" s="17" t="s">
        <v>891</v>
      </c>
      <c r="B25" s="4">
        <v>2</v>
      </c>
      <c r="C25" s="4">
        <v>8000</v>
      </c>
      <c r="D25" s="4">
        <f>B25*C25</f>
        <v>16000</v>
      </c>
      <c r="E25" s="99">
        <f>D25*0.1</f>
        <v>1600</v>
      </c>
      <c r="F25" s="4"/>
      <c r="G25" s="4">
        <v>0.2</v>
      </c>
      <c r="H25" s="98">
        <f>G25*B25</f>
        <v>0.4</v>
      </c>
      <c r="I25" s="4">
        <f>H25*$C$2</f>
        <v>3462</v>
      </c>
      <c r="J25" s="51">
        <f>(D25+E25+F25+I25)*$C$3</f>
        <v>1209.1694199999999</v>
      </c>
      <c r="K25" s="6"/>
      <c r="L25" s="137"/>
    </row>
    <row r="26" spans="1:12" ht="31.5" x14ac:dyDescent="0.5">
      <c r="A26" s="152" t="s">
        <v>892</v>
      </c>
      <c r="B26" s="151"/>
      <c r="C26" s="151"/>
      <c r="D26" s="2"/>
      <c r="E26" s="97"/>
      <c r="F26" s="151"/>
      <c r="G26" s="151"/>
      <c r="H26" s="96"/>
      <c r="I26" s="2"/>
      <c r="J26" s="52">
        <f>J27</f>
        <v>513.23391800000002</v>
      </c>
      <c r="K26" s="10">
        <f>506+7</f>
        <v>513</v>
      </c>
      <c r="L26" s="221">
        <f>K26-J26</f>
        <v>-0.23391800000001695</v>
      </c>
    </row>
    <row r="27" spans="1:12" x14ac:dyDescent="0.25">
      <c r="A27" s="4" t="s">
        <v>57</v>
      </c>
      <c r="B27" s="4">
        <v>1</v>
      </c>
      <c r="C27" s="4">
        <v>6300</v>
      </c>
      <c r="D27" s="4">
        <f>B27*C27</f>
        <v>6300</v>
      </c>
      <c r="E27" s="99">
        <f>D27*0.1</f>
        <v>630</v>
      </c>
      <c r="F27" s="4">
        <f>2500/4</f>
        <v>625</v>
      </c>
      <c r="G27" s="4">
        <v>0.16</v>
      </c>
      <c r="H27" s="98">
        <f>G27*B27</f>
        <v>0.16</v>
      </c>
      <c r="I27" s="4">
        <f>H27*$C$2</f>
        <v>1384.8</v>
      </c>
      <c r="J27" s="51">
        <f>(D27+E27+F27+I27)*$C$3</f>
        <v>513.23391800000002</v>
      </c>
      <c r="K27" s="6"/>
      <c r="L27" s="137"/>
    </row>
    <row r="28" spans="1:12" ht="31.5" x14ac:dyDescent="0.5">
      <c r="A28" s="152" t="s">
        <v>893</v>
      </c>
      <c r="B28" s="151"/>
      <c r="C28" s="151"/>
      <c r="D28" s="2"/>
      <c r="E28" s="97"/>
      <c r="F28" s="151"/>
      <c r="G28" s="151"/>
      <c r="H28" s="96"/>
      <c r="I28" s="2"/>
      <c r="J28" s="52">
        <f>J29</f>
        <v>2101.4586040000004</v>
      </c>
      <c r="K28" s="10">
        <v>2105</v>
      </c>
      <c r="L28" s="221">
        <f>K28-J28</f>
        <v>3.5413959999996223</v>
      </c>
    </row>
    <row r="29" spans="1:12" x14ac:dyDescent="0.25">
      <c r="A29" s="4" t="s">
        <v>894</v>
      </c>
      <c r="B29" s="4">
        <v>1</v>
      </c>
      <c r="C29" s="4">
        <v>29500</v>
      </c>
      <c r="D29" s="4">
        <f>B29*C29</f>
        <v>29500</v>
      </c>
      <c r="E29" s="99">
        <f>D29*0.1</f>
        <v>2950</v>
      </c>
      <c r="F29" s="4">
        <v>0</v>
      </c>
      <c r="G29" s="4">
        <v>0.48</v>
      </c>
      <c r="H29" s="98">
        <f>G29*B29</f>
        <v>0.48</v>
      </c>
      <c r="I29" s="4">
        <f>H29*$C$2</f>
        <v>4154.3999999999996</v>
      </c>
      <c r="J29" s="51">
        <f>(D29+E29+F29+I29)*$C$3</f>
        <v>2101.4586040000004</v>
      </c>
      <c r="K29" s="6"/>
      <c r="L29" s="137"/>
    </row>
    <row r="50" spans="2:3" x14ac:dyDescent="0.25">
      <c r="B50" s="233">
        <f>'2итог'!L45+'3'!L30+'4'!L55+'5'!L44+'6'!L14+'8'!L12+'10'!L21+'12'!L34+'15'!L8+'16'!L10+'20'!L11+'22'!L6+'23'!L8+'27'!L13+'30'!L31+'31'!L37+'32'!L18+'34'!L16+'35'!L18+'42'!L6</f>
        <v>11.22031416666573</v>
      </c>
      <c r="C50" t="s">
        <v>896</v>
      </c>
    </row>
    <row r="64" spans="2:3" x14ac:dyDescent="0.25">
      <c r="B64" s="233">
        <f>'34'!L32+'36'!L15+'42'!L21</f>
        <v>-12.330452166666532</v>
      </c>
      <c r="C64" t="s">
        <v>900</v>
      </c>
    </row>
    <row r="65" spans="1:3" x14ac:dyDescent="0.25">
      <c r="A65" t="s">
        <v>887</v>
      </c>
      <c r="B65" s="233">
        <f>'42'!L13</f>
        <v>0.45487199999979566</v>
      </c>
      <c r="C65">
        <v>43</v>
      </c>
    </row>
    <row r="84" spans="1:3" x14ac:dyDescent="0.25">
      <c r="A84" t="s">
        <v>892</v>
      </c>
      <c r="B84" s="233">
        <f>'42'!L26</f>
        <v>-0.23391800000001695</v>
      </c>
      <c r="C84">
        <v>43</v>
      </c>
    </row>
    <row r="94" spans="1:3" x14ac:dyDescent="0.25">
      <c r="A94" t="s">
        <v>889</v>
      </c>
      <c r="B94" s="233">
        <f>'42'!L19</f>
        <v>-0.23391800000001695</v>
      </c>
      <c r="C94">
        <v>43</v>
      </c>
    </row>
    <row r="96" spans="1:3" x14ac:dyDescent="0.25">
      <c r="B96" s="233">
        <f>'12'!L6+'13'!L6+'14'!L17+'16'!L21+'17'!L13+'20'!L24+'21'!L22+'22'!L27+'26'!L8+'28'!L10+'29'!L27+'30'!L17+'31'!L31+'33'!L20+'37'!L24+'39'!L6+'40'!L27+'42'!L23</f>
        <v>-128.02903216666641</v>
      </c>
      <c r="C96" t="s">
        <v>899</v>
      </c>
    </row>
    <row r="105" spans="1:3" x14ac:dyDescent="0.25">
      <c r="B105" s="233">
        <f>'32'!L8+'35'!L16+'37'!L28+'39'!L13+'42'!L11</f>
        <v>6.0097999999998137</v>
      </c>
      <c r="C105" t="s">
        <v>898</v>
      </c>
    </row>
    <row r="110" spans="1:3" x14ac:dyDescent="0.25">
      <c r="A110" t="s">
        <v>888</v>
      </c>
      <c r="B110" s="233">
        <f>'42'!L16</f>
        <v>158.62328600000001</v>
      </c>
      <c r="C110">
        <v>43</v>
      </c>
    </row>
    <row r="127" spans="2:3" ht="43.5" customHeight="1" x14ac:dyDescent="0.25">
      <c r="B127" s="233">
        <f>'14'!L22+'15'!L24+'18'!L6+'21'!L18+'22'!L20+'23'!L12+'24'!L18+'27'!L17+'29'!L16+'31'!L22+'32'!L6+'33'!L16+'35'!L8+'40'!L18+'42'!L8</f>
        <v>0.3627319999993972</v>
      </c>
      <c r="C127" t="s">
        <v>897</v>
      </c>
    </row>
    <row r="181" spans="1:3" x14ac:dyDescent="0.25">
      <c r="A181" t="s">
        <v>893</v>
      </c>
      <c r="B181" s="233">
        <f>'42'!L28</f>
        <v>3.5413959999996223</v>
      </c>
      <c r="C181">
        <v>43</v>
      </c>
    </row>
  </sheetData>
  <hyperlinks>
    <hyperlink ref="A10" r:id="rId1" display="http://item2.gmarket.co.kr/English/detailview/item.aspx?goodscode=412197761"/>
    <hyperlink ref="A13" r:id="rId2" display="http://forum.sibmama.ru/viewtopic.php?t=715424&amp;start=25320"/>
    <hyperlink ref="A21" r:id="rId3" display="http://forum.sibmama.ru/viewtopic.php?t=715424&amp;start=25350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zoomScale="70" zoomScaleNormal="70" workbookViewId="0">
      <selection activeCell="A13" sqref="A13"/>
    </sheetView>
  </sheetViews>
  <sheetFormatPr defaultRowHeight="15" x14ac:dyDescent="0.25"/>
  <cols>
    <col min="1" max="1" width="34.7109375" customWidth="1"/>
    <col min="3" max="3" width="16.2851562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42569</v>
      </c>
      <c r="D1" s="30"/>
    </row>
    <row r="2" spans="1:12" ht="21" x14ac:dyDescent="0.35">
      <c r="A2" s="55" t="s">
        <v>239</v>
      </c>
      <c r="B2" s="4"/>
      <c r="C2" s="16">
        <v>8610</v>
      </c>
      <c r="D2" s="30"/>
    </row>
    <row r="3" spans="1:12" ht="21" x14ac:dyDescent="0.35">
      <c r="A3" s="55" t="s">
        <v>240</v>
      </c>
      <c r="B3" s="4"/>
      <c r="C3" s="170">
        <v>5.629E-2</v>
      </c>
      <c r="D3" s="30"/>
    </row>
    <row r="4" spans="1:12" ht="15.75" thickBot="1" x14ac:dyDescent="0.3"/>
    <row r="5" spans="1:12" ht="60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644</v>
      </c>
      <c r="B6" s="151"/>
      <c r="C6" s="151"/>
      <c r="D6" s="2"/>
      <c r="E6" s="97"/>
      <c r="F6" s="156"/>
      <c r="G6" s="231"/>
      <c r="H6" s="96"/>
      <c r="I6" s="2"/>
      <c r="J6" s="52">
        <f>J7</f>
        <v>1133.9057600000001</v>
      </c>
      <c r="K6" s="10">
        <f>989+146</f>
        <v>1135</v>
      </c>
      <c r="L6" s="221">
        <f>K6-J6</f>
        <v>1.0942399999998997</v>
      </c>
    </row>
    <row r="7" spans="1:12" x14ac:dyDescent="0.25">
      <c r="A7" s="4" t="s">
        <v>489</v>
      </c>
      <c r="B7" s="4">
        <v>1</v>
      </c>
      <c r="C7" s="4">
        <v>6900</v>
      </c>
      <c r="D7" s="4">
        <f>B7*C7</f>
        <v>6900</v>
      </c>
      <c r="E7" s="99">
        <f>D7*0.1</f>
        <v>690</v>
      </c>
      <c r="F7" s="4">
        <v>500</v>
      </c>
      <c r="G7" s="4">
        <v>1.4</v>
      </c>
      <c r="H7" s="98">
        <f>G7*B7</f>
        <v>1.4</v>
      </c>
      <c r="I7" s="4">
        <f>H7*$C$2</f>
        <v>12054</v>
      </c>
      <c r="J7" s="51">
        <f>(D7+E7+F7+I7)*$C$3</f>
        <v>1133.9057600000001</v>
      </c>
      <c r="K7" s="6"/>
      <c r="L7" s="137"/>
    </row>
    <row r="8" spans="1:12" ht="31.5" x14ac:dyDescent="0.5">
      <c r="A8" s="152" t="s">
        <v>892</v>
      </c>
      <c r="B8" s="152"/>
      <c r="C8" s="151"/>
      <c r="D8" s="2"/>
      <c r="E8" s="97"/>
      <c r="F8" s="151"/>
      <c r="G8" s="151"/>
      <c r="H8" s="96"/>
      <c r="I8" s="2"/>
      <c r="J8" s="52">
        <f>SUM(J9:J10)</f>
        <v>1117.767417</v>
      </c>
      <c r="K8" s="10">
        <f>1103+15</f>
        <v>1118</v>
      </c>
      <c r="L8" s="221">
        <f>K8-J8</f>
        <v>0.23258299999997689</v>
      </c>
    </row>
    <row r="9" spans="1:12" x14ac:dyDescent="0.25">
      <c r="A9" s="4" t="s">
        <v>437</v>
      </c>
      <c r="B9" s="4">
        <v>1</v>
      </c>
      <c r="C9" s="4">
        <f>10900/2</f>
        <v>5450</v>
      </c>
      <c r="D9" s="4">
        <f>B9*C9</f>
        <v>5450</v>
      </c>
      <c r="E9" s="99">
        <f>D9*0.1</f>
        <v>545</v>
      </c>
      <c r="F9" s="4">
        <f>2500/4</f>
        <v>625</v>
      </c>
      <c r="G9" s="4">
        <v>0.23</v>
      </c>
      <c r="H9" s="98">
        <f>G9*B9</f>
        <v>0.23</v>
      </c>
      <c r="I9" s="4">
        <f>H9*$C$2</f>
        <v>1980.3000000000002</v>
      </c>
      <c r="J9" s="51">
        <f>(D9+E9+F9+I9)*$C$3</f>
        <v>484.11088699999993</v>
      </c>
      <c r="K9" s="6"/>
      <c r="L9" s="137"/>
    </row>
    <row r="10" spans="1:12" x14ac:dyDescent="0.25">
      <c r="A10" s="4" t="s">
        <v>57</v>
      </c>
      <c r="B10" s="4">
        <v>1</v>
      </c>
      <c r="C10" s="4">
        <v>8100</v>
      </c>
      <c r="D10" s="4">
        <f>B10*C10</f>
        <v>8100</v>
      </c>
      <c r="E10" s="99">
        <f>D10*0.1</f>
        <v>810</v>
      </c>
      <c r="F10" s="4">
        <f>2500/4</f>
        <v>625</v>
      </c>
      <c r="G10" s="4">
        <v>0.2</v>
      </c>
      <c r="H10" s="98">
        <f>G10*B10</f>
        <v>0.2</v>
      </c>
      <c r="I10" s="4">
        <f>H10*$C$2</f>
        <v>1722</v>
      </c>
      <c r="J10" s="51">
        <f>(D10+E10+F10+I10)*$C$3</f>
        <v>633.65652999999998</v>
      </c>
      <c r="K10" s="6"/>
      <c r="L10" s="137"/>
    </row>
    <row r="11" spans="1:12" ht="31.5" x14ac:dyDescent="0.5">
      <c r="A11" s="152" t="s">
        <v>901</v>
      </c>
      <c r="B11" s="152"/>
      <c r="C11" s="152"/>
      <c r="D11" s="2"/>
      <c r="E11" s="97"/>
      <c r="F11" s="151"/>
      <c r="G11" s="151"/>
      <c r="H11" s="96"/>
      <c r="I11" s="2"/>
      <c r="J11" s="52">
        <f>SUM(J12:J12)</f>
        <v>562.25829399999998</v>
      </c>
      <c r="K11" s="10">
        <v>562</v>
      </c>
      <c r="L11" s="221">
        <f>K11-J11</f>
        <v>-0.25829399999997804</v>
      </c>
    </row>
    <row r="12" spans="1:12" x14ac:dyDescent="0.25">
      <c r="A12" s="4" t="s">
        <v>437</v>
      </c>
      <c r="B12" s="4">
        <v>1</v>
      </c>
      <c r="C12" s="21">
        <v>6500</v>
      </c>
      <c r="D12" s="4">
        <f>B12*C12</f>
        <v>6500</v>
      </c>
      <c r="E12" s="99">
        <f>D12*0.1</f>
        <v>650</v>
      </c>
      <c r="F12" s="4">
        <v>600</v>
      </c>
      <c r="G12" s="4">
        <v>0.26</v>
      </c>
      <c r="H12" s="98">
        <f>G12*B12</f>
        <v>0.26</v>
      </c>
      <c r="I12" s="4">
        <f>H12*$C$2</f>
        <v>2238.6</v>
      </c>
      <c r="J12" s="51">
        <f>(D12+E12+F12+I12)*$C$3</f>
        <v>562.25829399999998</v>
      </c>
      <c r="K12" s="6"/>
      <c r="L12" s="137"/>
    </row>
    <row r="13" spans="1:12" ht="31.5" x14ac:dyDescent="0.5">
      <c r="A13" s="152" t="s">
        <v>763</v>
      </c>
      <c r="B13" s="151"/>
      <c r="C13" s="151"/>
      <c r="D13" s="32"/>
      <c r="E13" s="92"/>
      <c r="F13" s="206"/>
      <c r="G13" s="151"/>
      <c r="H13" s="32"/>
      <c r="I13" s="2"/>
      <c r="J13" s="52">
        <f>SUM(J14:J23)</f>
        <v>2679.0381150000003</v>
      </c>
      <c r="K13" s="10">
        <v>3447</v>
      </c>
      <c r="L13" s="10">
        <f>K13-J13</f>
        <v>767.96188499999971</v>
      </c>
    </row>
    <row r="14" spans="1:12" x14ac:dyDescent="0.25">
      <c r="A14" s="4" t="s">
        <v>170</v>
      </c>
      <c r="B14" s="4">
        <v>1</v>
      </c>
      <c r="C14" s="4">
        <v>4900</v>
      </c>
      <c r="D14" s="37">
        <f t="shared" ref="D14:D22" si="0">B14*C14</f>
        <v>4900</v>
      </c>
      <c r="E14" s="39">
        <f t="shared" ref="E14:E22" si="1">D14*0.1</f>
        <v>490</v>
      </c>
      <c r="F14" s="60"/>
      <c r="G14" s="4">
        <v>0.1</v>
      </c>
      <c r="H14" s="37">
        <f t="shared" ref="H14:H22" si="2">G14*B14</f>
        <v>0.1</v>
      </c>
      <c r="I14" s="4">
        <f t="shared" ref="I14:I22" si="3">H14*$C$2</f>
        <v>861</v>
      </c>
      <c r="J14" s="51">
        <f t="shared" ref="J14:J22" si="4">(D14+E14+F14+I14)*$C$3</f>
        <v>351.86878999999999</v>
      </c>
      <c r="K14" s="6"/>
      <c r="L14" s="17"/>
    </row>
    <row r="15" spans="1:12" x14ac:dyDescent="0.25">
      <c r="A15" s="4" t="s">
        <v>902</v>
      </c>
      <c r="B15" s="4">
        <v>1</v>
      </c>
      <c r="C15" s="4">
        <v>2000</v>
      </c>
      <c r="D15" s="37">
        <f t="shared" si="0"/>
        <v>2000</v>
      </c>
      <c r="E15" s="39">
        <f t="shared" si="1"/>
        <v>200</v>
      </c>
      <c r="F15" s="60"/>
      <c r="G15" s="4">
        <v>0.1</v>
      </c>
      <c r="H15" s="37">
        <f t="shared" si="2"/>
        <v>0.1</v>
      </c>
      <c r="I15" s="4">
        <f t="shared" si="3"/>
        <v>861</v>
      </c>
      <c r="J15" s="51">
        <f t="shared" si="4"/>
        <v>172.30368999999999</v>
      </c>
      <c r="K15" s="6"/>
      <c r="L15" s="17"/>
    </row>
    <row r="16" spans="1:12" x14ac:dyDescent="0.25">
      <c r="A16" s="4" t="s">
        <v>902</v>
      </c>
      <c r="B16" s="4">
        <v>1</v>
      </c>
      <c r="C16" s="4">
        <v>2000</v>
      </c>
      <c r="D16" s="37">
        <f t="shared" si="0"/>
        <v>2000</v>
      </c>
      <c r="E16" s="39">
        <f t="shared" si="1"/>
        <v>200</v>
      </c>
      <c r="F16" s="60"/>
      <c r="G16" s="4">
        <v>0.1</v>
      </c>
      <c r="H16" s="37">
        <f t="shared" si="2"/>
        <v>0.1</v>
      </c>
      <c r="I16" s="4">
        <f t="shared" si="3"/>
        <v>861</v>
      </c>
      <c r="J16" s="51">
        <f t="shared" si="4"/>
        <v>172.30368999999999</v>
      </c>
      <c r="K16" s="6"/>
      <c r="L16" s="17"/>
    </row>
    <row r="17" spans="1:12" x14ac:dyDescent="0.25">
      <c r="A17" s="4" t="s">
        <v>199</v>
      </c>
      <c r="B17" s="4">
        <v>1</v>
      </c>
      <c r="C17" s="4">
        <v>6500</v>
      </c>
      <c r="D17" s="37">
        <f t="shared" si="0"/>
        <v>6500</v>
      </c>
      <c r="E17" s="39">
        <f t="shared" si="1"/>
        <v>650</v>
      </c>
      <c r="F17" s="60"/>
      <c r="G17" s="4">
        <v>0.1</v>
      </c>
      <c r="H17" s="37">
        <f t="shared" si="2"/>
        <v>0.1</v>
      </c>
      <c r="I17" s="4">
        <f t="shared" si="3"/>
        <v>861</v>
      </c>
      <c r="J17" s="51">
        <f t="shared" si="4"/>
        <v>450.93919</v>
      </c>
      <c r="K17" s="6"/>
      <c r="L17" s="17"/>
    </row>
    <row r="18" spans="1:12" x14ac:dyDescent="0.25">
      <c r="A18" s="18" t="s">
        <v>903</v>
      </c>
      <c r="B18" s="4">
        <v>1</v>
      </c>
      <c r="C18" s="4">
        <v>0</v>
      </c>
      <c r="D18" s="37">
        <f t="shared" si="0"/>
        <v>0</v>
      </c>
      <c r="E18" s="39">
        <f t="shared" si="1"/>
        <v>0</v>
      </c>
      <c r="F18" s="60"/>
      <c r="G18" s="4"/>
      <c r="H18" s="37">
        <f t="shared" si="2"/>
        <v>0</v>
      </c>
      <c r="I18" s="4">
        <f t="shared" si="3"/>
        <v>0</v>
      </c>
      <c r="J18" s="51">
        <f t="shared" si="4"/>
        <v>0</v>
      </c>
      <c r="K18" s="6"/>
      <c r="L18" s="17"/>
    </row>
    <row r="19" spans="1:12" x14ac:dyDescent="0.25">
      <c r="A19" s="4" t="s">
        <v>112</v>
      </c>
      <c r="B19" s="4">
        <v>1</v>
      </c>
      <c r="C19" s="4">
        <v>2500</v>
      </c>
      <c r="D19" s="37">
        <f t="shared" si="0"/>
        <v>2500</v>
      </c>
      <c r="E19" s="39">
        <f t="shared" si="1"/>
        <v>250</v>
      </c>
      <c r="F19" s="60"/>
      <c r="G19" s="4">
        <v>0.1</v>
      </c>
      <c r="H19" s="37">
        <f t="shared" si="2"/>
        <v>0.1</v>
      </c>
      <c r="I19" s="4">
        <f t="shared" si="3"/>
        <v>861</v>
      </c>
      <c r="J19" s="51">
        <f t="shared" si="4"/>
        <v>203.26319000000001</v>
      </c>
      <c r="K19" s="6"/>
      <c r="L19" s="17"/>
    </row>
    <row r="20" spans="1:12" x14ac:dyDescent="0.25">
      <c r="A20" s="18" t="s">
        <v>904</v>
      </c>
      <c r="B20" s="4">
        <v>1</v>
      </c>
      <c r="C20" s="4">
        <v>0</v>
      </c>
      <c r="D20" s="37">
        <f t="shared" si="0"/>
        <v>0</v>
      </c>
      <c r="E20" s="39">
        <f t="shared" si="1"/>
        <v>0</v>
      </c>
      <c r="F20" s="60"/>
      <c r="G20" s="4"/>
      <c r="H20" s="37">
        <f t="shared" si="2"/>
        <v>0</v>
      </c>
      <c r="I20" s="4">
        <f t="shared" si="3"/>
        <v>0</v>
      </c>
      <c r="J20" s="51">
        <f t="shared" si="4"/>
        <v>0</v>
      </c>
      <c r="K20" s="6"/>
      <c r="L20" s="17"/>
    </row>
    <row r="21" spans="1:12" x14ac:dyDescent="0.25">
      <c r="A21" s="4" t="s">
        <v>905</v>
      </c>
      <c r="B21" s="4">
        <v>2</v>
      </c>
      <c r="C21" s="4">
        <v>3000</v>
      </c>
      <c r="D21" s="37">
        <f t="shared" si="0"/>
        <v>6000</v>
      </c>
      <c r="E21" s="39">
        <f t="shared" si="1"/>
        <v>600</v>
      </c>
      <c r="F21" s="60"/>
      <c r="G21" s="4">
        <v>0.31</v>
      </c>
      <c r="H21" s="37">
        <f t="shared" si="2"/>
        <v>0.62</v>
      </c>
      <c r="I21" s="4">
        <f t="shared" si="3"/>
        <v>5338.2</v>
      </c>
      <c r="J21" s="51">
        <f t="shared" si="4"/>
        <v>672.00127800000007</v>
      </c>
      <c r="K21" s="6"/>
      <c r="L21" s="17"/>
    </row>
    <row r="22" spans="1:12" x14ac:dyDescent="0.25">
      <c r="A22" s="4" t="s">
        <v>53</v>
      </c>
      <c r="B22" s="4">
        <v>1</v>
      </c>
      <c r="C22" s="4">
        <v>8800</v>
      </c>
      <c r="D22" s="37">
        <f t="shared" si="0"/>
        <v>8800</v>
      </c>
      <c r="E22" s="39">
        <f t="shared" si="1"/>
        <v>880</v>
      </c>
      <c r="F22" s="60"/>
      <c r="G22" s="4">
        <v>0.23</v>
      </c>
      <c r="H22" s="37">
        <f t="shared" si="2"/>
        <v>0.23</v>
      </c>
      <c r="I22" s="4">
        <f t="shared" si="3"/>
        <v>1980.3000000000002</v>
      </c>
      <c r="J22" s="51">
        <f t="shared" si="4"/>
        <v>656.3582869999999</v>
      </c>
      <c r="K22" s="6"/>
      <c r="L22" s="17"/>
    </row>
    <row r="23" spans="1:12" x14ac:dyDescent="0.25">
      <c r="A23" s="17"/>
      <c r="B23" s="4"/>
      <c r="C23" s="4"/>
      <c r="D23" s="37"/>
      <c r="E23" s="39"/>
      <c r="F23" s="60"/>
      <c r="G23" s="4"/>
      <c r="H23" s="37"/>
      <c r="I23" s="4"/>
      <c r="J23" s="51"/>
      <c r="K23" s="6"/>
      <c r="L23" s="1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zoomScale="70" zoomScaleNormal="70" workbookViewId="0">
      <selection activeCell="K13" sqref="K13"/>
    </sheetView>
  </sheetViews>
  <sheetFormatPr defaultRowHeight="15" x14ac:dyDescent="0.25"/>
  <cols>
    <col min="1" max="1" width="40.7109375" customWidth="1"/>
    <col min="3" max="3" width="16.28515625" customWidth="1"/>
    <col min="6" max="6" width="10.85546875" customWidth="1"/>
    <col min="11" max="12" width="11.5703125" customWidth="1"/>
  </cols>
  <sheetData>
    <row r="1" spans="1:12" ht="21" x14ac:dyDescent="0.35">
      <c r="A1" s="55" t="s">
        <v>281</v>
      </c>
      <c r="B1" s="4"/>
      <c r="C1" s="189">
        <v>42585</v>
      </c>
      <c r="D1" s="30"/>
    </row>
    <row r="2" spans="1:12" ht="21" x14ac:dyDescent="0.35">
      <c r="A2" s="55" t="s">
        <v>239</v>
      </c>
      <c r="B2" s="4"/>
      <c r="C2" s="16">
        <v>8350</v>
      </c>
      <c r="D2" s="30"/>
    </row>
    <row r="3" spans="1:12" ht="21" x14ac:dyDescent="0.35">
      <c r="A3" s="55" t="s">
        <v>240</v>
      </c>
      <c r="B3" s="4"/>
      <c r="C3" s="170">
        <v>6.0749999999999998E-2</v>
      </c>
      <c r="D3" s="30"/>
    </row>
    <row r="4" spans="1:12" ht="15.75" thickBot="1" x14ac:dyDescent="0.3"/>
    <row r="5" spans="1:12" ht="45" x14ac:dyDescent="0.25">
      <c r="A5" s="94">
        <v>44</v>
      </c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906</v>
      </c>
      <c r="B6" s="151"/>
      <c r="C6" s="151"/>
      <c r="D6" s="2"/>
      <c r="E6" s="2"/>
      <c r="F6" s="151"/>
      <c r="G6" s="151"/>
      <c r="H6" s="2"/>
      <c r="I6" s="2"/>
      <c r="J6" s="52">
        <f>J7</f>
        <v>475.36874999999998</v>
      </c>
      <c r="K6" s="10">
        <v>477</v>
      </c>
      <c r="L6" s="10">
        <f>K6-J6</f>
        <v>1.6312500000000227</v>
      </c>
    </row>
    <row r="7" spans="1:12" x14ac:dyDescent="0.25">
      <c r="A7" s="4" t="s">
        <v>907</v>
      </c>
      <c r="B7" s="4">
        <v>1</v>
      </c>
      <c r="C7" s="4">
        <v>5900</v>
      </c>
      <c r="D7" s="4">
        <f>B7*C7</f>
        <v>5900</v>
      </c>
      <c r="E7" s="4">
        <f>D7*0.1</f>
        <v>590</v>
      </c>
      <c r="F7" s="4">
        <v>500</v>
      </c>
      <c r="G7" s="4">
        <v>0.1</v>
      </c>
      <c r="H7" s="4">
        <f>G7*B7</f>
        <v>0.1</v>
      </c>
      <c r="I7" s="4">
        <f>H7*$C$2</f>
        <v>835</v>
      </c>
      <c r="J7" s="51">
        <f>(D7+E7+F7+I7)*$C$3</f>
        <v>475.36874999999998</v>
      </c>
      <c r="K7" s="6"/>
      <c r="L7" s="17"/>
    </row>
    <row r="8" spans="1:12" ht="31.5" x14ac:dyDescent="0.5">
      <c r="A8" s="152" t="s">
        <v>913</v>
      </c>
      <c r="B8" s="152"/>
      <c r="C8" s="152"/>
      <c r="D8" s="2"/>
      <c r="E8" s="2"/>
      <c r="F8" s="151"/>
      <c r="G8" s="151"/>
      <c r="H8" s="2"/>
      <c r="I8" s="2"/>
      <c r="J8" s="52">
        <f>SUM(J9:J9)</f>
        <v>953.34974999999997</v>
      </c>
      <c r="K8" s="10">
        <v>956</v>
      </c>
      <c r="L8" s="10">
        <f>K8-J8</f>
        <v>2.6502500000000282</v>
      </c>
    </row>
    <row r="9" spans="1:12" x14ac:dyDescent="0.25">
      <c r="A9" s="4" t="s">
        <v>914</v>
      </c>
      <c r="B9" s="4">
        <v>1</v>
      </c>
      <c r="C9" s="4">
        <v>12900</v>
      </c>
      <c r="D9" s="4">
        <f>B9*C9</f>
        <v>12900</v>
      </c>
      <c r="E9" s="4">
        <f>D9*0.1</f>
        <v>1290</v>
      </c>
      <c r="F9" s="4">
        <v>0</v>
      </c>
      <c r="G9" s="4">
        <v>0.18</v>
      </c>
      <c r="H9" s="4">
        <f>G9*B9</f>
        <v>0.18</v>
      </c>
      <c r="I9" s="4">
        <f>H9*$C$2</f>
        <v>1503</v>
      </c>
      <c r="J9" s="51">
        <f>(D9+E9+F9+I9)*$C$3</f>
        <v>953.34974999999997</v>
      </c>
      <c r="K9" s="6"/>
      <c r="L9" s="17"/>
    </row>
    <row r="10" spans="1:12" ht="31.5" x14ac:dyDescent="0.5">
      <c r="A10" s="152" t="s">
        <v>22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530.226</v>
      </c>
      <c r="K10" s="10">
        <v>472</v>
      </c>
      <c r="L10" s="10">
        <f>K10-J10</f>
        <v>-58.225999999999999</v>
      </c>
    </row>
    <row r="11" spans="1:12" x14ac:dyDescent="0.25">
      <c r="A11" s="4" t="s">
        <v>437</v>
      </c>
      <c r="B11" s="4">
        <v>1</v>
      </c>
      <c r="C11" s="4">
        <v>5280</v>
      </c>
      <c r="D11" s="4">
        <f>B11*C11</f>
        <v>5280</v>
      </c>
      <c r="E11" s="4">
        <f>D11*0.1</f>
        <v>528</v>
      </c>
      <c r="F11" s="4">
        <v>1250</v>
      </c>
      <c r="G11" s="4">
        <v>0.2</v>
      </c>
      <c r="H11" s="4">
        <f>G11*B11</f>
        <v>0.2</v>
      </c>
      <c r="I11" s="4">
        <f>H11*$C$2</f>
        <v>1670</v>
      </c>
      <c r="J11" s="51">
        <f>(D11+E11+F11+I11)*$C$3</f>
        <v>530.226</v>
      </c>
      <c r="K11" s="6"/>
      <c r="L11" s="17"/>
    </row>
    <row r="12" spans="1:12" ht="31.5" x14ac:dyDescent="0.5">
      <c r="A12" s="152" t="s">
        <v>616</v>
      </c>
      <c r="B12" s="151"/>
      <c r="C12" s="151"/>
      <c r="D12" s="2"/>
      <c r="E12" s="2"/>
      <c r="F12" s="206"/>
      <c r="G12" s="151"/>
      <c r="H12" s="2"/>
      <c r="I12" s="2"/>
      <c r="J12" s="52">
        <f>SUM(J13:J19)</f>
        <v>5041.8247500000007</v>
      </c>
      <c r="K12" s="10">
        <v>5005</v>
      </c>
      <c r="L12" s="10">
        <f>K12-J12</f>
        <v>-36.824750000000677</v>
      </c>
    </row>
    <row r="13" spans="1:12" x14ac:dyDescent="0.25">
      <c r="A13" s="4" t="s">
        <v>915</v>
      </c>
      <c r="B13" s="4">
        <v>1</v>
      </c>
      <c r="C13" s="4">
        <v>12000</v>
      </c>
      <c r="D13" s="4">
        <f t="shared" ref="D13:D19" si="0">B13*C13</f>
        <v>12000</v>
      </c>
      <c r="E13" s="4">
        <f t="shared" ref="E13:E19" si="1">D13*0.1</f>
        <v>1200</v>
      </c>
      <c r="F13" s="4">
        <v>0</v>
      </c>
      <c r="G13" s="4">
        <v>0.1</v>
      </c>
      <c r="H13" s="4">
        <f t="shared" ref="H13:H19" si="2">G13*B13</f>
        <v>0.1</v>
      </c>
      <c r="I13" s="4">
        <f t="shared" ref="I13:I19" si="3">H13*$C$2</f>
        <v>835</v>
      </c>
      <c r="J13" s="51">
        <f t="shared" ref="J13:J19" si="4">(D13+E13+F13+I13)*$C$3</f>
        <v>852.62625000000003</v>
      </c>
      <c r="K13" s="6"/>
      <c r="L13" s="17"/>
    </row>
    <row r="14" spans="1:12" x14ac:dyDescent="0.25">
      <c r="A14" s="4" t="s">
        <v>908</v>
      </c>
      <c r="B14" s="4">
        <v>1</v>
      </c>
      <c r="C14" s="4">
        <v>9800</v>
      </c>
      <c r="D14" s="4">
        <f t="shared" si="0"/>
        <v>9800</v>
      </c>
      <c r="E14" s="4">
        <f t="shared" si="1"/>
        <v>980</v>
      </c>
      <c r="F14" s="4">
        <v>500</v>
      </c>
      <c r="G14" s="4">
        <v>0.38</v>
      </c>
      <c r="H14" s="4">
        <f t="shared" si="2"/>
        <v>0.38</v>
      </c>
      <c r="I14" s="4">
        <f t="shared" si="3"/>
        <v>3173</v>
      </c>
      <c r="J14" s="51">
        <f t="shared" si="4"/>
        <v>878.01974999999993</v>
      </c>
      <c r="K14" s="6"/>
      <c r="L14" s="17"/>
    </row>
    <row r="15" spans="1:12" x14ac:dyDescent="0.25">
      <c r="A15" s="4" t="s">
        <v>909</v>
      </c>
      <c r="B15" s="4">
        <v>1</v>
      </c>
      <c r="C15" s="4">
        <v>4900</v>
      </c>
      <c r="D15" s="4">
        <f t="shared" si="0"/>
        <v>4900</v>
      </c>
      <c r="E15" s="4">
        <f t="shared" si="1"/>
        <v>490</v>
      </c>
      <c r="F15" s="4">
        <v>500</v>
      </c>
      <c r="G15" s="4">
        <v>0.2</v>
      </c>
      <c r="H15" s="4">
        <f t="shared" si="2"/>
        <v>0.2</v>
      </c>
      <c r="I15" s="4">
        <f t="shared" si="3"/>
        <v>1670</v>
      </c>
      <c r="J15" s="51">
        <f t="shared" si="4"/>
        <v>459.27</v>
      </c>
      <c r="K15" s="6"/>
      <c r="L15" s="17"/>
    </row>
    <row r="16" spans="1:12" x14ac:dyDescent="0.25">
      <c r="A16" s="4" t="s">
        <v>910</v>
      </c>
      <c r="B16" s="4">
        <v>1</v>
      </c>
      <c r="C16" s="4">
        <v>10900</v>
      </c>
      <c r="D16" s="4">
        <f t="shared" si="0"/>
        <v>10900</v>
      </c>
      <c r="E16" s="4">
        <f t="shared" si="1"/>
        <v>1090</v>
      </c>
      <c r="F16" s="4">
        <v>0</v>
      </c>
      <c r="G16" s="4">
        <v>0.6</v>
      </c>
      <c r="H16" s="4">
        <f t="shared" si="2"/>
        <v>0.6</v>
      </c>
      <c r="I16" s="4">
        <f t="shared" si="3"/>
        <v>5010</v>
      </c>
      <c r="J16" s="51">
        <f t="shared" si="4"/>
        <v>1032.75</v>
      </c>
      <c r="K16" s="6"/>
      <c r="L16" s="17"/>
    </row>
    <row r="17" spans="1:12" x14ac:dyDescent="0.25">
      <c r="A17" s="4" t="s">
        <v>911</v>
      </c>
      <c r="B17" s="4">
        <v>3</v>
      </c>
      <c r="C17" s="234">
        <v>3000</v>
      </c>
      <c r="D17" s="4">
        <f t="shared" si="0"/>
        <v>9000</v>
      </c>
      <c r="E17" s="4">
        <f t="shared" si="1"/>
        <v>900</v>
      </c>
      <c r="F17" s="4">
        <v>0</v>
      </c>
      <c r="G17" s="4">
        <v>0.1</v>
      </c>
      <c r="H17" s="4">
        <f t="shared" si="2"/>
        <v>0.30000000000000004</v>
      </c>
      <c r="I17" s="4">
        <f t="shared" si="3"/>
        <v>2505.0000000000005</v>
      </c>
      <c r="J17" s="51">
        <f t="shared" si="4"/>
        <v>753.60374999999999</v>
      </c>
      <c r="K17" s="6"/>
      <c r="L17" s="17"/>
    </row>
    <row r="18" spans="1:12" x14ac:dyDescent="0.25">
      <c r="A18" s="18" t="s">
        <v>917</v>
      </c>
      <c r="B18" s="18">
        <v>0</v>
      </c>
      <c r="C18" s="18"/>
      <c r="D18" s="18"/>
      <c r="E18" s="18"/>
      <c r="F18" s="18"/>
      <c r="G18" s="4"/>
      <c r="H18" s="4"/>
      <c r="I18" s="4">
        <f t="shared" si="3"/>
        <v>0</v>
      </c>
      <c r="J18" s="51">
        <f t="shared" si="4"/>
        <v>0</v>
      </c>
      <c r="K18" s="6"/>
      <c r="L18" s="17"/>
    </row>
    <row r="19" spans="1:12" x14ac:dyDescent="0.25">
      <c r="A19" s="4" t="s">
        <v>912</v>
      </c>
      <c r="B19" s="4">
        <v>1</v>
      </c>
      <c r="C19" s="4">
        <v>12000</v>
      </c>
      <c r="D19" s="4">
        <f t="shared" si="0"/>
        <v>12000</v>
      </c>
      <c r="E19" s="4">
        <f t="shared" si="1"/>
        <v>1200</v>
      </c>
      <c r="F19" s="4">
        <v>1000</v>
      </c>
      <c r="G19" s="4">
        <v>0.4</v>
      </c>
      <c r="H19" s="4">
        <f t="shared" si="2"/>
        <v>0.4</v>
      </c>
      <c r="I19" s="4">
        <f t="shared" si="3"/>
        <v>3340</v>
      </c>
      <c r="J19" s="51">
        <f t="shared" si="4"/>
        <v>1065.5550000000001</v>
      </c>
      <c r="K19" s="6"/>
      <c r="L19" s="17"/>
    </row>
  </sheetData>
  <hyperlinks>
    <hyperlink ref="A6" r:id="rId1" display="http://forum.sibmama.ru/viewtopic.php?t=715424&amp;start=26430"/>
    <hyperlink ref="A8" r:id="rId2" display="http://forum.sibmama.ru/viewtopic.php?p=77935251"/>
    <hyperlink ref="A10" r:id="rId3" display="http://forum.sibmama.ru/viewtopic.php?p=78007979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"/>
  <sheetViews>
    <sheetView zoomScale="80" zoomScaleNormal="80" workbookViewId="0">
      <selection activeCell="M17" sqref="M17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42653</v>
      </c>
      <c r="D1" s="30"/>
    </row>
    <row r="2" spans="1:12" ht="21" x14ac:dyDescent="0.35">
      <c r="A2" s="55" t="s">
        <v>239</v>
      </c>
      <c r="B2" s="4"/>
      <c r="C2" s="16">
        <v>10050</v>
      </c>
      <c r="D2" s="30"/>
    </row>
    <row r="3" spans="1:12" ht="21" x14ac:dyDescent="0.35">
      <c r="A3" s="55" t="s">
        <v>240</v>
      </c>
      <c r="B3" s="4"/>
      <c r="C3" s="170">
        <v>5.6390000000000003E-2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918</v>
      </c>
      <c r="B6" s="152"/>
      <c r="C6" s="152"/>
      <c r="D6" s="2"/>
      <c r="E6" s="2"/>
      <c r="F6" s="152"/>
      <c r="G6" s="152"/>
      <c r="H6" s="2"/>
      <c r="I6" s="2"/>
      <c r="J6" s="52">
        <f>J7</f>
        <v>1023.87323</v>
      </c>
      <c r="K6" s="10">
        <v>1067</v>
      </c>
      <c r="L6" s="10">
        <f>K6-J6</f>
        <v>43.126769999999965</v>
      </c>
    </row>
    <row r="7" spans="1:12" x14ac:dyDescent="0.25">
      <c r="A7" s="4" t="s">
        <v>919</v>
      </c>
      <c r="B7" s="4">
        <v>1</v>
      </c>
      <c r="C7" s="4">
        <v>13400</v>
      </c>
      <c r="D7" s="4">
        <f>B7*C7</f>
        <v>13400</v>
      </c>
      <c r="E7" s="4">
        <f>D7*0.1</f>
        <v>1340</v>
      </c>
      <c r="F7" s="4"/>
      <c r="G7" s="4">
        <v>0.34</v>
      </c>
      <c r="H7" s="4">
        <f>G7*B7</f>
        <v>0.34</v>
      </c>
      <c r="I7" s="4">
        <f>H7*$C$2</f>
        <v>3417.0000000000005</v>
      </c>
      <c r="J7" s="51">
        <f>(D7+E7+F7+I7)*$C$3</f>
        <v>1023.87323</v>
      </c>
      <c r="K7" s="6"/>
      <c r="L7" s="17"/>
    </row>
    <row r="8" spans="1:12" ht="31.5" x14ac:dyDescent="0.5">
      <c r="A8" s="152" t="s">
        <v>827</v>
      </c>
      <c r="B8" s="152"/>
      <c r="C8" s="152"/>
      <c r="D8" s="2"/>
      <c r="E8" s="2"/>
      <c r="F8" s="152"/>
      <c r="G8" s="152"/>
      <c r="H8" s="2"/>
      <c r="I8" s="2"/>
      <c r="J8" s="52">
        <f>SUM(J9:J9)</f>
        <v>584.64024199999994</v>
      </c>
      <c r="K8" s="10">
        <v>590</v>
      </c>
      <c r="L8" s="10">
        <f>K8-J8</f>
        <v>5.3597580000000562</v>
      </c>
    </row>
    <row r="9" spans="1:12" x14ac:dyDescent="0.25">
      <c r="A9" s="4" t="s">
        <v>920</v>
      </c>
      <c r="B9" s="4">
        <v>1</v>
      </c>
      <c r="C9" s="4">
        <v>8000</v>
      </c>
      <c r="D9" s="4">
        <f>B9*C9</f>
        <v>8000</v>
      </c>
      <c r="E9" s="4">
        <f>D9*0.1</f>
        <v>800</v>
      </c>
      <c r="F9" s="4"/>
      <c r="G9" s="4">
        <v>0.156</v>
      </c>
      <c r="H9" s="4">
        <f>G9*B9</f>
        <v>0.156</v>
      </c>
      <c r="I9" s="4">
        <f>H9*$C$2</f>
        <v>1567.8</v>
      </c>
      <c r="J9" s="51">
        <f>(D9+E9+F9+I9)*$C$3</f>
        <v>584.64024199999994</v>
      </c>
      <c r="K9" s="6"/>
      <c r="L9" s="17"/>
    </row>
    <row r="10" spans="1:12" ht="31.5" x14ac:dyDescent="0.5">
      <c r="A10" s="152" t="s">
        <v>841</v>
      </c>
      <c r="B10" s="152"/>
      <c r="C10" s="152"/>
      <c r="D10" s="2"/>
      <c r="E10" s="2"/>
      <c r="F10" s="152"/>
      <c r="G10" s="152"/>
      <c r="H10" s="2"/>
      <c r="I10" s="2"/>
      <c r="J10" s="52">
        <f>SUM(J11:J11)</f>
        <v>676.42624499999999</v>
      </c>
      <c r="K10" s="10">
        <v>685</v>
      </c>
      <c r="L10" s="10">
        <f>K10-J10</f>
        <v>8.5737550000000056</v>
      </c>
    </row>
    <row r="11" spans="1:12" x14ac:dyDescent="0.25">
      <c r="A11" s="4" t="s">
        <v>921</v>
      </c>
      <c r="B11" s="4">
        <v>1</v>
      </c>
      <c r="C11" s="4">
        <v>9900</v>
      </c>
      <c r="D11" s="4">
        <f>B11*C11</f>
        <v>9900</v>
      </c>
      <c r="E11" s="4">
        <f>D11*0.1</f>
        <v>990</v>
      </c>
      <c r="F11" s="4"/>
      <c r="G11" s="4">
        <v>0.11</v>
      </c>
      <c r="H11" s="4">
        <f>G11*B11</f>
        <v>0.11</v>
      </c>
      <c r="I11" s="4">
        <f>H11*$C$2</f>
        <v>1105.5</v>
      </c>
      <c r="J11" s="51">
        <f>(D11+E11+F11+I11)*$C$3</f>
        <v>676.42624499999999</v>
      </c>
      <c r="K11" s="6"/>
      <c r="L11" s="17"/>
    </row>
    <row r="12" spans="1:12" ht="31.5" x14ac:dyDescent="0.5">
      <c r="A12" s="152" t="s">
        <v>22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986.03554000000008</v>
      </c>
      <c r="K12" s="10">
        <f>965+21</f>
        <v>986</v>
      </c>
      <c r="L12" s="10">
        <f>K12-J12</f>
        <v>-3.5540000000082728E-2</v>
      </c>
    </row>
    <row r="13" spans="1:12" x14ac:dyDescent="0.25">
      <c r="A13" s="21" t="s">
        <v>67</v>
      </c>
      <c r="B13" s="4">
        <v>1</v>
      </c>
      <c r="C13" s="21">
        <v>14800</v>
      </c>
      <c r="D13" s="4">
        <f>B13*C13</f>
        <v>14800</v>
      </c>
      <c r="E13" s="4">
        <f>D13*0.1</f>
        <v>1480</v>
      </c>
      <c r="F13" s="4"/>
      <c r="G13" s="21">
        <v>0.12</v>
      </c>
      <c r="H13" s="4">
        <f>G13*B13</f>
        <v>0.12</v>
      </c>
      <c r="I13" s="4">
        <f>H13*$C$2</f>
        <v>1206</v>
      </c>
      <c r="J13" s="51">
        <f>(D13+E13+F13+I13)*$C$3</f>
        <v>986.03554000000008</v>
      </c>
      <c r="K13" s="6"/>
      <c r="L13" s="17"/>
    </row>
    <row r="14" spans="1:12" ht="31.5" x14ac:dyDescent="0.5">
      <c r="A14" s="152" t="s">
        <v>364</v>
      </c>
      <c r="B14" s="152"/>
      <c r="C14" s="152"/>
      <c r="D14" s="2"/>
      <c r="E14" s="2"/>
      <c r="F14" s="152"/>
      <c r="G14" s="152"/>
      <c r="H14" s="2"/>
      <c r="I14" s="2"/>
      <c r="J14" s="52">
        <f>SUM(J15:J19)</f>
        <v>2225.1775950000001</v>
      </c>
      <c r="K14" s="10">
        <f>2209+19</f>
        <v>2228</v>
      </c>
      <c r="L14" s="10">
        <f>K14-J14</f>
        <v>2.8224049999998897</v>
      </c>
    </row>
    <row r="15" spans="1:12" x14ac:dyDescent="0.25">
      <c r="A15" s="4" t="s">
        <v>922</v>
      </c>
      <c r="B15" s="4">
        <v>1</v>
      </c>
      <c r="C15" s="4">
        <v>9900</v>
      </c>
      <c r="D15" s="4">
        <f>B15*C15</f>
        <v>9900</v>
      </c>
      <c r="E15" s="4">
        <f>D15*0.1</f>
        <v>990</v>
      </c>
      <c r="F15" s="4"/>
      <c r="G15" s="4">
        <v>0.14000000000000001</v>
      </c>
      <c r="H15" s="4">
        <f>G15*B15</f>
        <v>0.14000000000000001</v>
      </c>
      <c r="I15" s="4">
        <f>H15*$C$2</f>
        <v>1407.0000000000002</v>
      </c>
      <c r="J15" s="51">
        <f>(D15+E15+F15+I15)*$C$3</f>
        <v>693.42783000000009</v>
      </c>
      <c r="K15" s="6"/>
      <c r="L15" s="17"/>
    </row>
    <row r="16" spans="1:12" x14ac:dyDescent="0.25">
      <c r="A16" s="4" t="s">
        <v>921</v>
      </c>
      <c r="B16" s="4">
        <v>1</v>
      </c>
      <c r="C16" s="4">
        <v>9900</v>
      </c>
      <c r="D16" s="4">
        <f>B16*C16</f>
        <v>9900</v>
      </c>
      <c r="E16" s="4">
        <f>D16*0.1</f>
        <v>990</v>
      </c>
      <c r="F16" s="4"/>
      <c r="G16" s="4">
        <v>0.11</v>
      </c>
      <c r="H16" s="4">
        <f>G16*B16</f>
        <v>0.11</v>
      </c>
      <c r="I16" s="4">
        <f>H16*$C$2</f>
        <v>1105.5</v>
      </c>
      <c r="J16" s="51">
        <f>(D16+E16+F16+I16)*$C$3</f>
        <v>676.42624499999999</v>
      </c>
      <c r="K16" s="6"/>
      <c r="L16" s="17"/>
    </row>
    <row r="17" spans="1:12" x14ac:dyDescent="0.25">
      <c r="A17" s="4" t="s">
        <v>620</v>
      </c>
      <c r="B17" s="4">
        <v>1</v>
      </c>
      <c r="C17" s="4">
        <v>2000</v>
      </c>
      <c r="D17" s="4">
        <f>B17*C17</f>
        <v>2000</v>
      </c>
      <c r="E17" s="4">
        <f>D17*0.1</f>
        <v>200</v>
      </c>
      <c r="F17" s="4"/>
      <c r="G17" s="4">
        <v>0.05</v>
      </c>
      <c r="H17" s="4">
        <f>G17*B17</f>
        <v>0.05</v>
      </c>
      <c r="I17" s="4">
        <f>H17*$C$2</f>
        <v>502.5</v>
      </c>
      <c r="J17" s="51">
        <f>(D17+E17+F17+I17)*$C$3</f>
        <v>152.39397500000001</v>
      </c>
      <c r="K17" s="6"/>
      <c r="L17" s="17"/>
    </row>
    <row r="18" spans="1:12" x14ac:dyDescent="0.25">
      <c r="A18" s="4" t="s">
        <v>256</v>
      </c>
      <c r="B18" s="4">
        <v>1</v>
      </c>
      <c r="C18" s="4">
        <v>6000</v>
      </c>
      <c r="D18" s="4">
        <f>B18*C18</f>
        <v>6000</v>
      </c>
      <c r="E18" s="4">
        <f>D18*0.1</f>
        <v>600</v>
      </c>
      <c r="F18" s="4"/>
      <c r="G18" s="4">
        <v>0.21</v>
      </c>
      <c r="H18" s="4">
        <f>G18*B18</f>
        <v>0.21</v>
      </c>
      <c r="I18" s="4">
        <f>H18*$C$2</f>
        <v>2110.5</v>
      </c>
      <c r="J18" s="51">
        <f>(D18+E18+F18+I18)*$C$3</f>
        <v>491.18509500000005</v>
      </c>
      <c r="K18" s="6"/>
      <c r="L18" s="17"/>
    </row>
    <row r="19" spans="1:12" x14ac:dyDescent="0.25">
      <c r="A19" s="4" t="s">
        <v>923</v>
      </c>
      <c r="B19" s="4">
        <v>1</v>
      </c>
      <c r="C19" s="4">
        <v>2500</v>
      </c>
      <c r="D19" s="4">
        <f>B19*C19</f>
        <v>2500</v>
      </c>
      <c r="E19" s="4">
        <f>D19*0.1</f>
        <v>250</v>
      </c>
      <c r="F19" s="4"/>
      <c r="G19" s="4">
        <v>0.1</v>
      </c>
      <c r="H19" s="4">
        <f>G19*B19</f>
        <v>0.1</v>
      </c>
      <c r="I19" s="4">
        <f>H19*$C$2</f>
        <v>1005</v>
      </c>
      <c r="J19" s="51">
        <f>(D19+E19+F19+I19)*$C$3</f>
        <v>211.74445</v>
      </c>
      <c r="K19" s="6"/>
      <c r="L19" s="17"/>
    </row>
    <row r="20" spans="1:12" ht="31.5" x14ac:dyDescent="0.5">
      <c r="A20" s="152" t="s">
        <v>763</v>
      </c>
      <c r="B20" s="152"/>
      <c r="C20" s="152"/>
      <c r="D20" s="2"/>
      <c r="E20" s="2"/>
      <c r="F20" s="152"/>
      <c r="G20" s="152"/>
      <c r="H20" s="2"/>
      <c r="I20" s="2"/>
      <c r="J20" s="52">
        <f>SUM(J21:J22)</f>
        <v>1136.8224</v>
      </c>
      <c r="K20" s="10">
        <v>425</v>
      </c>
      <c r="L20" s="10">
        <f>K20-J20</f>
        <v>-711.82240000000002</v>
      </c>
    </row>
    <row r="21" spans="1:12" x14ac:dyDescent="0.25">
      <c r="A21" s="4" t="s">
        <v>924</v>
      </c>
      <c r="B21" s="4">
        <v>1</v>
      </c>
      <c r="C21" s="4">
        <v>6900</v>
      </c>
      <c r="D21" s="4">
        <f>B21*C21</f>
        <v>6900</v>
      </c>
      <c r="E21" s="4">
        <f>D21*0.1</f>
        <v>690</v>
      </c>
      <c r="F21" s="4"/>
      <c r="G21" s="4">
        <v>0.1</v>
      </c>
      <c r="H21" s="4">
        <f>G21*B21</f>
        <v>0.1</v>
      </c>
      <c r="I21" s="4">
        <f>H21*$C$2</f>
        <v>1005</v>
      </c>
      <c r="J21" s="51">
        <f>(D21+E21+F21+I21)*$C$3</f>
        <v>484.67205000000001</v>
      </c>
      <c r="K21" s="6"/>
      <c r="L21" s="17"/>
    </row>
    <row r="22" spans="1:12" x14ac:dyDescent="0.25">
      <c r="A22" s="4" t="s">
        <v>925</v>
      </c>
      <c r="B22" s="4">
        <v>1</v>
      </c>
      <c r="C22" s="4">
        <v>5500</v>
      </c>
      <c r="D22" s="4">
        <f>B22*C22</f>
        <v>5500</v>
      </c>
      <c r="E22" s="4">
        <f>D22*0.1</f>
        <v>550</v>
      </c>
      <c r="F22" s="4">
        <v>2500</v>
      </c>
      <c r="G22" s="4">
        <v>0.3</v>
      </c>
      <c r="H22" s="4">
        <f>G22*B22</f>
        <v>0.3</v>
      </c>
      <c r="I22" s="4">
        <f>H22*$C$2</f>
        <v>3015</v>
      </c>
      <c r="J22" s="51">
        <f>(D22+E22+F22+I22)*$C$3</f>
        <v>652.15035</v>
      </c>
      <c r="K22" s="6"/>
      <c r="L22" s="17"/>
    </row>
    <row r="23" spans="1:12" ht="31.5" x14ac:dyDescent="0.5">
      <c r="A23" s="152" t="s">
        <v>926</v>
      </c>
      <c r="B23" s="152"/>
      <c r="C23" s="152"/>
      <c r="D23" s="2"/>
      <c r="E23" s="2"/>
      <c r="F23" s="152"/>
      <c r="G23" s="152"/>
      <c r="H23" s="2"/>
      <c r="I23" s="2"/>
      <c r="J23" s="52">
        <f>SUM(J24:J25)</f>
        <v>1804.677365</v>
      </c>
      <c r="K23" s="10">
        <f>1680+125</f>
        <v>1805</v>
      </c>
      <c r="L23" s="10">
        <f>K23-J23</f>
        <v>0.32263499999999112</v>
      </c>
    </row>
    <row r="24" spans="1:12" x14ac:dyDescent="0.25">
      <c r="A24" s="4" t="s">
        <v>927</v>
      </c>
      <c r="B24" s="4">
        <v>1</v>
      </c>
      <c r="C24" s="4">
        <v>12400</v>
      </c>
      <c r="D24" s="4">
        <f>B24*C24</f>
        <v>12400</v>
      </c>
      <c r="E24" s="4">
        <f>D24*0.1</f>
        <v>1240</v>
      </c>
      <c r="F24" s="4"/>
      <c r="G24" s="4">
        <v>0.28999999999999998</v>
      </c>
      <c r="H24" s="4">
        <f>G24*B24</f>
        <v>0.28999999999999998</v>
      </c>
      <c r="I24" s="4">
        <f>H24*$C$2</f>
        <v>2914.5</v>
      </c>
      <c r="J24" s="51">
        <f>(D24+E24+F24+I24)*$C$3</f>
        <v>933.50825500000008</v>
      </c>
      <c r="K24" s="6"/>
      <c r="L24" s="17"/>
    </row>
    <row r="25" spans="1:12" x14ac:dyDescent="0.25">
      <c r="A25" s="4" t="s">
        <v>467</v>
      </c>
      <c r="B25" s="4">
        <v>1</v>
      </c>
      <c r="C25" s="4">
        <v>12400</v>
      </c>
      <c r="D25" s="4">
        <f>B25*C25</f>
        <v>12400</v>
      </c>
      <c r="E25" s="4">
        <f>D25*0.1</f>
        <v>1240</v>
      </c>
      <c r="F25" s="4"/>
      <c r="G25" s="4">
        <v>0.18</v>
      </c>
      <c r="H25" s="4">
        <f>G25*B25</f>
        <v>0.18</v>
      </c>
      <c r="I25" s="4">
        <f>H25*$C$2</f>
        <v>1809</v>
      </c>
      <c r="J25" s="51">
        <f>(D25+E25+F25+I25)*$C$3</f>
        <v>871.16911000000005</v>
      </c>
      <c r="K25" s="6"/>
      <c r="L25" s="17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11" max="11" width="11.5703125" customWidth="1"/>
    <col min="12" max="12" width="10.85546875" customWidth="1"/>
  </cols>
  <sheetData>
    <row r="1" spans="1:13" ht="21" x14ac:dyDescent="0.35">
      <c r="A1" s="55" t="s">
        <v>281</v>
      </c>
      <c r="B1" s="4"/>
      <c r="C1" s="189">
        <v>42653</v>
      </c>
      <c r="D1" s="30"/>
    </row>
    <row r="2" spans="1:13" ht="21" x14ac:dyDescent="0.35">
      <c r="A2" s="55" t="s">
        <v>239</v>
      </c>
      <c r="B2" s="4"/>
      <c r="C2" s="16">
        <v>8670</v>
      </c>
      <c r="D2" s="30"/>
    </row>
    <row r="3" spans="1:13" ht="21" x14ac:dyDescent="0.35">
      <c r="A3" s="55" t="s">
        <v>240</v>
      </c>
      <c r="B3" s="4"/>
      <c r="C3" s="170">
        <v>5.7279999999999998E-2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930</v>
      </c>
      <c r="B6" s="152"/>
      <c r="C6" s="152"/>
      <c r="D6" s="2"/>
      <c r="E6" s="2"/>
      <c r="F6" s="152"/>
      <c r="G6" s="152"/>
      <c r="H6" s="2"/>
      <c r="I6" s="2"/>
      <c r="J6" s="52">
        <f>J7</f>
        <v>2132.9639999999999</v>
      </c>
      <c r="K6" s="10">
        <f>1334+799</f>
        <v>2133</v>
      </c>
      <c r="L6" s="10">
        <f>K6-J6</f>
        <v>3.6000000000058208E-2</v>
      </c>
    </row>
    <row r="7" spans="1:13" x14ac:dyDescent="0.25">
      <c r="A7" s="4" t="s">
        <v>931</v>
      </c>
      <c r="B7" s="4">
        <v>2</v>
      </c>
      <c r="C7" s="5">
        <v>12000</v>
      </c>
      <c r="D7" s="4">
        <f>B7*C7</f>
        <v>24000</v>
      </c>
      <c r="E7" s="4">
        <f>D7*0.1</f>
        <v>2400</v>
      </c>
      <c r="F7" s="4"/>
      <c r="G7" s="4">
        <v>1.25</v>
      </c>
      <c r="H7" s="4">
        <v>1.25</v>
      </c>
      <c r="I7" s="4">
        <f>H7*$C$2</f>
        <v>10837.5</v>
      </c>
      <c r="J7" s="51">
        <f>(D7+E7+F7+I7)*$C$3</f>
        <v>2132.9639999999999</v>
      </c>
      <c r="K7" s="6"/>
      <c r="L7" s="17"/>
      <c r="M7" t="s">
        <v>948</v>
      </c>
    </row>
    <row r="8" spans="1:13" ht="31.5" x14ac:dyDescent="0.5">
      <c r="A8" s="152" t="s">
        <v>932</v>
      </c>
      <c r="B8" s="152"/>
      <c r="C8" s="152"/>
      <c r="D8" s="2"/>
      <c r="E8" s="2"/>
      <c r="F8" s="152"/>
      <c r="G8" s="152"/>
      <c r="H8" s="2"/>
      <c r="I8" s="2"/>
      <c r="J8" s="52">
        <f>SUM(J9:J9)</f>
        <v>917.092896</v>
      </c>
      <c r="K8" s="10">
        <v>917</v>
      </c>
      <c r="L8" s="10">
        <f>K8-J8</f>
        <v>-9.2895999999996093E-2</v>
      </c>
    </row>
    <row r="9" spans="1:13" x14ac:dyDescent="0.25">
      <c r="A9" s="4" t="s">
        <v>933</v>
      </c>
      <c r="B9" s="4">
        <v>1</v>
      </c>
      <c r="C9" s="4">
        <v>12900</v>
      </c>
      <c r="D9" s="4">
        <f>B9*C9</f>
        <v>12900</v>
      </c>
      <c r="E9" s="4">
        <f>D9*0.1</f>
        <v>1290</v>
      </c>
      <c r="F9" s="4"/>
      <c r="G9" s="4">
        <v>0.21</v>
      </c>
      <c r="H9" s="4">
        <f>G9*B9</f>
        <v>0.21</v>
      </c>
      <c r="I9" s="4">
        <f>H9*$C$2</f>
        <v>1820.7</v>
      </c>
      <c r="J9" s="51">
        <f>(D9+E9+F9+I9)*$C$3</f>
        <v>917.092896</v>
      </c>
      <c r="K9" s="6"/>
      <c r="L9" s="17"/>
    </row>
    <row r="10" spans="1:13" ht="31.5" x14ac:dyDescent="0.5">
      <c r="A10" s="152" t="s">
        <v>934</v>
      </c>
      <c r="B10" s="152"/>
      <c r="C10" s="152"/>
      <c r="D10" s="2"/>
      <c r="E10" s="2"/>
      <c r="F10" s="152"/>
      <c r="G10" s="152"/>
      <c r="H10" s="2"/>
      <c r="I10" s="2"/>
      <c r="J10" s="52">
        <f>SUM(J11:J14)</f>
        <v>1548.8798400000001</v>
      </c>
      <c r="K10" s="10">
        <f>1485+64</f>
        <v>1549</v>
      </c>
      <c r="L10" s="10">
        <f>K10-J10</f>
        <v>0.12015999999994165</v>
      </c>
    </row>
    <row r="11" spans="1:13" x14ac:dyDescent="0.25">
      <c r="A11" s="4" t="s">
        <v>935</v>
      </c>
      <c r="B11" s="4">
        <v>10</v>
      </c>
      <c r="C11" s="4">
        <v>500</v>
      </c>
      <c r="D11" s="4">
        <f>B11*C11</f>
        <v>5000</v>
      </c>
      <c r="E11" s="4">
        <f>D11*0.1</f>
        <v>500</v>
      </c>
      <c r="F11" s="4"/>
      <c r="G11" s="4"/>
      <c r="H11" s="4">
        <v>0.21</v>
      </c>
      <c r="I11" s="4">
        <f>H11*$C$2</f>
        <v>1820.7</v>
      </c>
      <c r="J11" s="51">
        <f>(D11+E11+F11+I11)*$C$3</f>
        <v>419.32969599999996</v>
      </c>
      <c r="K11" s="6"/>
      <c r="L11" s="17"/>
      <c r="M11" t="s">
        <v>949</v>
      </c>
    </row>
    <row r="12" spans="1:13" x14ac:dyDescent="0.25">
      <c r="A12" s="4" t="s">
        <v>944</v>
      </c>
      <c r="B12" s="4">
        <v>1</v>
      </c>
      <c r="C12" s="4">
        <v>2550</v>
      </c>
      <c r="D12" s="4">
        <f>B12*C12</f>
        <v>2550</v>
      </c>
      <c r="E12" s="4">
        <f>D12*0.1</f>
        <v>255</v>
      </c>
      <c r="F12" s="4">
        <v>500</v>
      </c>
      <c r="G12" s="4">
        <v>0.1</v>
      </c>
      <c r="H12" s="4">
        <f>G12*B12</f>
        <v>0.1</v>
      </c>
      <c r="I12" s="4">
        <f>H12*$C$2</f>
        <v>867</v>
      </c>
      <c r="J12" s="51">
        <f>(D12+E12+F12+I12)*$C$3</f>
        <v>238.97216</v>
      </c>
      <c r="K12" s="6"/>
      <c r="L12" s="17"/>
    </row>
    <row r="13" spans="1:13" x14ac:dyDescent="0.25">
      <c r="A13" s="4" t="s">
        <v>261</v>
      </c>
      <c r="B13" s="4">
        <v>1</v>
      </c>
      <c r="C13" s="4">
        <v>6200</v>
      </c>
      <c r="D13" s="4">
        <f>B13*C13</f>
        <v>6200</v>
      </c>
      <c r="E13" s="4">
        <f>D13*0.1</f>
        <v>620</v>
      </c>
      <c r="F13" s="4">
        <v>500</v>
      </c>
      <c r="G13" s="4">
        <v>0.2</v>
      </c>
      <c r="H13" s="4">
        <f>G13*B13</f>
        <v>0.2</v>
      </c>
      <c r="I13" s="4">
        <f>H13*$C$2</f>
        <v>1734</v>
      </c>
      <c r="J13" s="51">
        <f>(D13+E13+F13+I13)*$C$3</f>
        <v>518.61311999999998</v>
      </c>
      <c r="K13" s="6"/>
      <c r="L13" s="17"/>
    </row>
    <row r="14" spans="1:13" x14ac:dyDescent="0.25">
      <c r="A14" s="4" t="s">
        <v>273</v>
      </c>
      <c r="B14" s="4">
        <v>1</v>
      </c>
      <c r="C14" s="4">
        <v>4800</v>
      </c>
      <c r="D14" s="4">
        <f>B14*C14</f>
        <v>4800</v>
      </c>
      <c r="E14" s="4">
        <f>D14*0.1</f>
        <v>480</v>
      </c>
      <c r="F14" s="4"/>
      <c r="G14" s="4">
        <v>0.14000000000000001</v>
      </c>
      <c r="H14" s="4">
        <f>G14*B14</f>
        <v>0.14000000000000001</v>
      </c>
      <c r="I14" s="4">
        <f>H14*$C$2</f>
        <v>1213.8000000000002</v>
      </c>
      <c r="J14" s="51">
        <f>(D14+E14+F14+I14)*$C$3</f>
        <v>371.96486399999998</v>
      </c>
      <c r="K14" s="6"/>
      <c r="L14" s="17"/>
    </row>
    <row r="15" spans="1:13" ht="31.5" x14ac:dyDescent="0.5">
      <c r="A15" s="152" t="s">
        <v>558</v>
      </c>
      <c r="B15" s="152"/>
      <c r="C15" s="152"/>
      <c r="D15" s="2"/>
      <c r="E15" s="2"/>
      <c r="F15" s="152"/>
      <c r="G15" s="152"/>
      <c r="H15" s="2"/>
      <c r="I15" s="2"/>
      <c r="J15" s="52">
        <f>SUM(J16:J17)</f>
        <v>1548.96576</v>
      </c>
      <c r="K15" s="10">
        <v>1562</v>
      </c>
      <c r="L15" s="10">
        <f>K15-J15</f>
        <v>13.034239999999954</v>
      </c>
    </row>
    <row r="16" spans="1:13" x14ac:dyDescent="0.25">
      <c r="A16" s="4" t="s">
        <v>256</v>
      </c>
      <c r="B16" s="4">
        <v>1</v>
      </c>
      <c r="C16" s="4">
        <v>2500</v>
      </c>
      <c r="D16" s="4">
        <f>B16*C16</f>
        <v>2500</v>
      </c>
      <c r="E16" s="4">
        <f>D16*0.1</f>
        <v>250</v>
      </c>
      <c r="F16" s="4">
        <v>500</v>
      </c>
      <c r="G16" s="4">
        <v>0.2</v>
      </c>
      <c r="H16" s="4">
        <f>G16*B16</f>
        <v>0.2</v>
      </c>
      <c r="I16" s="4">
        <f>H16*$C$2</f>
        <v>1734</v>
      </c>
      <c r="J16" s="51">
        <f>(D16+E16+F16+I16)*$C$3</f>
        <v>285.48352</v>
      </c>
      <c r="K16" s="6"/>
      <c r="L16" s="17"/>
    </row>
    <row r="17" spans="1:13" x14ac:dyDescent="0.25">
      <c r="A17" s="21" t="s">
        <v>936</v>
      </c>
      <c r="B17" s="4">
        <v>1</v>
      </c>
      <c r="C17" s="4">
        <v>16900</v>
      </c>
      <c r="D17" s="4">
        <f>B17*C17</f>
        <v>16900</v>
      </c>
      <c r="E17" s="4">
        <f>D17*0.1</f>
        <v>1690</v>
      </c>
      <c r="F17" s="4">
        <v>0</v>
      </c>
      <c r="G17" s="4">
        <v>0.4</v>
      </c>
      <c r="H17" s="4">
        <f>G17*B17</f>
        <v>0.4</v>
      </c>
      <c r="I17" s="4">
        <f>H17*$C$2</f>
        <v>3468</v>
      </c>
      <c r="J17" s="51">
        <f>(D17+E17+F17+I17)*$C$3</f>
        <v>1263.48224</v>
      </c>
      <c r="K17" s="6"/>
      <c r="L17" s="17"/>
    </row>
    <row r="18" spans="1:13" ht="31.5" x14ac:dyDescent="0.5">
      <c r="A18" s="152" t="s">
        <v>680</v>
      </c>
      <c r="B18" s="152"/>
      <c r="C18" s="152"/>
      <c r="D18" s="2"/>
      <c r="E18" s="2"/>
      <c r="F18" s="152"/>
      <c r="G18" s="152"/>
      <c r="H18" s="2"/>
      <c r="I18" s="2"/>
      <c r="J18" s="52">
        <f>SUM(J19:J20)</f>
        <v>1934.9069439999998</v>
      </c>
      <c r="K18" s="10">
        <f>1669+266</f>
        <v>1935</v>
      </c>
      <c r="L18" s="10">
        <f>K18-J18</f>
        <v>9.3056000000160566E-2</v>
      </c>
    </row>
    <row r="19" spans="1:13" x14ac:dyDescent="0.25">
      <c r="A19" s="4" t="s">
        <v>937</v>
      </c>
      <c r="B19" s="4">
        <v>1</v>
      </c>
      <c r="C19" s="4">
        <v>12400</v>
      </c>
      <c r="D19" s="4">
        <f>B19*C19</f>
        <v>12400</v>
      </c>
      <c r="E19" s="4">
        <f>D19*0.1</f>
        <v>1240</v>
      </c>
      <c r="F19" s="4"/>
      <c r="G19" s="234">
        <v>0.25</v>
      </c>
      <c r="H19" s="4">
        <f>G19*B19</f>
        <v>0.25</v>
      </c>
      <c r="I19" s="4">
        <f>H19*$C$2</f>
        <v>2167.5</v>
      </c>
      <c r="J19" s="51">
        <f>(D19+E19+F19+I19)*$C$3</f>
        <v>905.45359999999994</v>
      </c>
      <c r="K19" s="6"/>
      <c r="L19" s="17"/>
    </row>
    <row r="20" spans="1:13" x14ac:dyDescent="0.25">
      <c r="A20" s="4" t="s">
        <v>938</v>
      </c>
      <c r="B20" s="4">
        <v>1</v>
      </c>
      <c r="C20" s="4">
        <v>10900</v>
      </c>
      <c r="D20" s="4">
        <f>B20*C20</f>
        <v>10900</v>
      </c>
      <c r="E20" s="4">
        <f>D20*0.1</f>
        <v>1090</v>
      </c>
      <c r="F20" s="4"/>
      <c r="G20" s="4">
        <v>0.69</v>
      </c>
      <c r="H20" s="4">
        <f>G20*B20</f>
        <v>0.69</v>
      </c>
      <c r="I20" s="4">
        <f>H20*$C$2</f>
        <v>5982.2999999999993</v>
      </c>
      <c r="J20" s="51">
        <f>(D20+E20+F20+I20)*$C$3</f>
        <v>1029.453344</v>
      </c>
      <c r="K20" s="6"/>
      <c r="L20" s="17"/>
    </row>
    <row r="21" spans="1:13" ht="31.5" x14ac:dyDescent="0.5">
      <c r="A21" s="152" t="s">
        <v>767</v>
      </c>
      <c r="B21" s="152"/>
      <c r="C21" s="152"/>
      <c r="D21" s="2"/>
      <c r="E21" s="2"/>
      <c r="F21" s="152"/>
      <c r="G21" s="152"/>
      <c r="H21" s="2"/>
      <c r="I21" s="2"/>
      <c r="J21" s="52">
        <f>SUM(J22:J23)</f>
        <v>713.97037866666665</v>
      </c>
      <c r="K21" s="10">
        <v>712</v>
      </c>
      <c r="L21" s="10">
        <f>K21-J21</f>
        <v>-1.9703786666666474</v>
      </c>
    </row>
    <row r="22" spans="1:13" x14ac:dyDescent="0.25">
      <c r="A22" s="4" t="s">
        <v>939</v>
      </c>
      <c r="B22" s="4">
        <v>1</v>
      </c>
      <c r="C22" s="234">
        <v>4560</v>
      </c>
      <c r="D22" s="4">
        <f>B22*C22</f>
        <v>4560</v>
      </c>
      <c r="E22" s="4">
        <f>D22*0.1</f>
        <v>456</v>
      </c>
      <c r="F22" s="4">
        <f>2500/6</f>
        <v>416.66666666666669</v>
      </c>
      <c r="G22" s="4">
        <v>0.1</v>
      </c>
      <c r="H22" s="4">
        <f>G22*B22</f>
        <v>0.1</v>
      </c>
      <c r="I22" s="4">
        <f>H22*$C$2</f>
        <v>867</v>
      </c>
      <c r="J22" s="51">
        <f>(D22+E22+F22+I22)*$C$3</f>
        <v>360.84490666666665</v>
      </c>
      <c r="K22" s="6"/>
      <c r="L22" s="17"/>
    </row>
    <row r="23" spans="1:13" x14ac:dyDescent="0.25">
      <c r="A23" s="4" t="s">
        <v>940</v>
      </c>
      <c r="B23" s="4">
        <v>1</v>
      </c>
      <c r="C23" s="4">
        <v>2780</v>
      </c>
      <c r="D23" s="4">
        <f>B23*C23</f>
        <v>2780</v>
      </c>
      <c r="E23" s="4">
        <f>D23*0.1</f>
        <v>278</v>
      </c>
      <c r="F23" s="4">
        <v>2500</v>
      </c>
      <c r="G23" s="4">
        <v>7.0000000000000007E-2</v>
      </c>
      <c r="H23" s="4">
        <f>G23*B23</f>
        <v>7.0000000000000007E-2</v>
      </c>
      <c r="I23" s="4">
        <f>H23*$C$2</f>
        <v>606.90000000000009</v>
      </c>
      <c r="J23" s="51">
        <f>(D23+E23+F23+I23)*$C$3</f>
        <v>353.12547199999995</v>
      </c>
      <c r="K23" s="6"/>
      <c r="L23" s="17"/>
    </row>
    <row r="24" spans="1:13" ht="31.5" x14ac:dyDescent="0.5">
      <c r="A24" s="152" t="s">
        <v>892</v>
      </c>
      <c r="B24" s="152"/>
      <c r="C24" s="152"/>
      <c r="D24" s="2"/>
      <c r="E24" s="2"/>
      <c r="F24" s="152"/>
      <c r="G24" s="152"/>
      <c r="H24" s="2"/>
      <c r="I24" s="2"/>
      <c r="J24" s="52">
        <f>SUM(J25:J26)</f>
        <v>1272.2976319999998</v>
      </c>
      <c r="K24" s="10">
        <f>1248+24</f>
        <v>1272</v>
      </c>
      <c r="L24" s="10">
        <f>K24-J24</f>
        <v>-0.29763199999979406</v>
      </c>
    </row>
    <row r="25" spans="1:13" x14ac:dyDescent="0.25">
      <c r="A25" s="37" t="s">
        <v>941</v>
      </c>
      <c r="B25" s="4">
        <v>1</v>
      </c>
      <c r="C25" s="4">
        <v>9800</v>
      </c>
      <c r="D25" s="4">
        <f>B25*C25</f>
        <v>9800</v>
      </c>
      <c r="E25" s="4">
        <f>D25*0.1</f>
        <v>980</v>
      </c>
      <c r="F25" s="4"/>
      <c r="G25" s="4">
        <v>0.3</v>
      </c>
      <c r="H25" s="4">
        <f>G25*B25</f>
        <v>0.3</v>
      </c>
      <c r="I25" s="4">
        <f>H25*$C$2</f>
        <v>2601</v>
      </c>
      <c r="J25" s="51">
        <f>(D25+E25+F25+I25)*$C$3</f>
        <v>766.46367999999995</v>
      </c>
      <c r="K25" s="6"/>
      <c r="L25" s="17"/>
    </row>
    <row r="26" spans="1:13" x14ac:dyDescent="0.25">
      <c r="A26" t="s">
        <v>942</v>
      </c>
      <c r="B26" s="4">
        <v>1</v>
      </c>
      <c r="C26" s="4">
        <v>5900</v>
      </c>
      <c r="D26" s="4">
        <f>B26*C26</f>
        <v>5900</v>
      </c>
      <c r="E26" s="4">
        <f>D26*0.1</f>
        <v>590</v>
      </c>
      <c r="F26" s="4"/>
      <c r="G26" s="4">
        <v>0.27</v>
      </c>
      <c r="H26" s="4">
        <f>G26*B26</f>
        <v>0.27</v>
      </c>
      <c r="I26" s="4">
        <f>H26*$C$2</f>
        <v>2340.9</v>
      </c>
      <c r="J26" s="51">
        <f>(D26+E26+F26+I26)*$C$3</f>
        <v>505.83395199999995</v>
      </c>
      <c r="K26" s="6"/>
      <c r="L26" s="17"/>
    </row>
    <row r="27" spans="1:13" ht="31.5" x14ac:dyDescent="0.5">
      <c r="A27" s="152" t="s">
        <v>364</v>
      </c>
      <c r="B27" s="152"/>
      <c r="C27" s="152"/>
      <c r="D27" s="2"/>
      <c r="E27" s="2"/>
      <c r="F27" s="152"/>
      <c r="G27" s="152"/>
      <c r="H27" s="2"/>
      <c r="I27" s="2"/>
      <c r="J27" s="52">
        <f>SUM(J28:J30)</f>
        <v>1584.1717663999998</v>
      </c>
      <c r="K27" s="10">
        <v>1600</v>
      </c>
      <c r="L27" s="10">
        <f>K27-J27</f>
        <v>15.828233600000203</v>
      </c>
    </row>
    <row r="28" spans="1:13" x14ac:dyDescent="0.25">
      <c r="A28" s="4" t="s">
        <v>105</v>
      </c>
      <c r="B28" s="4">
        <v>1</v>
      </c>
      <c r="C28" s="4">
        <v>10000</v>
      </c>
      <c r="D28" s="4">
        <f>B28*C28</f>
        <v>10000</v>
      </c>
      <c r="E28" s="4">
        <f>D28*0.1</f>
        <v>1000</v>
      </c>
      <c r="F28" s="4"/>
      <c r="G28" s="4">
        <f>0.2+0.122</f>
        <v>0.32200000000000001</v>
      </c>
      <c r="H28" s="4">
        <f>G28*B28</f>
        <v>0.32200000000000001</v>
      </c>
      <c r="I28" s="4">
        <f>H28*$C$2</f>
        <v>2791.7400000000002</v>
      </c>
      <c r="J28" s="51">
        <f>(D28+E28+F28+I28)*$C$3</f>
        <v>789.99086719999991</v>
      </c>
      <c r="K28" s="6"/>
      <c r="L28" s="17"/>
      <c r="M28" t="s">
        <v>950</v>
      </c>
    </row>
    <row r="29" spans="1:13" x14ac:dyDescent="0.25">
      <c r="A29" s="4" t="s">
        <v>943</v>
      </c>
      <c r="B29" s="4">
        <v>1</v>
      </c>
      <c r="C29" s="4">
        <v>2500</v>
      </c>
      <c r="D29" s="4">
        <f>B29*C29</f>
        <v>2500</v>
      </c>
      <c r="E29" s="4">
        <f>D29*0.1</f>
        <v>250</v>
      </c>
      <c r="F29" s="4"/>
      <c r="G29" s="4">
        <v>1.2E-2</v>
      </c>
      <c r="H29" s="4">
        <f>G29*B29</f>
        <v>1.2E-2</v>
      </c>
      <c r="I29" s="4">
        <f>H29*$C$2</f>
        <v>104.04</v>
      </c>
      <c r="J29" s="51">
        <f>(D29+E29+F29+I29)*$C$3</f>
        <v>163.47941119999999</v>
      </c>
      <c r="K29" s="6"/>
      <c r="L29" s="17"/>
    </row>
    <row r="30" spans="1:13" x14ac:dyDescent="0.25">
      <c r="A30" s="4" t="s">
        <v>256</v>
      </c>
      <c r="B30" s="4">
        <v>1</v>
      </c>
      <c r="C30" s="4">
        <v>8000</v>
      </c>
      <c r="D30" s="4">
        <f>B30*C30</f>
        <v>8000</v>
      </c>
      <c r="E30" s="4">
        <f>D30*0.1</f>
        <v>800</v>
      </c>
      <c r="F30" s="4"/>
      <c r="G30" s="4">
        <v>0.255</v>
      </c>
      <c r="H30" s="4">
        <f>G30*B30</f>
        <v>0.255</v>
      </c>
      <c r="I30" s="4">
        <f>H30*$C$2</f>
        <v>2210.85</v>
      </c>
      <c r="J30" s="51">
        <f>(D30+E30+F30+I30)*$C$3</f>
        <v>630.70148800000004</v>
      </c>
      <c r="K30" s="6"/>
      <c r="L30" s="1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80" zoomScaleNormal="80" workbookViewId="0">
      <selection sqref="A1:XFD1048576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>K6-J6</f>
        <v>41.633952000000136</v>
      </c>
    </row>
    <row r="7" spans="1:12" x14ac:dyDescent="0.25">
      <c r="A7" s="4" t="s">
        <v>951</v>
      </c>
      <c r="B7" s="4">
        <v>1</v>
      </c>
      <c r="C7" s="4">
        <v>33600</v>
      </c>
      <c r="D7" s="4">
        <f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v>1013</v>
      </c>
      <c r="L8" s="10">
        <f>K8-J8</f>
        <v>-17.829140000000052</v>
      </c>
    </row>
    <row r="9" spans="1:12" x14ac:dyDescent="0.25">
      <c r="A9" s="4" t="s">
        <v>952</v>
      </c>
      <c r="B9" s="4">
        <v>1</v>
      </c>
      <c r="C9" s="4">
        <v>13400</v>
      </c>
      <c r="D9" s="4">
        <f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953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v>832</v>
      </c>
      <c r="L10" s="10">
        <f>K10-J10</f>
        <v>-9.4241599999999153</v>
      </c>
    </row>
    <row r="11" spans="1:12" x14ac:dyDescent="0.25">
      <c r="A11" s="21" t="s">
        <v>954</v>
      </c>
      <c r="B11" s="4">
        <v>1</v>
      </c>
      <c r="C11" s="4">
        <v>12900</v>
      </c>
      <c r="D11" s="4">
        <f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955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>K14-J14</f>
        <v>-63.94982600000003</v>
      </c>
    </row>
    <row r="15" spans="1:12" x14ac:dyDescent="0.25">
      <c r="A15" s="4" t="s">
        <v>956</v>
      </c>
      <c r="B15" s="4">
        <v>1</v>
      </c>
      <c r="C15" s="4">
        <v>6700</v>
      </c>
      <c r="D15" s="4">
        <f>B15*C15</f>
        <v>6700</v>
      </c>
      <c r="E15" s="4">
        <f>D15*0.1</f>
        <v>670</v>
      </c>
      <c r="F15" s="4">
        <v>0</v>
      </c>
      <c r="G15" s="4">
        <v>0.27500000000000002</v>
      </c>
      <c r="H15" s="4">
        <v>0.27500000000000002</v>
      </c>
      <c r="I15" s="4">
        <f>H15*$C$2</f>
        <v>2384.25</v>
      </c>
      <c r="J15" s="51">
        <f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>B16*C16</f>
        <v>7350</v>
      </c>
      <c r="E16" s="4">
        <f>D16*0.1</f>
        <v>735</v>
      </c>
      <c r="F16" s="4">
        <v>2500</v>
      </c>
      <c r="G16" s="4">
        <v>0.52</v>
      </c>
      <c r="H16" s="4">
        <v>0.52</v>
      </c>
      <c r="I16" s="4">
        <f>H16*$C$2</f>
        <v>4508.4000000000005</v>
      </c>
      <c r="J16" s="51">
        <f>(D16+E16+F16+I16)*$C$3</f>
        <v>797.535256</v>
      </c>
      <c r="K16" s="6"/>
      <c r="L16" s="17"/>
    </row>
    <row r="17" spans="1:12" ht="31.5" x14ac:dyDescent="0.5">
      <c r="A17" s="152" t="s">
        <v>957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>K17-J17</f>
        <v>256.74351999999999</v>
      </c>
    </row>
    <row r="18" spans="1:12" x14ac:dyDescent="0.25">
      <c r="A18" s="235" t="s">
        <v>958</v>
      </c>
      <c r="B18" s="4">
        <v>5</v>
      </c>
      <c r="C18" s="4">
        <v>2800</v>
      </c>
      <c r="D18" s="4">
        <f>B18*C18</f>
        <v>14000</v>
      </c>
      <c r="E18" s="4">
        <f>D18*0.1</f>
        <v>1400</v>
      </c>
      <c r="F18" s="4">
        <v>0</v>
      </c>
      <c r="G18" s="4">
        <v>0.28999999999999998</v>
      </c>
      <c r="H18" s="4">
        <v>0.28999999999999998</v>
      </c>
      <c r="I18" s="4">
        <f>H18*$C$2</f>
        <v>2514.2999999999997</v>
      </c>
      <c r="J18" s="51">
        <f>(D18+E18+F18+I18)*$C$3</f>
        <v>946.59161199999994</v>
      </c>
      <c r="K18" s="6"/>
      <c r="L18" s="17"/>
    </row>
    <row r="19" spans="1:12" x14ac:dyDescent="0.25">
      <c r="A19" s="235" t="s">
        <v>959</v>
      </c>
      <c r="B19" s="4">
        <v>4</v>
      </c>
      <c r="C19" s="4">
        <v>2800</v>
      </c>
      <c r="D19" s="4">
        <f>B19*C19</f>
        <v>11200</v>
      </c>
      <c r="E19" s="4">
        <f>D19*0.1</f>
        <v>1120</v>
      </c>
      <c r="F19" s="4">
        <v>0</v>
      </c>
      <c r="G19" s="4"/>
      <c r="H19" s="4"/>
      <c r="I19" s="4">
        <f>H19*$C$2</f>
        <v>0</v>
      </c>
      <c r="J19" s="51">
        <f>(D19+E19+F19+I19)*$C$3</f>
        <v>650.98879999999997</v>
      </c>
      <c r="K19" s="6"/>
      <c r="L19" s="17"/>
    </row>
    <row r="20" spans="1:12" x14ac:dyDescent="0.25">
      <c r="A20" s="235" t="s">
        <v>960</v>
      </c>
      <c r="B20" s="4">
        <v>4</v>
      </c>
      <c r="C20" s="4">
        <v>2800</v>
      </c>
      <c r="D20" s="4">
        <f>B20*C20</f>
        <v>11200</v>
      </c>
      <c r="E20" s="4">
        <f>D20*0.1</f>
        <v>1120</v>
      </c>
      <c r="F20" s="4">
        <v>0</v>
      </c>
      <c r="G20" s="4"/>
      <c r="H20" s="4"/>
      <c r="I20" s="4">
        <f>H20*$C$2</f>
        <v>0</v>
      </c>
      <c r="J20" s="51">
        <f>(D20+E20+F20+I20)*$C$3</f>
        <v>650.98879999999997</v>
      </c>
      <c r="K20" s="6"/>
      <c r="L20" s="17"/>
    </row>
    <row r="21" spans="1:12" x14ac:dyDescent="0.25">
      <c r="A21" s="235" t="s">
        <v>961</v>
      </c>
      <c r="B21" s="4">
        <v>3</v>
      </c>
      <c r="C21" s="4">
        <v>2800</v>
      </c>
      <c r="D21" s="4">
        <f>B21*C21</f>
        <v>8400</v>
      </c>
      <c r="E21" s="4">
        <f>D21*0.1</f>
        <v>840</v>
      </c>
      <c r="F21" s="4">
        <v>0</v>
      </c>
      <c r="G21" s="4"/>
      <c r="H21" s="4"/>
      <c r="I21" s="4">
        <f>H21*$C$2</f>
        <v>0</v>
      </c>
      <c r="J21" s="51">
        <f>(D21+E21+F21+I21)*$C$3</f>
        <v>488.24160000000001</v>
      </c>
      <c r="K21" s="6"/>
      <c r="L21" s="17"/>
    </row>
    <row r="22" spans="1:12" x14ac:dyDescent="0.25">
      <c r="A22" s="21" t="s">
        <v>962</v>
      </c>
      <c r="B22" s="4">
        <v>1</v>
      </c>
      <c r="C22" s="4">
        <v>9900</v>
      </c>
      <c r="D22" s="4">
        <f>B22*C22</f>
        <v>9900</v>
      </c>
      <c r="E22" s="4">
        <f>D22*0.1</f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zoomScale="70" zoomScaleNormal="70" workbookViewId="0">
      <selection activeCell="C2" sqref="C2"/>
    </sheetView>
  </sheetViews>
  <sheetFormatPr defaultRowHeight="15" x14ac:dyDescent="0.25"/>
  <cols>
    <col min="1" max="1" width="32.5703125" customWidth="1"/>
    <col min="3" max="3" width="14.140625" customWidth="1"/>
    <col min="6" max="6" width="10.85546875" customWidth="1"/>
    <col min="8" max="8" width="10.5703125" customWidth="1"/>
    <col min="11" max="11" width="11.5703125" customWidth="1"/>
    <col min="12" max="12" width="10.85546875" customWidth="1"/>
  </cols>
  <sheetData>
    <row r="1" spans="1:12" ht="21" x14ac:dyDescent="0.35">
      <c r="A1" s="55" t="s">
        <v>281</v>
      </c>
      <c r="B1" s="4"/>
      <c r="C1" s="189">
        <v>42724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870</v>
      </c>
      <c r="B6" s="152"/>
      <c r="C6" s="152"/>
      <c r="D6" s="2"/>
      <c r="E6" s="2"/>
      <c r="F6" s="152"/>
      <c r="G6" s="152"/>
      <c r="H6" s="2"/>
      <c r="I6" s="2"/>
      <c r="J6" s="52">
        <f>J7</f>
        <v>2158.3660479999999</v>
      </c>
      <c r="K6" s="10">
        <v>2200</v>
      </c>
      <c r="L6" s="10">
        <f>K6-J6</f>
        <v>41.633952000000136</v>
      </c>
    </row>
    <row r="7" spans="1:12" x14ac:dyDescent="0.25">
      <c r="A7" s="4" t="s">
        <v>951</v>
      </c>
      <c r="B7" s="4">
        <v>1</v>
      </c>
      <c r="C7" s="4">
        <v>33600</v>
      </c>
      <c r="D7" s="4">
        <f>B7*C7</f>
        <v>33600</v>
      </c>
      <c r="E7" s="4">
        <f>D7*0.1</f>
        <v>3360</v>
      </c>
      <c r="F7" s="4">
        <v>2500</v>
      </c>
      <c r="G7" s="4">
        <v>0.16</v>
      </c>
      <c r="H7" s="4">
        <f>G7*B7</f>
        <v>0.16</v>
      </c>
      <c r="I7" s="4">
        <f>H7*$C$2</f>
        <v>1387.2</v>
      </c>
      <c r="J7" s="51">
        <f>(D7+E7+F7+I7)*$C$3</f>
        <v>2158.3660479999999</v>
      </c>
      <c r="K7" s="6"/>
      <c r="L7" s="17"/>
    </row>
    <row r="8" spans="1:12" ht="31.5" x14ac:dyDescent="0.5">
      <c r="A8" s="152" t="s">
        <v>482</v>
      </c>
      <c r="B8" s="152"/>
      <c r="C8" s="152"/>
      <c r="D8" s="2"/>
      <c r="E8" s="2"/>
      <c r="F8" s="152"/>
      <c r="G8" s="152"/>
      <c r="H8" s="2"/>
      <c r="I8" s="2"/>
      <c r="J8" s="52">
        <f>SUM(J9:J9)</f>
        <v>1030.8291400000001</v>
      </c>
      <c r="K8" s="10">
        <f>1013+18</f>
        <v>1031</v>
      </c>
      <c r="L8" s="10">
        <f>K8-J8</f>
        <v>0.17085999999994783</v>
      </c>
    </row>
    <row r="9" spans="1:12" x14ac:dyDescent="0.25">
      <c r="A9" s="4" t="s">
        <v>952</v>
      </c>
      <c r="B9" s="4">
        <v>1</v>
      </c>
      <c r="C9" s="4">
        <v>13400</v>
      </c>
      <c r="D9" s="4">
        <f>B9*C9</f>
        <v>13400</v>
      </c>
      <c r="E9" s="4">
        <f>D9*0.1</f>
        <v>1340</v>
      </c>
      <c r="F9" s="4">
        <v>0</v>
      </c>
      <c r="G9" s="4">
        <v>0.55000000000000004</v>
      </c>
      <c r="H9" s="4">
        <f>G9*B9</f>
        <v>0.55000000000000004</v>
      </c>
      <c r="I9" s="4">
        <f>H9*$C$2</f>
        <v>4768.5</v>
      </c>
      <c r="J9" s="51">
        <f>(D9+E9+F9+I9)*$C$3</f>
        <v>1030.8291400000001</v>
      </c>
      <c r="K9" s="6"/>
      <c r="L9" s="17"/>
    </row>
    <row r="10" spans="1:12" ht="31.5" x14ac:dyDescent="0.5">
      <c r="A10" s="152" t="s">
        <v>953</v>
      </c>
      <c r="B10" s="152"/>
      <c r="C10" s="152"/>
      <c r="D10" s="2"/>
      <c r="E10" s="2"/>
      <c r="F10" s="152"/>
      <c r="G10" s="152"/>
      <c r="H10" s="2"/>
      <c r="I10" s="2"/>
      <c r="J10" s="52">
        <f>J11</f>
        <v>841.42415999999992</v>
      </c>
      <c r="K10" s="10">
        <f>832+9</f>
        <v>841</v>
      </c>
      <c r="L10" s="10">
        <f>K10-J10</f>
        <v>-0.42415999999991527</v>
      </c>
    </row>
    <row r="11" spans="1:12" x14ac:dyDescent="0.25">
      <c r="A11" s="21" t="s">
        <v>954</v>
      </c>
      <c r="B11" s="4">
        <v>1</v>
      </c>
      <c r="C11" s="4">
        <v>12900</v>
      </c>
      <c r="D11" s="4">
        <f>B11*C11</f>
        <v>12900</v>
      </c>
      <c r="E11" s="4">
        <f>D11*0.1</f>
        <v>1290</v>
      </c>
      <c r="F11" s="4">
        <v>0</v>
      </c>
      <c r="G11" s="4">
        <v>0.2</v>
      </c>
      <c r="H11" s="4">
        <f>G11*B11</f>
        <v>0.2</v>
      </c>
      <c r="I11" s="4">
        <f>H11*$C$2</f>
        <v>1734</v>
      </c>
      <c r="J11" s="51">
        <f>(D11+E11+F11+I11)*$C$3</f>
        <v>841.42415999999992</v>
      </c>
      <c r="K11" s="6"/>
      <c r="L11" s="17"/>
    </row>
    <row r="12" spans="1:12" ht="31.5" x14ac:dyDescent="0.5">
      <c r="A12" s="152" t="s">
        <v>841</v>
      </c>
      <c r="B12" s="152"/>
      <c r="C12" s="152"/>
      <c r="D12" s="2"/>
      <c r="E12" s="2"/>
      <c r="F12" s="152"/>
      <c r="G12" s="152"/>
      <c r="H12" s="2"/>
      <c r="I12" s="2"/>
      <c r="J12" s="52">
        <f>SUM(J13:J13)</f>
        <v>929.12534999999991</v>
      </c>
      <c r="K12" s="10">
        <v>914</v>
      </c>
      <c r="L12" s="10">
        <f>K12-J12</f>
        <v>-15.125349999999912</v>
      </c>
    </row>
    <row r="13" spans="1:12" x14ac:dyDescent="0.25">
      <c r="A13" s="21" t="s">
        <v>539</v>
      </c>
      <c r="B13" s="4">
        <v>1</v>
      </c>
      <c r="C13" s="4">
        <v>15000</v>
      </c>
      <c r="D13" s="4">
        <f>B13*C13</f>
        <v>15000</v>
      </c>
      <c r="E13" s="4">
        <f>D13*0.1</f>
        <v>1500</v>
      </c>
      <c r="F13" s="4">
        <v>0</v>
      </c>
      <c r="G13" s="4">
        <v>0.125</v>
      </c>
      <c r="H13" s="4">
        <f>G13*B13</f>
        <v>0.125</v>
      </c>
      <c r="I13" s="4">
        <f>H13*$C$2</f>
        <v>1083.75</v>
      </c>
      <c r="J13" s="51">
        <f>(D13+E13+F13+I13)*$C$3</f>
        <v>929.12534999999991</v>
      </c>
      <c r="K13" s="6"/>
      <c r="L13" s="17"/>
    </row>
    <row r="14" spans="1:12" ht="31.5" x14ac:dyDescent="0.5">
      <c r="A14" s="152" t="s">
        <v>955</v>
      </c>
      <c r="B14" s="152"/>
      <c r="C14" s="152"/>
      <c r="D14" s="2"/>
      <c r="E14" s="2"/>
      <c r="F14" s="152"/>
      <c r="G14" s="152"/>
      <c r="H14" s="152"/>
      <c r="I14" s="2"/>
      <c r="J14" s="52">
        <f>SUM(J15:J16)</f>
        <v>1312.949826</v>
      </c>
      <c r="K14" s="10">
        <v>1249</v>
      </c>
      <c r="L14" s="10">
        <f>K14-J14</f>
        <v>-63.94982600000003</v>
      </c>
    </row>
    <row r="15" spans="1:12" x14ac:dyDescent="0.25">
      <c r="A15" s="4" t="s">
        <v>956</v>
      </c>
      <c r="B15" s="4">
        <v>1</v>
      </c>
      <c r="C15" s="4">
        <v>6700</v>
      </c>
      <c r="D15" s="4">
        <f>B15*C15</f>
        <v>6700</v>
      </c>
      <c r="E15" s="4">
        <f>D15*0.1</f>
        <v>670</v>
      </c>
      <c r="F15" s="4">
        <v>0</v>
      </c>
      <c r="G15" s="4">
        <v>0.27500000000000002</v>
      </c>
      <c r="H15" s="4">
        <v>0.27500000000000002</v>
      </c>
      <c r="I15" s="4">
        <f>H15*$C$2</f>
        <v>2384.25</v>
      </c>
      <c r="J15" s="51">
        <f>(D15+E15+F15+I15)*$C$3</f>
        <v>515.41457000000003</v>
      </c>
      <c r="K15" s="6"/>
      <c r="L15" s="17"/>
    </row>
    <row r="16" spans="1:12" x14ac:dyDescent="0.25">
      <c r="A16" s="4" t="s">
        <v>241</v>
      </c>
      <c r="B16" s="4">
        <v>1</v>
      </c>
      <c r="C16" s="4">
        <v>7350</v>
      </c>
      <c r="D16" s="4">
        <f>B16*C16</f>
        <v>7350</v>
      </c>
      <c r="E16" s="4">
        <f>D16*0.1</f>
        <v>735</v>
      </c>
      <c r="F16" s="4">
        <v>2500</v>
      </c>
      <c r="G16" s="4">
        <v>0.52</v>
      </c>
      <c r="H16" s="4">
        <v>0.52</v>
      </c>
      <c r="I16" s="4">
        <f>H16*$C$2</f>
        <v>4508.4000000000005</v>
      </c>
      <c r="J16" s="51">
        <f>(D16+E16+F16+I16)*$C$3</f>
        <v>797.535256</v>
      </c>
      <c r="K16" s="6"/>
      <c r="L16" s="17"/>
    </row>
    <row r="17" spans="1:12" ht="31.5" x14ac:dyDescent="0.5">
      <c r="A17" s="152" t="s">
        <v>957</v>
      </c>
      <c r="B17" s="152"/>
      <c r="C17" s="152"/>
      <c r="D17" s="2"/>
      <c r="E17" s="2"/>
      <c r="F17" s="152"/>
      <c r="G17" s="152"/>
      <c r="H17" s="152"/>
      <c r="I17" s="2"/>
      <c r="J17" s="52">
        <f>SUM(J18:J22)</f>
        <v>3454.25648</v>
      </c>
      <c r="K17" s="10">
        <v>3711</v>
      </c>
      <c r="L17" s="10">
        <f>K17-J17</f>
        <v>256.74351999999999</v>
      </c>
    </row>
    <row r="18" spans="1:12" x14ac:dyDescent="0.25">
      <c r="A18" s="235" t="s">
        <v>958</v>
      </c>
      <c r="B18" s="4">
        <v>5</v>
      </c>
      <c r="C18" s="4">
        <v>2800</v>
      </c>
      <c r="D18" s="4">
        <f>B18*C18</f>
        <v>14000</v>
      </c>
      <c r="E18" s="4">
        <f>D18*0.1</f>
        <v>1400</v>
      </c>
      <c r="F18" s="4">
        <v>0</v>
      </c>
      <c r="G18" s="4">
        <v>0.28999999999999998</v>
      </c>
      <c r="H18" s="4">
        <v>0.28999999999999998</v>
      </c>
      <c r="I18" s="4">
        <f>H18*$C$2</f>
        <v>2514.2999999999997</v>
      </c>
      <c r="J18" s="51">
        <f>(D18+E18+F18+I18)*$C$3</f>
        <v>946.59161199999994</v>
      </c>
      <c r="K18" s="6"/>
      <c r="L18" s="17"/>
    </row>
    <row r="19" spans="1:12" x14ac:dyDescent="0.25">
      <c r="A19" s="235" t="s">
        <v>959</v>
      </c>
      <c r="B19" s="4">
        <v>4</v>
      </c>
      <c r="C19" s="4">
        <v>2800</v>
      </c>
      <c r="D19" s="4">
        <f>B19*C19</f>
        <v>11200</v>
      </c>
      <c r="E19" s="4">
        <f>D19*0.1</f>
        <v>1120</v>
      </c>
      <c r="F19" s="4">
        <v>0</v>
      </c>
      <c r="G19" s="4"/>
      <c r="H19" s="4"/>
      <c r="I19" s="4">
        <f>H19*$C$2</f>
        <v>0</v>
      </c>
      <c r="J19" s="51">
        <f>(D19+E19+F19+I19)*$C$3</f>
        <v>650.98879999999997</v>
      </c>
      <c r="K19" s="6"/>
      <c r="L19" s="17"/>
    </row>
    <row r="20" spans="1:12" x14ac:dyDescent="0.25">
      <c r="A20" s="235" t="s">
        <v>960</v>
      </c>
      <c r="B20" s="4">
        <v>4</v>
      </c>
      <c r="C20" s="4">
        <v>2800</v>
      </c>
      <c r="D20" s="4">
        <f>B20*C20</f>
        <v>11200</v>
      </c>
      <c r="E20" s="4">
        <f>D20*0.1</f>
        <v>1120</v>
      </c>
      <c r="F20" s="4">
        <v>0</v>
      </c>
      <c r="G20" s="4"/>
      <c r="H20" s="4"/>
      <c r="I20" s="4">
        <f>H20*$C$2</f>
        <v>0</v>
      </c>
      <c r="J20" s="51">
        <f>(D20+E20+F20+I20)*$C$3</f>
        <v>650.98879999999997</v>
      </c>
      <c r="K20" s="6"/>
      <c r="L20" s="17"/>
    </row>
    <row r="21" spans="1:12" x14ac:dyDescent="0.25">
      <c r="A21" s="235" t="s">
        <v>961</v>
      </c>
      <c r="B21" s="4">
        <v>3</v>
      </c>
      <c r="C21" s="4">
        <v>2800</v>
      </c>
      <c r="D21" s="4">
        <f>B21*C21</f>
        <v>8400</v>
      </c>
      <c r="E21" s="4">
        <f>D21*0.1</f>
        <v>840</v>
      </c>
      <c r="F21" s="4">
        <v>0</v>
      </c>
      <c r="G21" s="4"/>
      <c r="H21" s="4"/>
      <c r="I21" s="4">
        <f>H21*$C$2</f>
        <v>0</v>
      </c>
      <c r="J21" s="51">
        <f>(D21+E21+F21+I21)*$C$3</f>
        <v>488.24160000000001</v>
      </c>
      <c r="K21" s="6"/>
      <c r="L21" s="17"/>
    </row>
    <row r="22" spans="1:12" x14ac:dyDescent="0.25">
      <c r="A22" s="21" t="s">
        <v>962</v>
      </c>
      <c r="B22" s="4">
        <v>1</v>
      </c>
      <c r="C22" s="4">
        <v>9900</v>
      </c>
      <c r="D22" s="4">
        <f>B22*C22</f>
        <v>9900</v>
      </c>
      <c r="E22" s="4">
        <f>D22*0.1</f>
        <v>990</v>
      </c>
      <c r="F22" s="4">
        <v>0</v>
      </c>
      <c r="G22" s="4">
        <v>0.31</v>
      </c>
      <c r="H22" s="4">
        <f>G22*B22</f>
        <v>0.31</v>
      </c>
      <c r="I22" s="4">
        <f>H22*$C$2</f>
        <v>2687.7</v>
      </c>
      <c r="J22" s="51">
        <f>(D22+E22+F22+I22)*$C$3</f>
        <v>717.44566800000007</v>
      </c>
      <c r="K22" s="6"/>
      <c r="L22" s="17"/>
    </row>
  </sheetData>
  <hyperlinks>
    <hyperlink ref="A6" r:id="rId1" display="http://forum.sibmama.ru/viewtopic.php?t=715424&amp;skw=%CA%EB%F3%E1%EE%EA&amp;sko=0"/>
    <hyperlink ref="A12" r:id="rId2" display="http://forum.sibmama.ru/viewtopic.php?t=715424&amp;start=2887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>B11*C11</f>
        <v>8000</v>
      </c>
      <c r="E11" s="4">
        <f>D11*0.05</f>
        <v>400</v>
      </c>
      <c r="F11" s="4">
        <f>2500/8</f>
        <v>312.5</v>
      </c>
      <c r="G11" s="4">
        <f>0.2/2</f>
        <v>0.1</v>
      </c>
      <c r="H11" s="4">
        <f>G11</f>
        <v>0.1</v>
      </c>
      <c r="I11" s="4">
        <f>H11*$C$2</f>
        <v>672</v>
      </c>
      <c r="J11" s="51">
        <f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>B13*C13</f>
        <v>3966.6666666666665</v>
      </c>
      <c r="E13" s="4">
        <f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>B15*C15</f>
        <v>3966.6666666666665</v>
      </c>
      <c r="E15" s="4">
        <f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>B17*C17</f>
        <v>3966.6666666666665</v>
      </c>
      <c r="E17" s="4">
        <f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>K18-J18</f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>B19*C19</f>
        <v>5333.333333333333</v>
      </c>
      <c r="E19" s="44">
        <f>D19*0.05</f>
        <v>266.66666666666669</v>
      </c>
      <c r="F19" s="4">
        <v>0</v>
      </c>
      <c r="G19" s="4">
        <v>0.1</v>
      </c>
      <c r="H19" s="4">
        <f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>K20-J20</f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>B21*C21</f>
        <v>5333.333333333333</v>
      </c>
      <c r="E21" s="44">
        <f>D21*0.05</f>
        <v>266.66666666666669</v>
      </c>
      <c r="F21" s="4">
        <v>0</v>
      </c>
      <c r="G21" s="4">
        <v>0.1</v>
      </c>
      <c r="H21" s="4">
        <f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>K22-J22</f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>B23*C23</f>
        <v>7933.333333333333</v>
      </c>
      <c r="E23" s="4">
        <f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>B24*C24</f>
        <v>5333.333333333333</v>
      </c>
      <c r="E24" s="44">
        <f>D24*0.05</f>
        <v>266.66666666666669</v>
      </c>
      <c r="F24" s="4">
        <v>0</v>
      </c>
      <c r="G24" s="4">
        <v>0.1</v>
      </c>
      <c r="H24" s="4">
        <f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>B26*C26</f>
        <v>3966.6666666666665</v>
      </c>
      <c r="E26" s="4">
        <f>D26*0.05</f>
        <v>198.33333333333334</v>
      </c>
      <c r="F26" s="4">
        <v>0</v>
      </c>
      <c r="G26" s="4">
        <f>0.51/3</f>
        <v>0.17</v>
      </c>
      <c r="H26" s="4">
        <f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>K27-J27</f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>D28*0.05</f>
        <v>222.5</v>
      </c>
      <c r="F28" s="4">
        <v>0</v>
      </c>
      <c r="G28" s="4">
        <v>0.2</v>
      </c>
      <c r="H28" s="40">
        <f>G28*B28</f>
        <v>0.2</v>
      </c>
      <c r="I28" s="4">
        <f>H28*$C$2</f>
        <v>1344</v>
      </c>
      <c r="J28" s="51">
        <f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>B29*C29</f>
        <v>3966.6666666666665</v>
      </c>
      <c r="E29" s="4">
        <f>D29*0.05</f>
        <v>198.33333333333334</v>
      </c>
      <c r="F29" s="4">
        <v>0</v>
      </c>
      <c r="G29" s="4">
        <f>0.51/3</f>
        <v>0.17</v>
      </c>
      <c r="H29" s="4">
        <f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>B30*C30</f>
        <v>5333.333333333333</v>
      </c>
      <c r="E30" s="44">
        <f>D30*0.05</f>
        <v>266.66666666666669</v>
      </c>
      <c r="F30" s="4">
        <v>0</v>
      </c>
      <c r="G30" s="4">
        <v>0.1</v>
      </c>
      <c r="H30" s="4">
        <f>G30</f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>K33-J33</f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9" si="1">B34*C34</f>
        <v>9900</v>
      </c>
      <c r="E34" s="4">
        <f t="shared" ref="E34:E39" si="2">D34*0.05</f>
        <v>495</v>
      </c>
      <c r="F34" s="4">
        <v>0</v>
      </c>
      <c r="G34" s="4">
        <v>0.39</v>
      </c>
      <c r="H34" s="4">
        <f t="shared" ref="H34:H39" si="3">G34*B34</f>
        <v>0.39</v>
      </c>
      <c r="I34" s="4">
        <f t="shared" ref="I34:I39" si="4">H34*$C$2</f>
        <v>2620.8000000000002</v>
      </c>
      <c r="J34" s="51">
        <f t="shared" ref="J34:J39" si="5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1"/>
        <v>3300</v>
      </c>
      <c r="E35" s="4">
        <f t="shared" si="2"/>
        <v>165</v>
      </c>
      <c r="F35" s="4">
        <v>0</v>
      </c>
      <c r="G35" s="4">
        <v>0.34</v>
      </c>
      <c r="H35" s="4">
        <f t="shared" si="3"/>
        <v>0.34</v>
      </c>
      <c r="I35" s="4">
        <f t="shared" si="4"/>
        <v>2284.8000000000002</v>
      </c>
      <c r="J35" s="51">
        <f t="shared" si="5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si="1"/>
        <v>2000</v>
      </c>
      <c r="E36" s="4">
        <f t="shared" si="2"/>
        <v>100</v>
      </c>
      <c r="F36" s="4">
        <v>0</v>
      </c>
      <c r="G36" s="4">
        <v>0.4</v>
      </c>
      <c r="H36" s="4">
        <f t="shared" si="3"/>
        <v>0.4</v>
      </c>
      <c r="I36" s="4">
        <f t="shared" si="4"/>
        <v>2688</v>
      </c>
      <c r="J36" s="51">
        <f t="shared" si="5"/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1"/>
        <v>2000</v>
      </c>
      <c r="E37" s="4">
        <f t="shared" si="2"/>
        <v>100</v>
      </c>
      <c r="F37" s="4">
        <v>0</v>
      </c>
      <c r="G37" s="4">
        <v>0.4</v>
      </c>
      <c r="H37" s="4">
        <f t="shared" si="3"/>
        <v>0.4</v>
      </c>
      <c r="I37" s="4">
        <f t="shared" si="4"/>
        <v>2688</v>
      </c>
      <c r="J37" s="51">
        <f t="shared" si="5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1"/>
        <v>9900</v>
      </c>
      <c r="E38" s="4">
        <f t="shared" si="2"/>
        <v>495</v>
      </c>
      <c r="F38" s="4">
        <v>0</v>
      </c>
      <c r="G38" s="4">
        <v>1.03</v>
      </c>
      <c r="H38" s="4">
        <f t="shared" si="3"/>
        <v>1.03</v>
      </c>
      <c r="I38" s="4">
        <f t="shared" si="4"/>
        <v>6921.6</v>
      </c>
      <c r="J38" s="51">
        <f t="shared" si="5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1"/>
        <v>10666.666666666666</v>
      </c>
      <c r="E39" s="44">
        <f t="shared" si="2"/>
        <v>533.33333333333337</v>
      </c>
      <c r="F39" s="4">
        <v>0</v>
      </c>
      <c r="G39" s="4">
        <v>0.1</v>
      </c>
      <c r="H39" s="4">
        <f t="shared" si="3"/>
        <v>0.2</v>
      </c>
      <c r="I39" s="4">
        <f t="shared" si="4"/>
        <v>1344</v>
      </c>
      <c r="J39" s="51">
        <f t="shared" si="5"/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>(D41+E41+F41+I41)*$C$4</f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>B42*C42</f>
        <v>3966.6666666666665</v>
      </c>
      <c r="E42" s="4">
        <f>D42*0.05</f>
        <v>198.33333333333334</v>
      </c>
      <c r="F42" s="4">
        <v>0</v>
      </c>
      <c r="G42" s="4">
        <f>0.51/3</f>
        <v>0.17</v>
      </c>
      <c r="H42" s="4">
        <f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>B43*C43</f>
        <v>5700</v>
      </c>
      <c r="E43" s="4">
        <f>D43*0.05</f>
        <v>285</v>
      </c>
      <c r="F43" s="4">
        <f>2500/4</f>
        <v>625</v>
      </c>
      <c r="G43" s="4">
        <v>0.3</v>
      </c>
      <c r="H43" s="4">
        <f>G43</f>
        <v>0.3</v>
      </c>
      <c r="I43" s="4">
        <f>H43*$C$2</f>
        <v>2016</v>
      </c>
      <c r="J43" s="51">
        <f>(D43+E43+F43+I43)*$C$4</f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>K44-J44</f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>H45*$C$2</f>
        <v>2688</v>
      </c>
      <c r="J45" s="51">
        <f>(D45+E45+F45+I45)*$C$4</f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>B46*C46</f>
        <v>5220</v>
      </c>
      <c r="E46" s="4">
        <f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>H46*$C$2</f>
        <v>1344</v>
      </c>
      <c r="J46" s="51">
        <f>(D46+E46+F46+I46)*$C$4</f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>B47*C47</f>
        <v>5333.333333333333</v>
      </c>
      <c r="E47" s="44">
        <f>D47*0.05</f>
        <v>266.66666666666669</v>
      </c>
      <c r="F47" s="4">
        <v>0</v>
      </c>
      <c r="G47" s="4">
        <v>0.1</v>
      </c>
      <c r="H47" s="4">
        <f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>D48*0.05</f>
        <v>222.5</v>
      </c>
      <c r="F48" s="4">
        <v>0</v>
      </c>
      <c r="G48" s="4">
        <v>0.2</v>
      </c>
      <c r="H48" s="40">
        <f>G48*B48</f>
        <v>0.2</v>
      </c>
      <c r="I48" s="4">
        <f>H48*$C$2</f>
        <v>1344</v>
      </c>
      <c r="J48" s="51">
        <f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>B50*C50</f>
        <v>3300</v>
      </c>
      <c r="E50" s="4">
        <f>D50*0.05</f>
        <v>165</v>
      </c>
      <c r="F50" s="4">
        <v>0</v>
      </c>
      <c r="G50" s="4">
        <v>0.4</v>
      </c>
      <c r="H50" s="38">
        <f>G50*B50</f>
        <v>0.4</v>
      </c>
      <c r="I50" s="4">
        <f>H50*$C$2</f>
        <v>2688</v>
      </c>
      <c r="J50" s="51">
        <f>(D50+E50+F50+I50)*$C$4</f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>B51*C51</f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>H51*$C$2</f>
        <v>2016</v>
      </c>
      <c r="J51" s="51">
        <f>(D51+E51+F51+I51)*$C$4</f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>B52*C52</f>
        <v>8000</v>
      </c>
      <c r="E52" s="4">
        <f>D52*0.05</f>
        <v>400</v>
      </c>
      <c r="F52" s="4">
        <f>2500/8</f>
        <v>312.5</v>
      </c>
      <c r="G52" s="4">
        <f>0.2/2</f>
        <v>0.1</v>
      </c>
      <c r="H52" s="4">
        <f>G52</f>
        <v>0.1</v>
      </c>
      <c r="I52" s="4">
        <f>H52*$C$2</f>
        <v>672</v>
      </c>
      <c r="J52" s="51">
        <f>(D52+E52+F52+I52)*$C$4</f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>B53*C53</f>
        <v>3966.6666666666665</v>
      </c>
      <c r="E53" s="4">
        <f>D53*0.05</f>
        <v>198.33333333333334</v>
      </c>
      <c r="F53" s="4">
        <v>0</v>
      </c>
      <c r="G53" s="4">
        <f>0.51/3</f>
        <v>0.17</v>
      </c>
      <c r="H53" s="4">
        <f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>B54*C54</f>
        <v>5333.333333333333</v>
      </c>
      <c r="E54" s="44">
        <f>D54*0.05</f>
        <v>266.66666666666669</v>
      </c>
      <c r="F54" s="4">
        <v>0</v>
      </c>
      <c r="G54" s="4">
        <v>0.1</v>
      </c>
      <c r="H54" s="4">
        <f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>K55-J55</f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>B56*C56</f>
        <v>5400</v>
      </c>
      <c r="E56" s="4">
        <f>D56*0.05</f>
        <v>270</v>
      </c>
      <c r="F56" s="5">
        <v>2300</v>
      </c>
      <c r="G56" s="5">
        <v>0.3</v>
      </c>
      <c r="H56" s="38">
        <f>G56*B56</f>
        <v>0.3</v>
      </c>
      <c r="I56" s="4">
        <f>H56*$C$2</f>
        <v>2016</v>
      </c>
      <c r="J56" s="51">
        <f>(D56+E56+F56+I56)*$C$4</f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>B57*C57</f>
        <v>15000</v>
      </c>
      <c r="E57" s="4">
        <f>D57*0.05</f>
        <v>750</v>
      </c>
      <c r="F57" s="5">
        <v>0</v>
      </c>
      <c r="G57" s="5">
        <v>0.31</v>
      </c>
      <c r="H57" s="38">
        <f>G57*B57</f>
        <v>0.31</v>
      </c>
      <c r="I57" s="4">
        <f>H57*$C$2</f>
        <v>2083.1999999999998</v>
      </c>
      <c r="J57" s="51">
        <f>(D57+E57+F57+I57)*$C$4</f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>B58*C58</f>
        <v>14700</v>
      </c>
      <c r="E58" s="4">
        <f>D58*0.05</f>
        <v>735</v>
      </c>
      <c r="F58" s="5">
        <f>2500/5</f>
        <v>500</v>
      </c>
      <c r="G58" s="5">
        <v>0.3</v>
      </c>
      <c r="H58" s="38">
        <f>G58*B58</f>
        <v>0.89999999999999991</v>
      </c>
      <c r="I58" s="4">
        <f>H58*$C$2</f>
        <v>6047.9999999999991</v>
      </c>
      <c r="J58" s="51">
        <f>(D58+E58+F58+I58)*$C$4</f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>B59*C59</f>
        <v>45600</v>
      </c>
      <c r="E59" s="4">
        <f>D59*0.05</f>
        <v>2280</v>
      </c>
      <c r="F59" s="5">
        <v>0</v>
      </c>
      <c r="G59" s="5">
        <v>0.78</v>
      </c>
      <c r="H59" s="38">
        <f>G59*B59</f>
        <v>0.78</v>
      </c>
      <c r="I59" s="4">
        <f>H59*$C$2</f>
        <v>5241.6000000000004</v>
      </c>
      <c r="J59" s="51">
        <f>(D59+E59+F59+I59)*$C$4</f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>K60-J60</f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>B61*C61</f>
        <v>8000</v>
      </c>
      <c r="E61" s="4">
        <f>D61*0.05</f>
        <v>400</v>
      </c>
      <c r="F61" s="4">
        <f>2500/8</f>
        <v>312.5</v>
      </c>
      <c r="G61" s="4">
        <f>0.2/2</f>
        <v>0.1</v>
      </c>
      <c r="H61" s="4">
        <f>G61</f>
        <v>0.1</v>
      </c>
      <c r="I61" s="4">
        <f>H61*$C$2</f>
        <v>672</v>
      </c>
      <c r="J61" s="51">
        <f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>H62*$C$2</f>
        <v>2016</v>
      </c>
      <c r="J62" s="51">
        <f>(D62+E62+F62+I62)*$C$4</f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>B63*C63</f>
        <v>15000</v>
      </c>
      <c r="E63" s="4">
        <f>D63*0.05</f>
        <v>750</v>
      </c>
      <c r="F63" s="5">
        <v>0</v>
      </c>
      <c r="G63" s="5">
        <v>0.31</v>
      </c>
      <c r="H63" s="38">
        <f>G63*B63</f>
        <v>0.31</v>
      </c>
      <c r="I63" s="4">
        <f>H63*$C$2</f>
        <v>2083.1999999999998</v>
      </c>
      <c r="J63" s="51">
        <f>(D63+E63+F63+I63)*$C$4</f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>B64*C64</f>
        <v>22000</v>
      </c>
      <c r="E64" s="4">
        <f>D64*0.05</f>
        <v>1100</v>
      </c>
      <c r="F64" s="5">
        <v>0</v>
      </c>
      <c r="G64" s="5">
        <v>0.31</v>
      </c>
      <c r="H64" s="38">
        <f>G64*B64</f>
        <v>0.31</v>
      </c>
      <c r="I64" s="4">
        <f>H64*$C$2</f>
        <v>2083.1999999999998</v>
      </c>
      <c r="J64" s="51">
        <f>(D64+E64+F64+I64)*$C$4</f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>B66*C66</f>
        <v>9000</v>
      </c>
      <c r="E66" s="4">
        <f>D66*0.05</f>
        <v>450</v>
      </c>
      <c r="F66" s="4">
        <v>2500</v>
      </c>
      <c r="G66" s="4">
        <v>0.4</v>
      </c>
      <c r="H66" s="4">
        <f>G66</f>
        <v>0.4</v>
      </c>
      <c r="I66" s="4">
        <f>H66*$C$2</f>
        <v>2688</v>
      </c>
      <c r="J66" s="51">
        <f>(D66+E66+F66+I66)*$C$4</f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>B68*C68</f>
        <v>3966.6666666666665</v>
      </c>
      <c r="E68" s="4">
        <f>D68*0.05</f>
        <v>198.33333333333334</v>
      </c>
      <c r="F68" s="4">
        <v>0</v>
      </c>
      <c r="G68" s="4">
        <f>0.51/3</f>
        <v>0.17</v>
      </c>
      <c r="H68" s="4">
        <f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>B69*C69</f>
        <v>5333.333333333333</v>
      </c>
      <c r="E69" s="4">
        <f>D69*0.05</f>
        <v>266.66666666666669</v>
      </c>
      <c r="F69" s="4">
        <v>0</v>
      </c>
      <c r="G69" s="4">
        <v>0.1</v>
      </c>
      <c r="H69" s="4">
        <f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>D71*0.05</f>
        <v>175</v>
      </c>
      <c r="F71" s="4">
        <v>2500</v>
      </c>
      <c r="G71" s="4">
        <v>0.2</v>
      </c>
      <c r="H71" s="38">
        <f>G71*B71</f>
        <v>0.2</v>
      </c>
      <c r="I71" s="4">
        <f>H71*$C$2</f>
        <v>1344</v>
      </c>
      <c r="J71" s="51">
        <f>(D71+E71+F71+I71)*$C$4</f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>K72-J72</f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>D73*0.05</f>
        <v>790</v>
      </c>
      <c r="F73" s="4">
        <v>0</v>
      </c>
      <c r="G73" s="38">
        <v>0.4</v>
      </c>
      <c r="H73" s="38">
        <f>G73*B73</f>
        <v>0.4</v>
      </c>
      <c r="I73" s="4">
        <f>H73*$C$2</f>
        <v>2688</v>
      </c>
      <c r="J73" s="51">
        <f>(D73+E73+F73+I73)*$C$4</f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>B74*C74</f>
        <v>6400</v>
      </c>
      <c r="E74" s="4">
        <f>D74*0.05</f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>B75*C75</f>
        <v>3966.6666666666665</v>
      </c>
      <c r="E75" s="4">
        <f>D75*0.05</f>
        <v>198.33333333333334</v>
      </c>
      <c r="F75" s="4">
        <v>0</v>
      </c>
      <c r="G75" s="4">
        <f>0.51/3</f>
        <v>0.17</v>
      </c>
      <c r="H75" s="4">
        <f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>B76*C76</f>
        <v>5333.333333333333</v>
      </c>
      <c r="E76" s="44">
        <f>D76*0.05</f>
        <v>266.66666666666669</v>
      </c>
      <c r="F76" s="4">
        <v>0</v>
      </c>
      <c r="G76" s="4">
        <v>0.1</v>
      </c>
      <c r="H76" s="4">
        <f>G76</f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83" si="6">B78*C78</f>
        <v>9900</v>
      </c>
      <c r="E78" s="4">
        <f t="shared" ref="E78:E83" si="7">D78*0.05</f>
        <v>495</v>
      </c>
      <c r="F78" s="4">
        <v>0</v>
      </c>
      <c r="G78" s="4">
        <v>1.03</v>
      </c>
      <c r="H78" s="40">
        <f>G78*B78</f>
        <v>1.03</v>
      </c>
      <c r="I78" s="4">
        <f t="shared" ref="I78:I83" si="8">H78*$C$2</f>
        <v>6921.6</v>
      </c>
      <c r="J78" s="51">
        <f t="shared" ref="J78:J83" si="9"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6"/>
        <v>3966.6666666666665</v>
      </c>
      <c r="E79" s="4">
        <f t="shared" si="7"/>
        <v>198.33333333333334</v>
      </c>
      <c r="F79" s="4">
        <v>0</v>
      </c>
      <c r="G79" s="4">
        <f>0.51/3</f>
        <v>0.17</v>
      </c>
      <c r="H79" s="4">
        <f>G79</f>
        <v>0.17</v>
      </c>
      <c r="I79" s="4">
        <f t="shared" si="8"/>
        <v>1142.4000000000001</v>
      </c>
      <c r="J79" s="51">
        <f t="shared" si="9"/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si="6"/>
        <v>8000</v>
      </c>
      <c r="E80" s="4">
        <f t="shared" si="7"/>
        <v>400</v>
      </c>
      <c r="F80" s="4">
        <f>2500/8</f>
        <v>312.5</v>
      </c>
      <c r="G80" s="4">
        <f>0.2/2</f>
        <v>0.1</v>
      </c>
      <c r="H80" s="4">
        <f>G80</f>
        <v>0.1</v>
      </c>
      <c r="I80" s="4">
        <f t="shared" si="8"/>
        <v>672</v>
      </c>
      <c r="J80" s="51">
        <f t="shared" si="9"/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6"/>
        <v>5333.333333333333</v>
      </c>
      <c r="E81" s="44">
        <f t="shared" si="7"/>
        <v>266.66666666666669</v>
      </c>
      <c r="F81" s="4">
        <v>0</v>
      </c>
      <c r="G81" s="4">
        <v>0.1</v>
      </c>
      <c r="H81" s="4">
        <f>G81</f>
        <v>0.1</v>
      </c>
      <c r="I81" s="4">
        <f t="shared" si="8"/>
        <v>672</v>
      </c>
      <c r="J81" s="51">
        <f t="shared" si="9"/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si="6"/>
        <v>5990</v>
      </c>
      <c r="E82" s="4">
        <f t="shared" si="7"/>
        <v>299.5</v>
      </c>
      <c r="F82" s="4">
        <v>2500</v>
      </c>
      <c r="G82" s="4">
        <v>0.2</v>
      </c>
      <c r="H82" s="4">
        <f>G82</f>
        <v>0.2</v>
      </c>
      <c r="I82" s="4">
        <f t="shared" si="8"/>
        <v>1344</v>
      </c>
      <c r="J82" s="51">
        <f t="shared" si="9"/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6"/>
        <v>5220</v>
      </c>
      <c r="E83" s="4">
        <f t="shared" si="7"/>
        <v>261</v>
      </c>
      <c r="F83" s="4">
        <f>2500/2</f>
        <v>1250</v>
      </c>
      <c r="G83" s="4">
        <v>0.2</v>
      </c>
      <c r="H83" s="4">
        <f>G83</f>
        <v>0.2</v>
      </c>
      <c r="I83" s="4">
        <f t="shared" si="8"/>
        <v>1344</v>
      </c>
      <c r="J83" s="51">
        <f t="shared" si="9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>D85*0.05</f>
        <v>445</v>
      </c>
      <c r="F85" s="4">
        <v>0</v>
      </c>
      <c r="G85" s="4">
        <v>0.4</v>
      </c>
      <c r="H85" s="40">
        <f>G85*B85</f>
        <v>0.4</v>
      </c>
      <c r="I85" s="4">
        <f>H85*$C$2</f>
        <v>2688</v>
      </c>
      <c r="J85" s="51">
        <f>(D85+E85+F85+I85)*$C$4</f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>K86-J86</f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>D87*0.05</f>
        <v>495</v>
      </c>
      <c r="F87" s="4">
        <v>2500</v>
      </c>
      <c r="G87" s="4">
        <v>0.2</v>
      </c>
      <c r="H87" s="4">
        <f>G87</f>
        <v>0.2</v>
      </c>
      <c r="I87" s="4">
        <f>H87*$C$2</f>
        <v>1344</v>
      </c>
      <c r="J87" s="51">
        <f>(D87+E87+F87+I87)*$C$4</f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>K88-J88</f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>D89*0.05</f>
        <v>165</v>
      </c>
      <c r="F89">
        <v>2500</v>
      </c>
      <c r="G89">
        <v>0.3</v>
      </c>
      <c r="H89">
        <f>G89</f>
        <v>0.3</v>
      </c>
      <c r="I89" s="4">
        <f>H89*$C$2</f>
        <v>2016</v>
      </c>
      <c r="J89" s="51">
        <f>(D89+E89+F89+I89)*$C$4</f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>B90*C90</f>
        <v>5333.333333333333</v>
      </c>
      <c r="E90" s="4">
        <f>D90*0.05</f>
        <v>266.66666666666669</v>
      </c>
      <c r="F90" s="4">
        <v>0</v>
      </c>
      <c r="G90" s="4">
        <v>0.1</v>
      </c>
      <c r="H90" s="4">
        <f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>K91-J91</f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>H92*$C$2</f>
        <v>3225.6</v>
      </c>
      <c r="J92" s="51">
        <f>(D92+E92+F92+I92)*$C$4</f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>B93*C93</f>
        <v>5333.333333333333</v>
      </c>
      <c r="E93" s="4">
        <f>D93*0.05</f>
        <v>266.66666666666669</v>
      </c>
      <c r="F93" s="4">
        <v>0</v>
      </c>
      <c r="G93" s="4">
        <v>0.1</v>
      </c>
      <c r="H93" s="4">
        <f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>B94*C94</f>
        <v>3200</v>
      </c>
      <c r="E94" s="4">
        <f>D94*0.05</f>
        <v>160</v>
      </c>
      <c r="F94" s="4">
        <f>2500/3</f>
        <v>833.33333333333337</v>
      </c>
      <c r="G94" s="4">
        <f>0.4/3</f>
        <v>0.13333333333333333</v>
      </c>
      <c r="H94" s="4">
        <f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>D95*0.05</f>
        <v>222.5</v>
      </c>
      <c r="F95" s="4">
        <v>0</v>
      </c>
      <c r="G95" s="4">
        <v>0.2</v>
      </c>
      <c r="H95" s="40">
        <f>G95*B95</f>
        <v>0.2</v>
      </c>
      <c r="I95" s="4">
        <f>H95*$C$2</f>
        <v>1344</v>
      </c>
      <c r="J95" s="51">
        <f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>B96*C96</f>
        <v>8000</v>
      </c>
      <c r="E96" s="4">
        <f>D96*0.05</f>
        <v>400</v>
      </c>
      <c r="F96" s="4">
        <f>2500/8</f>
        <v>312.5</v>
      </c>
      <c r="G96" s="4">
        <f>0.2/2</f>
        <v>0.1</v>
      </c>
      <c r="H96" s="4">
        <f>G96</f>
        <v>0.1</v>
      </c>
      <c r="I96" s="4">
        <f>H96*$C$2</f>
        <v>672</v>
      </c>
      <c r="J96" s="51">
        <f>(D96+E96+F96+I96)*$C$4</f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>K100-J100</f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>D101*0.05</f>
        <v>299.5</v>
      </c>
      <c r="F101" s="4">
        <f>2500/5</f>
        <v>500</v>
      </c>
      <c r="G101" s="4">
        <v>0.2</v>
      </c>
      <c r="H101" s="4">
        <f>G101*B101</f>
        <v>0.2</v>
      </c>
      <c r="I101" s="4">
        <f>H101*$C$2</f>
        <v>1344</v>
      </c>
      <c r="J101" s="51">
        <f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9"/>
  <sheetViews>
    <sheetView topLeftCell="A34" zoomScale="70" zoomScaleNormal="70" workbookViewId="0">
      <selection sqref="A1:XFD1048576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42761</v>
      </c>
      <c r="D1" s="30"/>
    </row>
    <row r="2" spans="1:13" ht="21" x14ac:dyDescent="0.35">
      <c r="A2" s="55" t="s">
        <v>239</v>
      </c>
      <c r="B2" s="4"/>
      <c r="C2" s="16">
        <v>8350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966</v>
      </c>
      <c r="B6" s="152"/>
      <c r="C6" s="152"/>
      <c r="D6" s="2"/>
      <c r="E6" s="2"/>
      <c r="F6" s="152"/>
      <c r="G6" s="152"/>
      <c r="H6" s="152"/>
      <c r="I6" s="2"/>
      <c r="J6" s="52">
        <f>SUM(J7:J9)</f>
        <v>3428.0914500000003</v>
      </c>
      <c r="K6" s="10">
        <v>3428</v>
      </c>
      <c r="L6" s="10">
        <f>K6-J6</f>
        <v>-9.1450000000349974E-2</v>
      </c>
    </row>
    <row r="7" spans="1:13" x14ac:dyDescent="0.25">
      <c r="A7" s="4" t="s">
        <v>967</v>
      </c>
      <c r="B7" s="4">
        <v>1</v>
      </c>
      <c r="C7" s="4">
        <v>19900</v>
      </c>
      <c r="D7" s="4">
        <f>B7*C7</f>
        <v>19900</v>
      </c>
      <c r="E7" s="4">
        <f>D7*0.1</f>
        <v>1990</v>
      </c>
      <c r="F7" s="4">
        <v>0</v>
      </c>
      <c r="G7" s="4"/>
      <c r="H7" s="4">
        <v>0.1</v>
      </c>
      <c r="I7" s="4">
        <f>H7*$C$2</f>
        <v>835</v>
      </c>
      <c r="J7" s="51">
        <f>(D7+E7+F7+I7)*$C$3</f>
        <v>1186.2450000000001</v>
      </c>
      <c r="K7" s="6"/>
      <c r="L7" s="17"/>
    </row>
    <row r="8" spans="1:13" x14ac:dyDescent="0.25">
      <c r="A8" s="4" t="s">
        <v>206</v>
      </c>
      <c r="B8" s="4">
        <v>1</v>
      </c>
      <c r="C8" s="4">
        <v>13600</v>
      </c>
      <c r="D8" s="4">
        <f>B8*C8</f>
        <v>13600</v>
      </c>
      <c r="E8" s="4">
        <f>D8*0.1</f>
        <v>1360</v>
      </c>
      <c r="F8" s="4">
        <v>0</v>
      </c>
      <c r="G8" s="4"/>
      <c r="H8" s="4">
        <v>0.19</v>
      </c>
      <c r="I8" s="4">
        <f>H8*$C$2</f>
        <v>1586.5</v>
      </c>
      <c r="J8" s="51">
        <f>(D8+E8+F8+I8)*$C$3</f>
        <v>863.72730000000001</v>
      </c>
      <c r="K8" s="6"/>
      <c r="L8" s="17"/>
    </row>
    <row r="9" spans="1:13" x14ac:dyDescent="0.25">
      <c r="A9" s="4" t="s">
        <v>968</v>
      </c>
      <c r="B9" s="4">
        <v>1</v>
      </c>
      <c r="C9" s="4">
        <v>22900</v>
      </c>
      <c r="D9" s="4">
        <f>B9*C9</f>
        <v>22900</v>
      </c>
      <c r="E9" s="4">
        <f>D9*0.1</f>
        <v>2290</v>
      </c>
      <c r="F9" s="4">
        <v>0</v>
      </c>
      <c r="G9" s="4"/>
      <c r="H9" s="4">
        <v>0.14499999999999999</v>
      </c>
      <c r="I9" s="4">
        <f>H9*$C$2</f>
        <v>1210.75</v>
      </c>
      <c r="J9" s="51">
        <f>(D9+E9+F9+I9)*$C$3</f>
        <v>1378.11915</v>
      </c>
      <c r="K9" s="6"/>
      <c r="L9" s="17"/>
    </row>
    <row r="10" spans="1:13" ht="31.5" x14ac:dyDescent="0.5">
      <c r="A10" s="152" t="s">
        <v>957</v>
      </c>
      <c r="B10" s="152"/>
      <c r="C10" s="152"/>
      <c r="D10" s="2"/>
      <c r="E10" s="2"/>
      <c r="F10" s="152"/>
      <c r="G10" s="152"/>
      <c r="H10" s="152"/>
      <c r="I10" s="2"/>
      <c r="J10" s="52">
        <f>SUM(J11:J15)</f>
        <v>6277.0447800000002</v>
      </c>
      <c r="K10" s="10">
        <f>6377-357</f>
        <v>6020</v>
      </c>
      <c r="L10" s="10">
        <f>K10-J10</f>
        <v>-257.04478000000017</v>
      </c>
      <c r="M10" t="s">
        <v>1002</v>
      </c>
    </row>
    <row r="11" spans="1:13" x14ac:dyDescent="0.25">
      <c r="A11" s="4" t="s">
        <v>969</v>
      </c>
      <c r="B11" s="4">
        <v>3</v>
      </c>
      <c r="C11" s="4">
        <v>8000</v>
      </c>
      <c r="D11" s="4">
        <f>B11*C11</f>
        <v>24000</v>
      </c>
      <c r="E11" s="4">
        <f>D11*0.1</f>
        <v>2400</v>
      </c>
      <c r="F11" s="4">
        <v>0</v>
      </c>
      <c r="G11" s="4"/>
      <c r="H11" s="4">
        <v>4.3999999999999997E-2</v>
      </c>
      <c r="I11" s="4">
        <f>H11*$C$2</f>
        <v>367.4</v>
      </c>
      <c r="J11" s="51">
        <f>(D11+E11+F11+I11)*$C$3</f>
        <v>1397.2582800000002</v>
      </c>
      <c r="K11" s="6"/>
      <c r="L11" s="17"/>
    </row>
    <row r="12" spans="1:13" x14ac:dyDescent="0.25">
      <c r="A12" s="4" t="s">
        <v>970</v>
      </c>
      <c r="B12" s="4">
        <v>1</v>
      </c>
      <c r="C12" s="4">
        <v>6000</v>
      </c>
      <c r="D12" s="4">
        <f>B12*C12</f>
        <v>6000</v>
      </c>
      <c r="E12" s="4">
        <f>D12*0.1</f>
        <v>600</v>
      </c>
      <c r="F12" s="4">
        <v>0</v>
      </c>
      <c r="G12" s="4"/>
      <c r="H12" s="4">
        <v>0.08</v>
      </c>
      <c r="I12" s="4">
        <f>H12*$C$2</f>
        <v>668</v>
      </c>
      <c r="J12" s="51">
        <f>(D12+E12+F12+I12)*$C$3</f>
        <v>379.38960000000003</v>
      </c>
      <c r="K12" s="6"/>
      <c r="L12" s="17"/>
    </row>
    <row r="13" spans="1:13" x14ac:dyDescent="0.25">
      <c r="A13" s="4" t="s">
        <v>971</v>
      </c>
      <c r="B13" s="4">
        <v>22</v>
      </c>
      <c r="C13" s="4">
        <v>2290</v>
      </c>
      <c r="D13" s="4">
        <f>B13*C13</f>
        <v>50380</v>
      </c>
      <c r="E13" s="4">
        <f>D13*0.1</f>
        <v>5038</v>
      </c>
      <c r="F13" s="4">
        <v>2500</v>
      </c>
      <c r="G13" s="4"/>
      <c r="H13" s="4">
        <v>0.2</v>
      </c>
      <c r="I13" s="4">
        <f>H13*$C$2</f>
        <v>1670</v>
      </c>
      <c r="J13" s="51">
        <f>(D13+E13+F13+I13)*$C$3</f>
        <v>3110.4936000000002</v>
      </c>
      <c r="K13" s="6"/>
      <c r="L13" s="17"/>
    </row>
    <row r="14" spans="1:13" x14ac:dyDescent="0.25">
      <c r="A14" s="4" t="s">
        <v>903</v>
      </c>
      <c r="B14" s="4">
        <v>1</v>
      </c>
      <c r="C14" s="4">
        <v>9800</v>
      </c>
      <c r="D14" s="4">
        <f>B14*C14</f>
        <v>9800</v>
      </c>
      <c r="E14" s="4">
        <f>D14*0.1</f>
        <v>980</v>
      </c>
      <c r="F14" s="4">
        <v>2500</v>
      </c>
      <c r="G14" s="4"/>
      <c r="H14" s="4">
        <v>0.1</v>
      </c>
      <c r="I14" s="4">
        <f>H14*$C$2</f>
        <v>835</v>
      </c>
      <c r="J14" s="51">
        <f>(D14+E14+F14+I14)*$C$3</f>
        <v>736.803</v>
      </c>
      <c r="K14" s="6"/>
      <c r="L14" s="17"/>
    </row>
    <row r="15" spans="1:13" x14ac:dyDescent="0.25">
      <c r="A15" s="4" t="s">
        <v>972</v>
      </c>
      <c r="B15" s="4">
        <v>2</v>
      </c>
      <c r="C15" s="4">
        <v>4300</v>
      </c>
      <c r="D15" s="4">
        <f>B15*C15</f>
        <v>8600</v>
      </c>
      <c r="E15" s="4">
        <f>D15*0.1</f>
        <v>860</v>
      </c>
      <c r="F15" s="4">
        <v>2300</v>
      </c>
      <c r="G15" s="4"/>
      <c r="H15" s="4">
        <v>0.09</v>
      </c>
      <c r="I15" s="4">
        <f>H15*$C$2</f>
        <v>751.5</v>
      </c>
      <c r="J15" s="51">
        <f>(D15+E15+F15+I15)*$C$3</f>
        <v>653.10030000000006</v>
      </c>
      <c r="K15" s="6"/>
      <c r="L15" s="17"/>
    </row>
    <row r="16" spans="1:13" ht="31.5" x14ac:dyDescent="0.5">
      <c r="A16" s="152" t="s">
        <v>973</v>
      </c>
      <c r="B16" s="152"/>
      <c r="C16" s="152"/>
      <c r="D16" s="2"/>
      <c r="E16" s="2"/>
      <c r="F16" s="152"/>
      <c r="G16" s="152"/>
      <c r="H16" s="2"/>
      <c r="I16" s="2"/>
      <c r="J16" s="52">
        <f>J17</f>
        <v>213.26310000000001</v>
      </c>
      <c r="K16" s="10">
        <v>244</v>
      </c>
      <c r="L16" s="10">
        <f>K16-J16</f>
        <v>30.736899999999991</v>
      </c>
    </row>
    <row r="17" spans="1:12" x14ac:dyDescent="0.25">
      <c r="A17" s="4" t="s">
        <v>478</v>
      </c>
      <c r="B17" s="4">
        <v>1</v>
      </c>
      <c r="C17" s="4">
        <v>2350</v>
      </c>
      <c r="D17" s="4">
        <f>B17*C17</f>
        <v>2350</v>
      </c>
      <c r="E17" s="4">
        <f>D17*0.1</f>
        <v>235</v>
      </c>
      <c r="F17" s="4">
        <v>1250</v>
      </c>
      <c r="G17" s="4"/>
      <c r="H17" s="4">
        <v>0.03</v>
      </c>
      <c r="I17" s="4">
        <f>H17*$C$2</f>
        <v>250.5</v>
      </c>
      <c r="J17" s="51">
        <f>(D17+E17+F17+I17)*$C$3</f>
        <v>213.26310000000001</v>
      </c>
      <c r="K17" s="6"/>
      <c r="L17" s="17"/>
    </row>
    <row r="18" spans="1:12" ht="31.5" x14ac:dyDescent="0.5">
      <c r="A18" s="152" t="s">
        <v>680</v>
      </c>
      <c r="B18" s="152"/>
      <c r="C18" s="152"/>
      <c r="D18" s="2"/>
      <c r="E18" s="2"/>
      <c r="F18" s="152"/>
      <c r="G18" s="152"/>
      <c r="H18" s="152"/>
      <c r="I18" s="2"/>
      <c r="J18" s="52">
        <f>SUM(J19:J19)</f>
        <v>1662.9093</v>
      </c>
      <c r="K18" s="10">
        <f>1610+47</f>
        <v>1657</v>
      </c>
      <c r="L18" s="10">
        <f>K18-J18</f>
        <v>-5.9093000000000302</v>
      </c>
    </row>
    <row r="19" spans="1:12" x14ac:dyDescent="0.25">
      <c r="A19" s="4" t="s">
        <v>974</v>
      </c>
      <c r="B19" s="4">
        <v>1</v>
      </c>
      <c r="C19" s="4">
        <v>26000</v>
      </c>
      <c r="D19" s="4">
        <f>B19*C19</f>
        <v>26000</v>
      </c>
      <c r="E19" s="4">
        <f>D19*0.1</f>
        <v>2600</v>
      </c>
      <c r="F19" s="4">
        <v>0</v>
      </c>
      <c r="G19" s="4"/>
      <c r="H19" s="4">
        <v>0.39</v>
      </c>
      <c r="I19" s="4">
        <f>H19*$C$2</f>
        <v>3256.5</v>
      </c>
      <c r="J19" s="51">
        <f>(D19+E19+F19+I19)*$C$3</f>
        <v>1662.9093</v>
      </c>
      <c r="K19" s="6"/>
      <c r="L19" s="17"/>
    </row>
    <row r="20" spans="1:12" ht="31.5" x14ac:dyDescent="0.5">
      <c r="A20" s="152" t="s">
        <v>975</v>
      </c>
      <c r="B20" s="152"/>
      <c r="C20" s="152"/>
      <c r="D20" s="2"/>
      <c r="E20" s="2"/>
      <c r="F20" s="152"/>
      <c r="G20" s="152"/>
      <c r="H20" s="152"/>
      <c r="I20" s="2"/>
      <c r="J20" s="52">
        <f>J21</f>
        <v>2546.0550000000003</v>
      </c>
      <c r="K20" s="10">
        <f>1000+1469+77</f>
        <v>2546</v>
      </c>
      <c r="L20" s="10">
        <f>K20-J20</f>
        <v>-5.5000000000291038E-2</v>
      </c>
    </row>
    <row r="21" spans="1:12" x14ac:dyDescent="0.25">
      <c r="A21" s="4" t="s">
        <v>976</v>
      </c>
      <c r="B21" s="4">
        <v>1</v>
      </c>
      <c r="C21" s="4">
        <v>41760</v>
      </c>
      <c r="D21" s="4">
        <f>B21*C21</f>
        <v>41760</v>
      </c>
      <c r="E21" s="4">
        <f>D21*0.1</f>
        <v>4176</v>
      </c>
      <c r="F21" s="4">
        <v>0</v>
      </c>
      <c r="G21" s="4"/>
      <c r="H21" s="4">
        <v>0.34</v>
      </c>
      <c r="I21" s="4">
        <f>H21*$C$2</f>
        <v>2839</v>
      </c>
      <c r="J21" s="51">
        <f>(D21+E21+F21+I21)*$C$3</f>
        <v>2546.0550000000003</v>
      </c>
      <c r="K21" s="6"/>
      <c r="L21" s="17"/>
    </row>
    <row r="22" spans="1:12" ht="31.5" x14ac:dyDescent="0.5">
      <c r="A22" s="152" t="s">
        <v>766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161.5068</v>
      </c>
      <c r="K22" s="10">
        <v>205</v>
      </c>
      <c r="L22" s="10">
        <f>K22-J22</f>
        <v>43.493200000000002</v>
      </c>
    </row>
    <row r="23" spans="1:12" x14ac:dyDescent="0.25">
      <c r="A23" s="4" t="s">
        <v>977</v>
      </c>
      <c r="B23" s="4">
        <v>1</v>
      </c>
      <c r="C23" s="4">
        <v>1750</v>
      </c>
      <c r="D23" s="4">
        <f>B23*C23</f>
        <v>1750</v>
      </c>
      <c r="E23" s="4">
        <f>D23*0.1</f>
        <v>175</v>
      </c>
      <c r="F23" s="4">
        <v>0</v>
      </c>
      <c r="G23" s="4"/>
      <c r="H23" s="4">
        <v>0.14000000000000001</v>
      </c>
      <c r="I23" s="4">
        <f>H23*$C$2</f>
        <v>1169</v>
      </c>
      <c r="J23" s="51">
        <f>(D23+E23+F23+I23)*$C$3</f>
        <v>161.5068</v>
      </c>
      <c r="K23" s="6"/>
      <c r="L23" s="17"/>
    </row>
    <row r="24" spans="1:12" ht="31.5" x14ac:dyDescent="0.5">
      <c r="A24" s="152" t="s">
        <v>978</v>
      </c>
      <c r="B24" s="152"/>
      <c r="C24" s="152"/>
      <c r="D24" s="2"/>
      <c r="E24" s="2"/>
      <c r="F24" s="152"/>
      <c r="G24" s="152"/>
      <c r="H24" s="152"/>
      <c r="I24" s="2"/>
      <c r="J24" s="52">
        <f>SUM(J25:J25)</f>
        <v>832.25070000000005</v>
      </c>
      <c r="K24" s="10">
        <f>825+7</f>
        <v>832</v>
      </c>
      <c r="L24" s="10">
        <f>K24-J24</f>
        <v>-0.25070000000005166</v>
      </c>
    </row>
    <row r="25" spans="1:12" x14ac:dyDescent="0.25">
      <c r="A25" s="4" t="s">
        <v>979</v>
      </c>
      <c r="B25" s="4">
        <v>1</v>
      </c>
      <c r="C25" s="4">
        <v>12900</v>
      </c>
      <c r="D25" s="4">
        <f>B25*C25</f>
        <v>12900</v>
      </c>
      <c r="E25" s="4">
        <f>D25*0.1</f>
        <v>1290</v>
      </c>
      <c r="F25" s="4">
        <v>0</v>
      </c>
      <c r="G25" s="4"/>
      <c r="H25" s="4">
        <v>0.21</v>
      </c>
      <c r="I25" s="4">
        <f>H25*$C$2</f>
        <v>1753.5</v>
      </c>
      <c r="J25" s="51">
        <f>(D25+E25+F25+I25)*$C$3</f>
        <v>832.25070000000005</v>
      </c>
      <c r="K25" s="6"/>
      <c r="L25" s="17"/>
    </row>
    <row r="26" spans="1:12" ht="31.5" x14ac:dyDescent="0.5">
      <c r="A26" s="152" t="s">
        <v>344</v>
      </c>
      <c r="B26" s="152"/>
      <c r="C26" s="152"/>
      <c r="D26" s="2"/>
      <c r="E26" s="2"/>
      <c r="F26" s="152"/>
      <c r="G26" s="152"/>
      <c r="H26" s="152"/>
      <c r="I26" s="2"/>
      <c r="J26" s="52">
        <f>SUM(J27:J27)</f>
        <v>962.38530000000003</v>
      </c>
      <c r="K26" s="10">
        <v>966</v>
      </c>
      <c r="L26" s="10">
        <f>K26-J26</f>
        <v>3.6146999999999707</v>
      </c>
    </row>
    <row r="27" spans="1:12" x14ac:dyDescent="0.25">
      <c r="A27" s="4" t="s">
        <v>576</v>
      </c>
      <c r="B27" s="4">
        <v>2</v>
      </c>
      <c r="C27" s="4">
        <v>6900</v>
      </c>
      <c r="D27" s="4">
        <f>B27*C27</f>
        <v>13800</v>
      </c>
      <c r="E27" s="4">
        <f>D27*0.1</f>
        <v>1380</v>
      </c>
      <c r="F27" s="4">
        <v>0</v>
      </c>
      <c r="G27" s="4"/>
      <c r="H27" s="4">
        <v>0.39</v>
      </c>
      <c r="I27" s="4">
        <f>H27*$C$2</f>
        <v>3256.5</v>
      </c>
      <c r="J27" s="51">
        <f>(D27+E27+F27+I27)*$C$3</f>
        <v>962.38530000000003</v>
      </c>
      <c r="K27" s="6"/>
      <c r="L27" s="17"/>
    </row>
    <row r="28" spans="1:12" ht="31.5" x14ac:dyDescent="0.5">
      <c r="A28" s="152" t="s">
        <v>980</v>
      </c>
      <c r="B28" s="152"/>
      <c r="C28" s="152"/>
      <c r="D28" s="2"/>
      <c r="E28" s="2"/>
      <c r="F28" s="152"/>
      <c r="G28" s="152"/>
      <c r="H28" s="152"/>
      <c r="I28" s="2"/>
      <c r="J28" s="52">
        <f>J29</f>
        <v>918.12840000000017</v>
      </c>
      <c r="K28" s="10">
        <v>926</v>
      </c>
      <c r="L28" s="10">
        <f>K28-J28</f>
        <v>7.8715999999998303</v>
      </c>
    </row>
    <row r="29" spans="1:12" x14ac:dyDescent="0.25">
      <c r="A29" s="4" t="s">
        <v>981</v>
      </c>
      <c r="B29" s="4">
        <v>1</v>
      </c>
      <c r="C29" s="4">
        <v>14700</v>
      </c>
      <c r="D29" s="4">
        <f>B29*C29</f>
        <v>14700</v>
      </c>
      <c r="E29" s="4">
        <f>D29*0.1</f>
        <v>1470</v>
      </c>
      <c r="F29" s="168">
        <f>2500/6</f>
        <v>416.66666666666669</v>
      </c>
      <c r="G29" s="4"/>
      <c r="H29" s="4">
        <v>0.12</v>
      </c>
      <c r="I29" s="4">
        <f>H29*$C$2</f>
        <v>1002</v>
      </c>
      <c r="J29" s="51">
        <f>(D29+E29+F29+I29)*$C$3</f>
        <v>918.12840000000017</v>
      </c>
      <c r="K29" s="6"/>
      <c r="L29" s="17"/>
    </row>
    <row r="30" spans="1:12" ht="31.5" x14ac:dyDescent="0.5">
      <c r="A30" s="152" t="s">
        <v>707</v>
      </c>
      <c r="B30" s="152"/>
      <c r="C30" s="152"/>
      <c r="D30" s="2"/>
      <c r="E30" s="2"/>
      <c r="F30" s="152"/>
      <c r="G30" s="152"/>
      <c r="H30" s="152"/>
      <c r="I30" s="2"/>
      <c r="J30" s="52">
        <f>SUM(J31:J31)</f>
        <v>1363.21605</v>
      </c>
      <c r="K30" s="10">
        <v>1570</v>
      </c>
      <c r="L30" s="10">
        <f>K30-J30</f>
        <v>206.78395</v>
      </c>
    </row>
    <row r="31" spans="1:12" x14ac:dyDescent="0.25">
      <c r="A31" s="4" t="s">
        <v>982</v>
      </c>
      <c r="B31" s="4">
        <v>2</v>
      </c>
      <c r="C31" s="4">
        <v>8400</v>
      </c>
      <c r="D31" s="4">
        <f>B31*C31</f>
        <v>16800</v>
      </c>
      <c r="E31" s="4">
        <f>D31*0.1</f>
        <v>1680</v>
      </c>
      <c r="F31" s="4">
        <v>2500</v>
      </c>
      <c r="G31" s="4"/>
      <c r="H31" s="4">
        <v>0.61499999999999999</v>
      </c>
      <c r="I31" s="4">
        <f>H31*$C$2</f>
        <v>5135.25</v>
      </c>
      <c r="J31" s="51">
        <f>(D31+E31+F31+I31)*$C$3</f>
        <v>1363.21605</v>
      </c>
      <c r="K31" s="6"/>
      <c r="L31" s="17"/>
    </row>
    <row r="32" spans="1:12" ht="31.5" x14ac:dyDescent="0.5">
      <c r="A32" s="152" t="s">
        <v>331</v>
      </c>
      <c r="B32" s="152"/>
      <c r="C32" s="152"/>
      <c r="D32" s="2"/>
      <c r="E32" s="2"/>
      <c r="F32" s="152"/>
      <c r="G32" s="152"/>
      <c r="H32" s="152"/>
      <c r="I32" s="2"/>
      <c r="J32" s="52">
        <f>SUM(J33:J34)</f>
        <v>1997.9550000000002</v>
      </c>
      <c r="K32" s="10">
        <f>2029+97</f>
        <v>2126</v>
      </c>
      <c r="L32" s="10">
        <f>K32-J32</f>
        <v>128.04499999999985</v>
      </c>
    </row>
    <row r="33" spans="1:12" x14ac:dyDescent="0.25">
      <c r="A33" s="4" t="s">
        <v>983</v>
      </c>
      <c r="B33" s="4">
        <v>1</v>
      </c>
      <c r="C33" s="4">
        <v>13000</v>
      </c>
      <c r="D33" s="4">
        <f>B33*C33</f>
        <v>13000</v>
      </c>
      <c r="E33" s="4">
        <f>D33*0.1</f>
        <v>1300</v>
      </c>
      <c r="F33" s="4">
        <v>0</v>
      </c>
      <c r="G33" s="4"/>
      <c r="H33" s="4">
        <v>0.25</v>
      </c>
      <c r="I33" s="4">
        <f>H33*$C$2</f>
        <v>2087.5</v>
      </c>
      <c r="J33" s="51">
        <f>(D33+E33+F33+I33)*$C$3</f>
        <v>855.42750000000001</v>
      </c>
      <c r="K33" s="6"/>
      <c r="L33" s="17"/>
    </row>
    <row r="34" spans="1:12" x14ac:dyDescent="0.25">
      <c r="A34" s="4" t="s">
        <v>984</v>
      </c>
      <c r="B34" s="4">
        <v>1</v>
      </c>
      <c r="C34" s="4">
        <v>18000</v>
      </c>
      <c r="D34" s="4">
        <f>B34*C34</f>
        <v>18000</v>
      </c>
      <c r="E34" s="4">
        <f>D34*0.1</f>
        <v>1800</v>
      </c>
      <c r="F34" s="4">
        <v>0</v>
      </c>
      <c r="G34" s="4"/>
      <c r="H34" s="4">
        <v>0.25</v>
      </c>
      <c r="I34" s="4">
        <f>H34*$C$2</f>
        <v>2087.5</v>
      </c>
      <c r="J34" s="51">
        <f>(D34+E34+F34+I34)*$C$3</f>
        <v>1142.5275000000001</v>
      </c>
      <c r="K34" s="6"/>
      <c r="L34" s="17"/>
    </row>
    <row r="35" spans="1:12" ht="31.5" x14ac:dyDescent="0.5">
      <c r="A35" s="152" t="s">
        <v>985</v>
      </c>
      <c r="B35" s="152"/>
      <c r="C35" s="152"/>
      <c r="D35" s="2"/>
      <c r="E35" s="2"/>
      <c r="F35" s="152"/>
      <c r="G35" s="152"/>
      <c r="H35" s="152"/>
      <c r="I35" s="2"/>
      <c r="J35" s="52">
        <f>SUM(J36:J37)</f>
        <v>2085.1289999999999</v>
      </c>
      <c r="K35" s="10">
        <f>1946+139</f>
        <v>2085</v>
      </c>
      <c r="L35" s="10">
        <f>K35-J35</f>
        <v>-0.12899999999990541</v>
      </c>
    </row>
    <row r="36" spans="1:12" x14ac:dyDescent="0.25">
      <c r="A36" s="4" t="s">
        <v>986</v>
      </c>
      <c r="B36" s="4">
        <v>1</v>
      </c>
      <c r="C36" s="4">
        <v>16000</v>
      </c>
      <c r="D36" s="4">
        <f>B36*C36</f>
        <v>16000</v>
      </c>
      <c r="E36" s="4">
        <f>D36*0.1</f>
        <v>1600</v>
      </c>
      <c r="F36" s="4">
        <v>0</v>
      </c>
      <c r="G36" s="4"/>
      <c r="H36" s="4">
        <v>0.28999999999999998</v>
      </c>
      <c r="I36" s="4">
        <f>H36*$C$2</f>
        <v>2421.5</v>
      </c>
      <c r="J36" s="51">
        <f>(D36+E36+F36+I36)*$C$3</f>
        <v>1045.1223</v>
      </c>
      <c r="K36" s="6"/>
      <c r="L36" s="17"/>
    </row>
    <row r="37" spans="1:12" x14ac:dyDescent="0.25">
      <c r="A37" s="4" t="s">
        <v>987</v>
      </c>
      <c r="B37" s="4">
        <v>1</v>
      </c>
      <c r="C37" s="4">
        <v>15000</v>
      </c>
      <c r="D37" s="4">
        <f>B37*C37</f>
        <v>15000</v>
      </c>
      <c r="E37" s="4">
        <f>D37*0.1</f>
        <v>1500</v>
      </c>
      <c r="F37" s="4">
        <v>0</v>
      </c>
      <c r="G37" s="4"/>
      <c r="H37" s="4">
        <v>0.41</v>
      </c>
      <c r="I37" s="4">
        <f>H37*$C$2</f>
        <v>3423.5</v>
      </c>
      <c r="J37" s="51">
        <f>(D37+E37+F37+I37)*$C$3</f>
        <v>1040.0067000000001</v>
      </c>
      <c r="K37" s="6"/>
      <c r="L37" s="17"/>
    </row>
    <row r="38" spans="1:12" ht="31.5" x14ac:dyDescent="0.5">
      <c r="A38" s="152" t="s">
        <v>763</v>
      </c>
      <c r="B38" s="152"/>
      <c r="C38" s="152"/>
      <c r="D38" s="2"/>
      <c r="E38" s="2"/>
      <c r="F38" s="152"/>
      <c r="G38" s="152"/>
      <c r="H38" s="152"/>
      <c r="I38" s="2"/>
      <c r="J38" s="52">
        <f>SUM(J39:J41)</f>
        <v>1366.6351500000001</v>
      </c>
      <c r="K38" s="10">
        <v>1371</v>
      </c>
      <c r="L38" s="10">
        <f>K38-J38</f>
        <v>4.3648499999999331</v>
      </c>
    </row>
    <row r="39" spans="1:12" x14ac:dyDescent="0.25">
      <c r="A39" s="4" t="s">
        <v>988</v>
      </c>
      <c r="B39" s="4">
        <v>1</v>
      </c>
      <c r="C39" s="4">
        <v>7900</v>
      </c>
      <c r="D39" s="4">
        <f>B39*C39</f>
        <v>7900</v>
      </c>
      <c r="E39" s="4">
        <f>D39*0.1</f>
        <v>790</v>
      </c>
      <c r="F39" s="4">
        <v>0</v>
      </c>
      <c r="G39" s="4"/>
      <c r="H39" s="4">
        <v>0.05</v>
      </c>
      <c r="I39" s="4">
        <f>H39*$C$2</f>
        <v>417.5</v>
      </c>
      <c r="J39" s="51">
        <f>(D39+E39+F39+I39)*$C$3</f>
        <v>475.41150000000005</v>
      </c>
      <c r="K39" s="6"/>
      <c r="L39" s="17"/>
    </row>
    <row r="40" spans="1:12" x14ac:dyDescent="0.25">
      <c r="A40" s="4" t="s">
        <v>989</v>
      </c>
      <c r="B40" s="4">
        <v>1</v>
      </c>
      <c r="C40" s="4">
        <v>6900</v>
      </c>
      <c r="D40" s="4">
        <f>B40*C40</f>
        <v>6900</v>
      </c>
      <c r="E40" s="4">
        <f>D40*0.1</f>
        <v>690</v>
      </c>
      <c r="F40" s="4">
        <v>0</v>
      </c>
      <c r="G40" s="4"/>
      <c r="H40" s="4">
        <v>0.04</v>
      </c>
      <c r="I40" s="4">
        <f>H40*$C$2</f>
        <v>334</v>
      </c>
      <c r="J40" s="51">
        <f>(D40+E40+F40+I40)*$C$3</f>
        <v>413.63280000000003</v>
      </c>
      <c r="K40" s="6"/>
      <c r="L40" s="17"/>
    </row>
    <row r="41" spans="1:12" x14ac:dyDescent="0.25">
      <c r="A41" s="4" t="s">
        <v>990</v>
      </c>
      <c r="B41" s="4">
        <v>1</v>
      </c>
      <c r="C41" s="4">
        <v>7900</v>
      </c>
      <c r="D41" s="4">
        <f>B41*C41</f>
        <v>7900</v>
      </c>
      <c r="E41" s="4">
        <f>D41*0.1</f>
        <v>790</v>
      </c>
      <c r="F41" s="4">
        <v>0</v>
      </c>
      <c r="G41" s="4"/>
      <c r="H41" s="4">
        <v>5.5E-2</v>
      </c>
      <c r="I41" s="4">
        <f>H41*$C$2</f>
        <v>459.25</v>
      </c>
      <c r="J41" s="51">
        <f>(D41+E41+F41+I41)*$C$3</f>
        <v>477.59085000000005</v>
      </c>
      <c r="K41" s="6"/>
      <c r="L41" s="17"/>
    </row>
    <row r="42" spans="1:12" ht="31.5" x14ac:dyDescent="0.5">
      <c r="A42" s="152" t="s">
        <v>991</v>
      </c>
      <c r="B42" s="152"/>
      <c r="C42" s="152"/>
      <c r="D42" s="2"/>
      <c r="E42" s="2"/>
      <c r="F42" s="152"/>
      <c r="G42" s="152"/>
      <c r="H42" s="152"/>
      <c r="I42" s="2"/>
      <c r="J42" s="52">
        <f>SUM(J43:J45)</f>
        <v>2168.0617499999998</v>
      </c>
      <c r="K42" s="10">
        <f>1000+1118+50</f>
        <v>2168</v>
      </c>
      <c r="L42" s="10">
        <f>K42-J42</f>
        <v>-6.1749999999847205E-2</v>
      </c>
    </row>
    <row r="43" spans="1:12" x14ac:dyDescent="0.25">
      <c r="A43" s="4" t="s">
        <v>57</v>
      </c>
      <c r="B43" s="4">
        <v>1</v>
      </c>
      <c r="C43" s="4">
        <v>6400</v>
      </c>
      <c r="D43" s="4">
        <f>B43*C43</f>
        <v>6400</v>
      </c>
      <c r="E43" s="4">
        <f>D43*0.1</f>
        <v>640</v>
      </c>
      <c r="F43" s="168">
        <f>2500/3</f>
        <v>833.33333333333337</v>
      </c>
      <c r="G43" s="4"/>
      <c r="H43" s="4">
        <f>1.15+0.085</f>
        <v>1.2349999999999999</v>
      </c>
      <c r="I43" s="4">
        <f>H43*$C$2</f>
        <v>10312.249999999998</v>
      </c>
      <c r="J43" s="51">
        <f>(D43+E43+F43+I43)*$C$3</f>
        <v>949.28745000000004</v>
      </c>
      <c r="K43" s="6"/>
      <c r="L43" s="17"/>
    </row>
    <row r="44" spans="1:12" x14ac:dyDescent="0.25">
      <c r="A44" s="4" t="s">
        <v>157</v>
      </c>
      <c r="B44" s="4">
        <v>1</v>
      </c>
      <c r="C44" s="4">
        <v>4500</v>
      </c>
      <c r="D44" s="4">
        <f>B44*C44</f>
        <v>4500</v>
      </c>
      <c r="E44" s="4">
        <f>D44*0.1</f>
        <v>450</v>
      </c>
      <c r="F44" s="168">
        <f>2500/3</f>
        <v>833.33333333333337</v>
      </c>
      <c r="G44" s="4"/>
      <c r="H44" s="4">
        <f>0.58+0.085</f>
        <v>0.66499999999999992</v>
      </c>
      <c r="I44" s="4">
        <f>H44*$C$2</f>
        <v>5552.7499999999991</v>
      </c>
      <c r="J44" s="51">
        <f>(D44+E44+F44+I44)*$C$3</f>
        <v>591.74355000000003</v>
      </c>
      <c r="K44" s="6"/>
      <c r="L44" s="17"/>
    </row>
    <row r="45" spans="1:12" x14ac:dyDescent="0.25">
      <c r="A45" s="4" t="s">
        <v>327</v>
      </c>
      <c r="B45" s="4">
        <v>1</v>
      </c>
      <c r="C45" s="4">
        <v>3900</v>
      </c>
      <c r="D45" s="4">
        <f>B45*C45</f>
        <v>3900</v>
      </c>
      <c r="E45" s="4">
        <f>D45*0.1</f>
        <v>390</v>
      </c>
      <c r="F45" s="168">
        <f>2500/3</f>
        <v>833.33333333333337</v>
      </c>
      <c r="G45" s="4"/>
      <c r="H45" s="4">
        <f>0.74+0.085</f>
        <v>0.82499999999999996</v>
      </c>
      <c r="I45" s="4">
        <f>H45*$C$2</f>
        <v>6888.75</v>
      </c>
      <c r="J45" s="51">
        <f>(D45+E45+F45+I45)*$C$3</f>
        <v>627.03075000000001</v>
      </c>
      <c r="K45" s="6"/>
      <c r="L45" s="17"/>
    </row>
    <row r="46" spans="1:12" ht="31.5" x14ac:dyDescent="0.5">
      <c r="A46" s="152" t="s">
        <v>868</v>
      </c>
      <c r="B46" s="152"/>
      <c r="C46" s="152"/>
      <c r="D46" s="2"/>
      <c r="E46" s="2"/>
      <c r="F46" s="152"/>
      <c r="G46" s="152"/>
      <c r="H46" s="152"/>
      <c r="I46" s="2"/>
      <c r="J46" s="52">
        <f>SUM(J47:J49)</f>
        <v>2617.7125500000002</v>
      </c>
      <c r="K46" s="10">
        <v>2670</v>
      </c>
      <c r="L46" s="10">
        <f>K46-J46</f>
        <v>52.287449999999808</v>
      </c>
    </row>
    <row r="47" spans="1:12" x14ac:dyDescent="0.25">
      <c r="A47" s="4" t="s">
        <v>992</v>
      </c>
      <c r="B47" s="4">
        <v>1</v>
      </c>
      <c r="C47" s="4">
        <v>12200</v>
      </c>
      <c r="D47" s="4">
        <f>B47*C47</f>
        <v>12200</v>
      </c>
      <c r="E47" s="4">
        <f>D47*0.1</f>
        <v>1220</v>
      </c>
      <c r="F47" s="4">
        <v>1250</v>
      </c>
      <c r="G47" s="4"/>
      <c r="H47" s="4">
        <v>0.11</v>
      </c>
      <c r="I47" s="4">
        <f>H47*$C$2</f>
        <v>918.5</v>
      </c>
      <c r="J47" s="51">
        <f>(D47+E47+F47+I47)*$C$3</f>
        <v>813.7197000000001</v>
      </c>
      <c r="K47" s="6"/>
      <c r="L47" s="17"/>
    </row>
    <row r="48" spans="1:12" x14ac:dyDescent="0.25">
      <c r="A48" s="4" t="s">
        <v>993</v>
      </c>
      <c r="B48" s="4">
        <v>1</v>
      </c>
      <c r="C48" s="4">
        <v>21500</v>
      </c>
      <c r="D48" s="4">
        <f>B48*C48</f>
        <v>21500</v>
      </c>
      <c r="E48" s="4">
        <f>D48*0.1</f>
        <v>2150</v>
      </c>
      <c r="F48" s="4">
        <v>1250</v>
      </c>
      <c r="G48" s="4"/>
      <c r="H48" s="4">
        <v>0.315</v>
      </c>
      <c r="I48" s="4">
        <f>H48*$C$2</f>
        <v>2630.25</v>
      </c>
      <c r="J48" s="51">
        <f>(D48+E48+F48+I48)*$C$3</f>
        <v>1437.0790500000001</v>
      </c>
      <c r="K48" s="6"/>
      <c r="L48" s="17"/>
    </row>
    <row r="49" spans="1:12" x14ac:dyDescent="0.25">
      <c r="A49" s="4" t="s">
        <v>994</v>
      </c>
      <c r="B49" s="4">
        <v>1</v>
      </c>
      <c r="C49" s="4">
        <v>5480</v>
      </c>
      <c r="D49" s="4">
        <f>B49*C49</f>
        <v>5480</v>
      </c>
      <c r="E49" s="4">
        <f>D49*0.1</f>
        <v>548</v>
      </c>
      <c r="F49" s="4">
        <v>500</v>
      </c>
      <c r="G49" s="4"/>
      <c r="H49" s="4">
        <v>0.06</v>
      </c>
      <c r="I49" s="4">
        <f>H49*$C$2</f>
        <v>501</v>
      </c>
      <c r="J49" s="51">
        <f>(D49+E49+F49+I49)*$C$3</f>
        <v>366.91380000000004</v>
      </c>
      <c r="K49" s="6"/>
      <c r="L49" s="17"/>
    </row>
  </sheetData>
  <hyperlinks>
    <hyperlink ref="A30" r:id="rId1" display="http://forum.sibmama.ru/viewtopic.php?t=715424&amp;start=29325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80" zoomScaleNormal="80" workbookViewId="0">
      <selection activeCell="C2" sqref="C2"/>
    </sheetView>
  </sheetViews>
  <sheetFormatPr defaultRowHeight="15" x14ac:dyDescent="0.25"/>
  <cols>
    <col min="1" max="1" width="38.140625" customWidth="1"/>
    <col min="3" max="3" width="14.140625" customWidth="1"/>
    <col min="6" max="6" width="10.85546875" customWidth="1"/>
    <col min="8" max="8" width="10.5703125" customWidth="1"/>
    <col min="10" max="10" width="13.28515625" customWidth="1"/>
    <col min="11" max="11" width="11.5703125" customWidth="1"/>
    <col min="12" max="12" width="14.42578125" customWidth="1"/>
  </cols>
  <sheetData>
    <row r="1" spans="1:13" ht="21" x14ac:dyDescent="0.35">
      <c r="A1" s="55" t="s">
        <v>281</v>
      </c>
      <c r="B1" s="4"/>
      <c r="C1" s="189">
        <v>42791</v>
      </c>
      <c r="D1" s="30"/>
    </row>
    <row r="2" spans="1:13" ht="21" x14ac:dyDescent="0.35">
      <c r="A2" s="55" t="s">
        <v>239</v>
      </c>
      <c r="B2" s="4"/>
      <c r="C2" s="16">
        <v>8260</v>
      </c>
      <c r="D2" s="30"/>
    </row>
    <row r="3" spans="1:13" ht="21" x14ac:dyDescent="0.35">
      <c r="A3" s="55" t="s">
        <v>240</v>
      </c>
      <c r="B3" s="4"/>
      <c r="C3" s="170">
        <v>5.2200000000000003E-2</v>
      </c>
      <c r="D3" s="30"/>
    </row>
    <row r="4" spans="1:13" ht="15.75" thickBot="1" x14ac:dyDescent="0.3"/>
    <row r="5" spans="1:13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3" ht="31.5" x14ac:dyDescent="0.5">
      <c r="A6" s="152" t="s">
        <v>1003</v>
      </c>
      <c r="B6" s="152"/>
      <c r="C6" s="152"/>
      <c r="D6" s="2"/>
      <c r="E6" s="2"/>
      <c r="F6" s="152"/>
      <c r="G6" s="152"/>
      <c r="H6" s="2"/>
      <c r="I6" s="2"/>
      <c r="J6" s="52">
        <f>J7</f>
        <v>321.82791428571431</v>
      </c>
      <c r="K6" s="10">
        <v>344</v>
      </c>
      <c r="L6" s="10">
        <f>K6-J6</f>
        <v>22.172085714285686</v>
      </c>
    </row>
    <row r="7" spans="1:13" x14ac:dyDescent="0.25">
      <c r="A7" s="4" t="s">
        <v>1011</v>
      </c>
      <c r="B7" s="4">
        <v>2</v>
      </c>
      <c r="C7" s="4">
        <v>2290</v>
      </c>
      <c r="D7" s="4">
        <f>B7*C7</f>
        <v>4580</v>
      </c>
      <c r="E7" s="4">
        <f>D7*0.1</f>
        <v>458</v>
      </c>
      <c r="F7" s="4">
        <f>2500/7*B7</f>
        <v>714.28571428571433</v>
      </c>
      <c r="G7">
        <v>0.05</v>
      </c>
      <c r="H7">
        <v>0.05</v>
      </c>
      <c r="I7" s="4">
        <f>H7*$C$2</f>
        <v>413</v>
      </c>
      <c r="J7" s="51">
        <f>(D7+E7+F7+I7)*$C$3</f>
        <v>321.82791428571431</v>
      </c>
      <c r="K7" s="6"/>
      <c r="L7" s="17"/>
    </row>
    <row r="8" spans="1:13" ht="31.5" x14ac:dyDescent="0.5">
      <c r="A8" s="152" t="s">
        <v>619</v>
      </c>
      <c r="B8" s="152"/>
      <c r="C8" s="152"/>
      <c r="D8" s="2"/>
      <c r="E8" s="2"/>
      <c r="F8" s="152"/>
      <c r="G8" s="152"/>
      <c r="H8" s="152"/>
      <c r="I8" s="2"/>
      <c r="J8" s="52">
        <f>SUM(J9:J9)</f>
        <v>321.82791428571431</v>
      </c>
      <c r="K8" s="10">
        <f>344-23</f>
        <v>321</v>
      </c>
      <c r="L8" s="10">
        <f>K8-J8</f>
        <v>-0.82791428571431425</v>
      </c>
      <c r="M8" t="s">
        <v>1014</v>
      </c>
    </row>
    <row r="9" spans="1:13" x14ac:dyDescent="0.25">
      <c r="A9" s="4" t="s">
        <v>1004</v>
      </c>
      <c r="B9" s="4">
        <v>2</v>
      </c>
      <c r="C9" s="4">
        <v>2290</v>
      </c>
      <c r="D9" s="4">
        <f>B9*C9</f>
        <v>4580</v>
      </c>
      <c r="E9" s="4">
        <f>D9*0.1</f>
        <v>458</v>
      </c>
      <c r="F9" s="4">
        <f>2500/7*B9</f>
        <v>714.28571428571433</v>
      </c>
      <c r="G9">
        <v>0.05</v>
      </c>
      <c r="H9">
        <v>0.05</v>
      </c>
      <c r="I9" s="4">
        <f>H9*$C$2</f>
        <v>413</v>
      </c>
      <c r="J9" s="51">
        <f>(D9+E9+F9+I9)*$C$3</f>
        <v>321.82791428571431</v>
      </c>
      <c r="K9" s="6"/>
      <c r="L9" s="17"/>
    </row>
    <row r="10" spans="1:13" ht="31.5" x14ac:dyDescent="0.5">
      <c r="A10" s="152" t="s">
        <v>1005</v>
      </c>
      <c r="B10" s="152"/>
      <c r="C10" s="152"/>
      <c r="D10" s="2"/>
      <c r="E10" s="2"/>
      <c r="F10" s="152"/>
      <c r="G10" s="152"/>
      <c r="H10" s="152"/>
      <c r="I10" s="2"/>
      <c r="J10" s="52">
        <f>J11</f>
        <v>493.21170000000001</v>
      </c>
      <c r="K10" s="10">
        <v>483</v>
      </c>
      <c r="L10" s="10">
        <f>K10-J10</f>
        <v>-10.211700000000008</v>
      </c>
    </row>
    <row r="11" spans="1:13" x14ac:dyDescent="0.25">
      <c r="A11" s="4" t="s">
        <v>576</v>
      </c>
      <c r="B11" s="4">
        <v>1</v>
      </c>
      <c r="C11" s="4">
        <v>6900</v>
      </c>
      <c r="D11" s="4">
        <f>B11*C11</f>
        <v>6900</v>
      </c>
      <c r="E11" s="4">
        <f>D11*0.1</f>
        <v>690</v>
      </c>
      <c r="F11" s="4">
        <v>0</v>
      </c>
      <c r="G11" s="4">
        <v>0.2</v>
      </c>
      <c r="H11" s="4">
        <v>0.22500000000000001</v>
      </c>
      <c r="I11" s="4">
        <f>H11*$C$2</f>
        <v>1858.5</v>
      </c>
      <c r="J11" s="51">
        <f>(D11+E11+F11+I11)*$C$3</f>
        <v>493.21170000000001</v>
      </c>
      <c r="K11" s="6"/>
      <c r="L11" s="17"/>
    </row>
    <row r="12" spans="1:13" ht="31.5" x14ac:dyDescent="0.5">
      <c r="A12" s="152" t="s">
        <v>1006</v>
      </c>
      <c r="B12" s="152"/>
      <c r="C12" s="152"/>
      <c r="D12" s="2"/>
      <c r="E12" s="2"/>
      <c r="F12" s="152"/>
      <c r="G12" s="152"/>
      <c r="H12" s="152"/>
      <c r="I12" s="2"/>
      <c r="J12" s="52">
        <f>SUM(J13:J13)</f>
        <v>425.42652000000004</v>
      </c>
      <c r="K12" s="10">
        <f>422+3</f>
        <v>425</v>
      </c>
      <c r="L12" s="10">
        <f>K12-J12</f>
        <v>-0.42652000000003909</v>
      </c>
    </row>
    <row r="13" spans="1:13" x14ac:dyDescent="0.25">
      <c r="A13" s="4" t="s">
        <v>437</v>
      </c>
      <c r="B13" s="4">
        <v>1</v>
      </c>
      <c r="C13" s="4">
        <v>5450</v>
      </c>
      <c r="D13" s="4">
        <f>B13*C13</f>
        <v>5450</v>
      </c>
      <c r="E13" s="4">
        <f>D13*0.1</f>
        <v>545</v>
      </c>
      <c r="F13">
        <f>2500/3</f>
        <v>833.33333333333337</v>
      </c>
      <c r="G13">
        <v>0.15</v>
      </c>
      <c r="H13">
        <v>0.16</v>
      </c>
      <c r="I13" s="4">
        <f>H13*$C$2</f>
        <v>1321.6000000000001</v>
      </c>
      <c r="J13" s="51">
        <f>(D13+E13+F13+I13)*$C$3</f>
        <v>425.42652000000004</v>
      </c>
      <c r="K13" s="6"/>
      <c r="L13" s="17"/>
    </row>
    <row r="14" spans="1:13" ht="31.5" x14ac:dyDescent="0.5">
      <c r="A14" s="152" t="s">
        <v>1007</v>
      </c>
      <c r="B14" s="152"/>
      <c r="C14" s="152"/>
      <c r="D14" s="2"/>
      <c r="E14" s="2"/>
      <c r="F14" s="152"/>
      <c r="G14" s="152"/>
      <c r="H14" s="152"/>
      <c r="I14" s="2"/>
      <c r="J14" s="52">
        <f>SUM(J15:J15)</f>
        <v>425.42652000000004</v>
      </c>
      <c r="K14" s="10">
        <v>422</v>
      </c>
      <c r="L14" s="10">
        <f>K14-J14</f>
        <v>-3.4265200000000391</v>
      </c>
    </row>
    <row r="15" spans="1:13" x14ac:dyDescent="0.25">
      <c r="A15" s="4" t="s">
        <v>437</v>
      </c>
      <c r="B15" s="4">
        <v>1</v>
      </c>
      <c r="C15" s="4">
        <v>5450</v>
      </c>
      <c r="D15" s="4">
        <f>B15*C15</f>
        <v>5450</v>
      </c>
      <c r="E15" s="4">
        <f>D15*0.1</f>
        <v>545</v>
      </c>
      <c r="F15">
        <f>2500/3</f>
        <v>833.33333333333337</v>
      </c>
      <c r="G15">
        <v>0.15</v>
      </c>
      <c r="H15">
        <v>0.16</v>
      </c>
      <c r="I15" s="4">
        <f>H15*$C$2</f>
        <v>1321.6000000000001</v>
      </c>
      <c r="J15" s="51">
        <f>(D15+E15+F15+I15)*$C$3</f>
        <v>425.42652000000004</v>
      </c>
      <c r="K15" s="6"/>
      <c r="L15" s="17"/>
    </row>
    <row r="16" spans="1:13" ht="31.5" x14ac:dyDescent="0.5">
      <c r="A16" s="152" t="s">
        <v>22</v>
      </c>
      <c r="B16" s="152"/>
      <c r="C16" s="152"/>
      <c r="D16" s="2"/>
      <c r="E16" s="2"/>
      <c r="F16" s="152"/>
      <c r="G16" s="152"/>
      <c r="H16" s="152"/>
      <c r="I16" s="2"/>
      <c r="J16" s="52">
        <f>SUM(J17:J17)</f>
        <v>2652.9292800000003</v>
      </c>
      <c r="K16" s="10">
        <f>2595+58</f>
        <v>2653</v>
      </c>
      <c r="L16" s="10">
        <f>K16-J16</f>
        <v>7.0719999999710126E-2</v>
      </c>
    </row>
    <row r="17" spans="1:12" x14ac:dyDescent="0.25">
      <c r="A17" s="4" t="s">
        <v>67</v>
      </c>
      <c r="B17" s="4">
        <v>3</v>
      </c>
      <c r="C17" s="4">
        <v>14800</v>
      </c>
      <c r="D17" s="4">
        <f>B17*C17</f>
        <v>44400</v>
      </c>
      <c r="E17" s="4">
        <f>D17*0.1</f>
        <v>4440</v>
      </c>
      <c r="F17">
        <v>0</v>
      </c>
      <c r="G17">
        <v>0.11</v>
      </c>
      <c r="H17">
        <v>0.24</v>
      </c>
      <c r="I17" s="4">
        <f>H17*$C$2</f>
        <v>1982.3999999999999</v>
      </c>
      <c r="J17" s="51">
        <f>(D17+E17+F17+I17)*$C$3</f>
        <v>2652.9292800000003</v>
      </c>
      <c r="K17" s="6"/>
      <c r="L17" s="17"/>
    </row>
    <row r="18" spans="1:12" ht="31.5" x14ac:dyDescent="0.5">
      <c r="A18" s="152" t="s">
        <v>991</v>
      </c>
      <c r="B18" s="152"/>
      <c r="C18" s="152"/>
      <c r="D18" s="2"/>
      <c r="E18" s="2"/>
      <c r="F18" s="152"/>
      <c r="G18" s="152"/>
      <c r="H18" s="152"/>
      <c r="I18" s="2"/>
      <c r="J18" s="52">
        <f>J19</f>
        <v>977.99832000000004</v>
      </c>
      <c r="K18" s="10">
        <f>922+56</f>
        <v>978</v>
      </c>
      <c r="L18" s="10">
        <f>K18-J18</f>
        <v>1.6799999999648207E-3</v>
      </c>
    </row>
    <row r="19" spans="1:12" x14ac:dyDescent="0.25">
      <c r="A19" s="4" t="s">
        <v>57</v>
      </c>
      <c r="B19" s="4">
        <v>1</v>
      </c>
      <c r="C19" s="4">
        <v>6800</v>
      </c>
      <c r="D19" s="4">
        <f>B19*C19</f>
        <v>6800</v>
      </c>
      <c r="E19" s="4">
        <f>D19*0.1</f>
        <v>680</v>
      </c>
      <c r="F19">
        <v>2500</v>
      </c>
      <c r="G19">
        <v>0.92</v>
      </c>
      <c r="H19">
        <v>1.06</v>
      </c>
      <c r="I19" s="4">
        <f>H19*$C$2</f>
        <v>8755.6</v>
      </c>
      <c r="J19" s="51">
        <f>(D19+E19+F19+I19)*$C$3</f>
        <v>977.99832000000004</v>
      </c>
      <c r="K19" s="6"/>
      <c r="L19" s="17"/>
    </row>
    <row r="20" spans="1:12" ht="31.5" x14ac:dyDescent="0.5">
      <c r="A20" s="152" t="s">
        <v>1008</v>
      </c>
      <c r="B20" s="152"/>
      <c r="C20" s="152"/>
      <c r="D20" s="2"/>
      <c r="E20" s="2"/>
      <c r="F20" s="152"/>
      <c r="G20" s="152"/>
      <c r="H20" s="152"/>
      <c r="I20" s="2"/>
      <c r="J20" s="52">
        <f>SUM(J21:J21)</f>
        <v>1848.5586000000001</v>
      </c>
      <c r="K20" s="10">
        <f>1749+100</f>
        <v>1849</v>
      </c>
      <c r="L20" s="10">
        <f>K20-J20</f>
        <v>0.44139999999993051</v>
      </c>
    </row>
    <row r="21" spans="1:12" x14ac:dyDescent="0.25">
      <c r="A21" s="4" t="s">
        <v>1009</v>
      </c>
      <c r="B21" s="4">
        <v>1</v>
      </c>
      <c r="C21" s="4">
        <v>16800</v>
      </c>
      <c r="D21" s="4">
        <f>B21*C21</f>
        <v>16800</v>
      </c>
      <c r="E21" s="4">
        <f>D21*0.1</f>
        <v>1680</v>
      </c>
      <c r="F21">
        <v>0</v>
      </c>
      <c r="G21">
        <v>1.8</v>
      </c>
      <c r="H21">
        <v>2.0499999999999998</v>
      </c>
      <c r="I21" s="4">
        <f>H21*$C$2</f>
        <v>16933</v>
      </c>
      <c r="J21" s="51">
        <f>(D21+E21+F21+I21)*$C$3</f>
        <v>1848.5586000000001</v>
      </c>
      <c r="K21" s="6"/>
      <c r="L21" s="17"/>
    </row>
    <row r="22" spans="1:12" ht="31.5" x14ac:dyDescent="0.5">
      <c r="A22" s="152" t="s">
        <v>1010</v>
      </c>
      <c r="B22" s="152"/>
      <c r="C22" s="152"/>
      <c r="D22" s="2"/>
      <c r="E22" s="2"/>
      <c r="F22" s="152"/>
      <c r="G22" s="152"/>
      <c r="H22" s="152"/>
      <c r="I22" s="2"/>
      <c r="J22" s="52">
        <f>SUM(J23:J23)</f>
        <v>393.08339999999998</v>
      </c>
      <c r="K22" s="10">
        <v>400</v>
      </c>
      <c r="L22" s="10">
        <f>K22-J22</f>
        <v>6.9166000000000167</v>
      </c>
    </row>
    <row r="23" spans="1:12" x14ac:dyDescent="0.25">
      <c r="A23" s="4" t="s">
        <v>97</v>
      </c>
      <c r="B23" s="4">
        <v>1</v>
      </c>
      <c r="C23" s="4">
        <f>10400/3</f>
        <v>3466.6666666666665</v>
      </c>
      <c r="D23" s="4">
        <f>B23*C23</f>
        <v>3466.6666666666665</v>
      </c>
      <c r="E23" s="4">
        <f>D23*0.1</f>
        <v>346.66666666666669</v>
      </c>
      <c r="F23">
        <v>0</v>
      </c>
      <c r="G23">
        <v>0.38</v>
      </c>
      <c r="H23">
        <v>0.45</v>
      </c>
      <c r="I23" s="4">
        <f>H23*$C$2</f>
        <v>3717</v>
      </c>
      <c r="J23" s="51">
        <f>(D23+E23+F23+I23)*$C$3</f>
        <v>393.08339999999998</v>
      </c>
      <c r="K23" s="6"/>
      <c r="L23" s="1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3"/>
  <sheetViews>
    <sheetView zoomScale="80" zoomScaleNormal="80" workbookViewId="0">
      <selection activeCell="A11" sqref="A1:XFD1048576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42831</v>
      </c>
      <c r="D1" s="30"/>
    </row>
    <row r="2" spans="1:12" ht="21" x14ac:dyDescent="0.35">
      <c r="A2" s="55" t="s">
        <v>239</v>
      </c>
      <c r="B2" s="4"/>
      <c r="C2" s="16">
        <v>10320</v>
      </c>
      <c r="D2" s="30"/>
    </row>
    <row r="3" spans="1:12" ht="21" x14ac:dyDescent="0.35">
      <c r="A3" s="55" t="s">
        <v>240</v>
      </c>
      <c r="B3" s="4"/>
      <c r="C3" s="170">
        <v>5.1159999999999997E-2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966</v>
      </c>
      <c r="B6" s="203"/>
      <c r="C6" s="152"/>
      <c r="D6" s="152"/>
      <c r="E6" s="152"/>
      <c r="F6" s="152"/>
      <c r="G6" s="152"/>
      <c r="H6" s="152"/>
      <c r="I6" s="152"/>
      <c r="J6" s="152">
        <f>SUM(J7:J11)</f>
        <v>7255.1019199999992</v>
      </c>
      <c r="K6" s="152">
        <v>7255</v>
      </c>
      <c r="L6" s="243">
        <f>K6-J6</f>
        <v>-0.10191999999915424</v>
      </c>
    </row>
    <row r="7" spans="1:12" x14ac:dyDescent="0.25">
      <c r="A7" s="234" t="s">
        <v>1028</v>
      </c>
      <c r="B7" s="4">
        <v>1</v>
      </c>
      <c r="C7" s="5">
        <v>22900</v>
      </c>
      <c r="D7" s="4">
        <f>B7*C7</f>
        <v>22900</v>
      </c>
      <c r="E7" s="4">
        <f>D7*0.1</f>
        <v>2290</v>
      </c>
      <c r="F7" s="4">
        <v>0</v>
      </c>
      <c r="G7" s="71">
        <v>1.1000000000000001</v>
      </c>
      <c r="H7" s="4">
        <f>G7*B7</f>
        <v>1.1000000000000001</v>
      </c>
      <c r="I7" s="4">
        <f>H7*$C$2</f>
        <v>11352.000000000002</v>
      </c>
      <c r="J7" s="4">
        <f>(D7+E7+F7+I7)*$C$3</f>
        <v>1869.4887199999998</v>
      </c>
      <c r="K7" s="4"/>
      <c r="L7" s="9"/>
    </row>
    <row r="8" spans="1:12" x14ac:dyDescent="0.25">
      <c r="A8" s="234" t="s">
        <v>1029</v>
      </c>
      <c r="B8" s="4">
        <v>1</v>
      </c>
      <c r="C8" s="5">
        <v>22900</v>
      </c>
      <c r="D8" s="4">
        <f>B8*C8</f>
        <v>22900</v>
      </c>
      <c r="E8" s="4">
        <f>D8*0.1</f>
        <v>2290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1288.7203999999999</v>
      </c>
      <c r="K8" s="4"/>
      <c r="L8" s="9"/>
    </row>
    <row r="9" spans="1:12" x14ac:dyDescent="0.25">
      <c r="A9" s="234" t="s">
        <v>1030</v>
      </c>
      <c r="B9" s="4">
        <v>1</v>
      </c>
      <c r="C9" s="5">
        <v>18900</v>
      </c>
      <c r="D9" s="4">
        <f>B9*C9</f>
        <v>18900</v>
      </c>
      <c r="E9" s="4">
        <f>D9*0.1</f>
        <v>1890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1063.6163999999999</v>
      </c>
      <c r="K9" s="4"/>
      <c r="L9" s="9"/>
    </row>
    <row r="10" spans="1:12" x14ac:dyDescent="0.25">
      <c r="A10" s="234" t="s">
        <v>1031</v>
      </c>
      <c r="B10" s="4">
        <v>1</v>
      </c>
      <c r="C10" s="5">
        <v>19900</v>
      </c>
      <c r="D10" s="4">
        <f>B10*C10</f>
        <v>19900</v>
      </c>
      <c r="E10" s="4">
        <f>D10*0.1</f>
        <v>1990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1119.8924</v>
      </c>
      <c r="K10" s="4"/>
      <c r="L10" s="9"/>
    </row>
    <row r="11" spans="1:12" x14ac:dyDescent="0.25">
      <c r="A11" s="234" t="s">
        <v>1032</v>
      </c>
      <c r="B11" s="4">
        <v>1</v>
      </c>
      <c r="C11" s="5">
        <v>34000</v>
      </c>
      <c r="D11" s="4">
        <f>B11*C11</f>
        <v>34000</v>
      </c>
      <c r="E11" s="4">
        <f>D11*0.1</f>
        <v>3400</v>
      </c>
      <c r="F11" s="4">
        <v>0</v>
      </c>
      <c r="G11" s="71"/>
      <c r="H11" s="4">
        <f>G11*B11</f>
        <v>0</v>
      </c>
      <c r="I11" s="4">
        <f>H11*$C$2</f>
        <v>0</v>
      </c>
      <c r="J11" s="4">
        <f>(D11+E11+F11+I11)*$C$3</f>
        <v>1913.3839999999998</v>
      </c>
      <c r="K11" s="4"/>
      <c r="L11" s="9"/>
    </row>
    <row r="12" spans="1:12" ht="31.5" x14ac:dyDescent="0.5">
      <c r="A12" s="152" t="s">
        <v>892</v>
      </c>
      <c r="B12" s="152"/>
      <c r="C12" s="152"/>
      <c r="D12" s="152"/>
      <c r="E12" s="152"/>
      <c r="F12" s="152"/>
      <c r="G12" s="152"/>
      <c r="H12" s="152"/>
      <c r="I12" s="152"/>
      <c r="J12" s="152">
        <f>SUM(J13:J14)</f>
        <v>1720.45964</v>
      </c>
      <c r="K12" s="152">
        <f>1656+64</f>
        <v>1720</v>
      </c>
      <c r="L12" s="243">
        <f>K12-J12</f>
        <v>-0.4596400000000358</v>
      </c>
    </row>
    <row r="13" spans="1:12" x14ac:dyDescent="0.25">
      <c r="A13" s="234" t="s">
        <v>1015</v>
      </c>
      <c r="B13" s="4">
        <v>1</v>
      </c>
      <c r="C13" s="4">
        <v>16770</v>
      </c>
      <c r="D13" s="4">
        <f>B13*C13</f>
        <v>16770</v>
      </c>
      <c r="E13" s="4">
        <f>D13*0.1</f>
        <v>1677</v>
      </c>
      <c r="F13" s="4">
        <v>2500</v>
      </c>
      <c r="G13" s="4">
        <v>0.3</v>
      </c>
      <c r="H13" s="4">
        <v>0.3</v>
      </c>
      <c r="I13" s="4">
        <f>H13*$C$2</f>
        <v>3096</v>
      </c>
      <c r="J13" s="4">
        <f>(D13+E13+F13+I13)*$C$3</f>
        <v>1230.03988</v>
      </c>
      <c r="K13" s="4"/>
      <c r="L13" s="9"/>
    </row>
    <row r="14" spans="1:12" x14ac:dyDescent="0.25">
      <c r="A14" s="5" t="s">
        <v>1016</v>
      </c>
      <c r="B14" s="4">
        <v>1</v>
      </c>
      <c r="C14" s="4">
        <v>5900</v>
      </c>
      <c r="D14" s="4">
        <f>B14*C14</f>
        <v>5900</v>
      </c>
      <c r="E14" s="4">
        <f>D14*0.1</f>
        <v>590</v>
      </c>
      <c r="F14" s="4">
        <v>0</v>
      </c>
      <c r="G14" s="4">
        <v>0.22</v>
      </c>
      <c r="H14" s="4">
        <v>0.3</v>
      </c>
      <c r="I14" s="4">
        <f>H14*$C$2</f>
        <v>3096</v>
      </c>
      <c r="J14" s="4">
        <f>(D14+E14+F14+I14)*$C$3</f>
        <v>490.41976</v>
      </c>
      <c r="K14" s="4"/>
      <c r="L14" s="9"/>
    </row>
    <row r="15" spans="1:12" ht="31.5" x14ac:dyDescent="0.5">
      <c r="A15" s="152" t="s">
        <v>29</v>
      </c>
      <c r="B15" s="152"/>
      <c r="C15" s="152"/>
      <c r="D15" s="152"/>
      <c r="E15" s="152"/>
      <c r="F15" s="152"/>
      <c r="G15" s="152"/>
      <c r="H15" s="152"/>
      <c r="I15" s="152"/>
      <c r="J15" s="152">
        <f>J16</f>
        <v>503.36323999999996</v>
      </c>
      <c r="K15" s="152">
        <v>495</v>
      </c>
      <c r="L15" s="243">
        <f>K15-J15</f>
        <v>-8.363239999999962</v>
      </c>
    </row>
    <row r="16" spans="1:12" x14ac:dyDescent="0.25">
      <c r="A16" s="4" t="s">
        <v>1017</v>
      </c>
      <c r="B16" s="4">
        <v>1</v>
      </c>
      <c r="C16" s="4">
        <v>6500</v>
      </c>
      <c r="D16" s="4">
        <f>B16*C16</f>
        <v>6500</v>
      </c>
      <c r="E16" s="4">
        <f>D16*0.1</f>
        <v>650</v>
      </c>
      <c r="F16" s="4">
        <f>2500/4</f>
        <v>625</v>
      </c>
      <c r="G16" s="4">
        <v>0.2</v>
      </c>
      <c r="H16" s="4">
        <v>0.2</v>
      </c>
      <c r="I16" s="4">
        <f>H16*$C$2</f>
        <v>2064</v>
      </c>
      <c r="J16" s="4">
        <f>(D16+E16+F16+I16)*$C$3</f>
        <v>503.36323999999996</v>
      </c>
      <c r="K16" s="4"/>
      <c r="L16" s="9"/>
    </row>
    <row r="17" spans="1:12" ht="31.5" x14ac:dyDescent="0.5">
      <c r="A17" s="152" t="s">
        <v>934</v>
      </c>
      <c r="B17" s="152"/>
      <c r="C17" s="152"/>
      <c r="D17" s="152"/>
      <c r="E17" s="152"/>
      <c r="F17" s="152"/>
      <c r="G17" s="152"/>
      <c r="H17" s="152"/>
      <c r="I17" s="152"/>
      <c r="J17" s="152">
        <f>J18</f>
        <v>459.600976</v>
      </c>
      <c r="K17" s="152">
        <f>427+33</f>
        <v>460</v>
      </c>
      <c r="L17" s="243">
        <f>K17-J17</f>
        <v>0.39902399999999716</v>
      </c>
    </row>
    <row r="18" spans="1:12" x14ac:dyDescent="0.25">
      <c r="A18" s="4" t="s">
        <v>67</v>
      </c>
      <c r="B18" s="4">
        <v>2</v>
      </c>
      <c r="C18" s="4">
        <v>930</v>
      </c>
      <c r="D18" s="4">
        <f t="shared" ref="D18:D32" si="0">B18*C18</f>
        <v>1860</v>
      </c>
      <c r="E18" s="4">
        <f t="shared" ref="E18:E32" si="1">D18*0.1</f>
        <v>186</v>
      </c>
      <c r="F18" s="4">
        <v>2500</v>
      </c>
      <c r="G18" s="4">
        <v>0.2</v>
      </c>
      <c r="H18" s="4">
        <v>0.43</v>
      </c>
      <c r="I18" s="4">
        <f>H18*$C$2</f>
        <v>4437.6000000000004</v>
      </c>
      <c r="J18" s="4">
        <f t="shared" ref="J18:J32" si="2">(D18+E18+F18+I18)*$C$3</f>
        <v>459.600976</v>
      </c>
      <c r="K18" s="4"/>
      <c r="L18" s="9"/>
    </row>
    <row r="19" spans="1:12" ht="31.5" x14ac:dyDescent="0.5">
      <c r="A19" s="152" t="s">
        <v>1018</v>
      </c>
      <c r="B19" s="152"/>
      <c r="C19" s="152"/>
      <c r="D19" s="152"/>
      <c r="E19" s="152"/>
      <c r="F19" s="152"/>
      <c r="G19" s="152"/>
      <c r="H19" s="152"/>
      <c r="I19" s="152"/>
      <c r="J19" s="152">
        <f>SUM(J20:J22)</f>
        <v>2325.3379626666665</v>
      </c>
      <c r="K19" s="152">
        <f>2214+111</f>
        <v>2325</v>
      </c>
      <c r="L19" s="243">
        <f>K19-J19</f>
        <v>-0.33796266666649899</v>
      </c>
    </row>
    <row r="20" spans="1:12" x14ac:dyDescent="0.25">
      <c r="A20" s="5" t="s">
        <v>1019</v>
      </c>
      <c r="B20" s="5">
        <v>1</v>
      </c>
      <c r="C20" s="5">
        <v>5300</v>
      </c>
      <c r="D20" s="4">
        <f t="shared" si="0"/>
        <v>5300</v>
      </c>
      <c r="E20" s="4">
        <f t="shared" si="1"/>
        <v>530</v>
      </c>
      <c r="F20" s="4">
        <f>2500</f>
        <v>2500</v>
      </c>
      <c r="G20" s="4">
        <v>0.1</v>
      </c>
      <c r="H20" s="4">
        <v>0.18</v>
      </c>
      <c r="I20" s="4">
        <f t="shared" ref="I20:I32" si="3">H20*$C$2</f>
        <v>1857.6</v>
      </c>
      <c r="J20" s="4">
        <f t="shared" si="2"/>
        <v>521.19761600000004</v>
      </c>
      <c r="K20" s="4"/>
      <c r="L20" s="9"/>
    </row>
    <row r="21" spans="1:12" x14ac:dyDescent="0.25">
      <c r="A21" s="5" t="s">
        <v>494</v>
      </c>
      <c r="B21" s="4">
        <v>1</v>
      </c>
      <c r="C21" s="4">
        <v>18900</v>
      </c>
      <c r="D21" s="4">
        <f t="shared" si="0"/>
        <v>18900</v>
      </c>
      <c r="E21" s="4">
        <f t="shared" si="1"/>
        <v>1890</v>
      </c>
      <c r="F21" s="5">
        <f>2500/6</f>
        <v>416.66666666666669</v>
      </c>
      <c r="G21" s="4">
        <v>0.2</v>
      </c>
      <c r="H21" s="4">
        <v>0.2</v>
      </c>
      <c r="I21" s="4">
        <f t="shared" si="3"/>
        <v>2064</v>
      </c>
      <c r="J21" s="4">
        <f t="shared" si="2"/>
        <v>1190.5273066666666</v>
      </c>
      <c r="K21" s="4"/>
      <c r="L21" s="9"/>
    </row>
    <row r="22" spans="1:12" x14ac:dyDescent="0.25">
      <c r="A22" s="4" t="s">
        <v>1020</v>
      </c>
      <c r="B22" s="4">
        <v>1</v>
      </c>
      <c r="C22" s="4">
        <v>8800</v>
      </c>
      <c r="D22" s="4">
        <f t="shared" si="0"/>
        <v>8800</v>
      </c>
      <c r="E22" s="4">
        <f t="shared" si="1"/>
        <v>880</v>
      </c>
      <c r="F22" s="5">
        <v>250</v>
      </c>
      <c r="G22" s="4">
        <v>0.1</v>
      </c>
      <c r="H22" s="4">
        <v>0.2</v>
      </c>
      <c r="I22" s="4">
        <f t="shared" si="3"/>
        <v>2064</v>
      </c>
      <c r="J22" s="4">
        <f t="shared" si="2"/>
        <v>613.61303999999996</v>
      </c>
      <c r="K22" s="4"/>
      <c r="L22" s="9"/>
    </row>
    <row r="23" spans="1:12" ht="31.5" x14ac:dyDescent="0.5">
      <c r="A23" s="152" t="s">
        <v>480</v>
      </c>
      <c r="B23" s="152"/>
      <c r="C23" s="152"/>
      <c r="D23" s="152"/>
      <c r="E23" s="152"/>
      <c r="F23" s="152"/>
      <c r="G23" s="152"/>
      <c r="H23" s="152"/>
      <c r="I23" s="152"/>
      <c r="J23" s="152">
        <f>J24</f>
        <v>1167.532592</v>
      </c>
      <c r="K23" s="152">
        <f>1145+23</f>
        <v>1168</v>
      </c>
      <c r="L23" s="243">
        <f>K23-J23</f>
        <v>0.46740799999997762</v>
      </c>
    </row>
    <row r="24" spans="1:12" x14ac:dyDescent="0.25">
      <c r="A24" s="4" t="s">
        <v>1021</v>
      </c>
      <c r="B24" s="4">
        <v>1</v>
      </c>
      <c r="C24" s="4">
        <v>16900</v>
      </c>
      <c r="D24" s="4">
        <f t="shared" si="0"/>
        <v>16900</v>
      </c>
      <c r="E24" s="4">
        <f t="shared" si="1"/>
        <v>1690</v>
      </c>
      <c r="F24" s="4">
        <v>0</v>
      </c>
      <c r="G24" s="4">
        <v>0.4</v>
      </c>
      <c r="H24" s="4">
        <v>0.41</v>
      </c>
      <c r="I24" s="4">
        <f t="shared" si="3"/>
        <v>4231.2</v>
      </c>
      <c r="J24" s="4">
        <f t="shared" si="2"/>
        <v>1167.532592</v>
      </c>
      <c r="K24" s="4"/>
      <c r="L24" s="9"/>
    </row>
    <row r="25" spans="1:12" ht="31.5" x14ac:dyDescent="0.5">
      <c r="A25" s="152" t="s">
        <v>1022</v>
      </c>
      <c r="B25" s="152"/>
      <c r="C25" s="152"/>
      <c r="D25" s="152"/>
      <c r="E25" s="152"/>
      <c r="F25" s="152"/>
      <c r="G25" s="152"/>
      <c r="H25" s="152"/>
      <c r="I25" s="152"/>
      <c r="J25" s="152">
        <f>J26</f>
        <v>489.406792</v>
      </c>
      <c r="K25" s="152">
        <f>419+70</f>
        <v>489</v>
      </c>
      <c r="L25" s="243">
        <f>K25-J25</f>
        <v>-0.40679199999999582</v>
      </c>
    </row>
    <row r="26" spans="1:12" x14ac:dyDescent="0.25">
      <c r="A26" s="4" t="s">
        <v>1023</v>
      </c>
      <c r="B26" s="4">
        <v>1</v>
      </c>
      <c r="C26" s="4">
        <f>9700/2</f>
        <v>4850</v>
      </c>
      <c r="D26" s="4">
        <f t="shared" si="0"/>
        <v>4850</v>
      </c>
      <c r="E26" s="4">
        <f t="shared" si="1"/>
        <v>485</v>
      </c>
      <c r="F26" s="4">
        <v>0</v>
      </c>
      <c r="G26" s="4">
        <v>0.3</v>
      </c>
      <c r="H26" s="4">
        <v>0.41</v>
      </c>
      <c r="I26" s="4">
        <f t="shared" si="3"/>
        <v>4231.2</v>
      </c>
      <c r="J26" s="4">
        <f t="shared" si="2"/>
        <v>489.406792</v>
      </c>
      <c r="K26" s="4"/>
      <c r="L26" s="9"/>
    </row>
    <row r="27" spans="1:12" ht="31.5" x14ac:dyDescent="0.5">
      <c r="A27" s="152" t="s">
        <v>1024</v>
      </c>
      <c r="B27" s="203"/>
      <c r="C27" s="152"/>
      <c r="D27" s="152"/>
      <c r="E27" s="152"/>
      <c r="F27" s="152"/>
      <c r="G27" s="152"/>
      <c r="H27" s="152"/>
      <c r="I27" s="152"/>
      <c r="J27" s="152">
        <f>J28</f>
        <v>489.406792</v>
      </c>
      <c r="K27" s="152">
        <f>419+70</f>
        <v>489</v>
      </c>
      <c r="L27" s="243">
        <f>K27-J27</f>
        <v>-0.40679199999999582</v>
      </c>
    </row>
    <row r="28" spans="1:12" x14ac:dyDescent="0.25">
      <c r="A28" s="4" t="s">
        <v>1023</v>
      </c>
      <c r="B28" s="4">
        <v>1</v>
      </c>
      <c r="C28" s="4">
        <f>9700/2</f>
        <v>4850</v>
      </c>
      <c r="D28" s="4">
        <f t="shared" si="0"/>
        <v>4850</v>
      </c>
      <c r="E28" s="4">
        <f t="shared" si="1"/>
        <v>485</v>
      </c>
      <c r="F28" s="4">
        <v>0</v>
      </c>
      <c r="G28" s="4">
        <v>0.3</v>
      </c>
      <c r="H28" s="4">
        <v>0.41</v>
      </c>
      <c r="I28" s="4">
        <f t="shared" si="3"/>
        <v>4231.2</v>
      </c>
      <c r="J28" s="4">
        <f t="shared" si="2"/>
        <v>489.406792</v>
      </c>
      <c r="K28" s="4"/>
      <c r="L28" s="9"/>
    </row>
    <row r="29" spans="1:12" ht="31.5" x14ac:dyDescent="0.5">
      <c r="A29" s="152" t="s">
        <v>1025</v>
      </c>
      <c r="B29" s="203"/>
      <c r="C29" s="152"/>
      <c r="D29" s="152"/>
      <c r="E29" s="152"/>
      <c r="F29" s="152"/>
      <c r="G29" s="152"/>
      <c r="H29" s="152"/>
      <c r="I29" s="152"/>
      <c r="J29" s="152">
        <f>J30</f>
        <v>489.406792</v>
      </c>
      <c r="K29" s="152">
        <f>419+70</f>
        <v>489</v>
      </c>
      <c r="L29" s="243">
        <f>K29-J29</f>
        <v>-0.40679199999999582</v>
      </c>
    </row>
    <row r="30" spans="1:12" x14ac:dyDescent="0.25">
      <c r="A30" s="4" t="s">
        <v>1023</v>
      </c>
      <c r="B30" s="4">
        <v>1</v>
      </c>
      <c r="C30" s="4">
        <f>9700/2</f>
        <v>4850</v>
      </c>
      <c r="D30" s="4">
        <f t="shared" si="0"/>
        <v>4850</v>
      </c>
      <c r="E30" s="4">
        <f t="shared" si="1"/>
        <v>485</v>
      </c>
      <c r="F30" s="4">
        <v>0</v>
      </c>
      <c r="G30" s="4">
        <v>0.3</v>
      </c>
      <c r="H30" s="4">
        <v>0.41</v>
      </c>
      <c r="I30" s="4">
        <f t="shared" si="3"/>
        <v>4231.2</v>
      </c>
      <c r="J30" s="4">
        <f t="shared" si="2"/>
        <v>489.406792</v>
      </c>
      <c r="K30" s="4"/>
      <c r="L30" s="9"/>
    </row>
    <row r="31" spans="1:12" ht="31.5" x14ac:dyDescent="0.5">
      <c r="A31" s="152" t="s">
        <v>1026</v>
      </c>
      <c r="B31" s="203"/>
      <c r="C31" s="152"/>
      <c r="D31" s="152"/>
      <c r="E31" s="152"/>
      <c r="F31" s="152"/>
      <c r="G31" s="152"/>
      <c r="H31" s="152"/>
      <c r="I31" s="152"/>
      <c r="J31" s="152">
        <f>J32</f>
        <v>957.91983999999991</v>
      </c>
      <c r="K31" s="152">
        <f>915+43</f>
        <v>958</v>
      </c>
      <c r="L31" s="243">
        <f>K31-J31</f>
        <v>8.0160000000091713E-2</v>
      </c>
    </row>
    <row r="32" spans="1:12" x14ac:dyDescent="0.25">
      <c r="A32" s="4" t="s">
        <v>1027</v>
      </c>
      <c r="B32" s="4">
        <v>1</v>
      </c>
      <c r="C32" s="4">
        <v>12800</v>
      </c>
      <c r="D32" s="4">
        <f t="shared" si="0"/>
        <v>12800</v>
      </c>
      <c r="E32" s="4">
        <f t="shared" si="1"/>
        <v>1280</v>
      </c>
      <c r="F32" s="4">
        <v>0</v>
      </c>
      <c r="G32" s="4">
        <v>0.4</v>
      </c>
      <c r="H32" s="4">
        <v>0.45</v>
      </c>
      <c r="I32" s="4">
        <f t="shared" si="3"/>
        <v>4644</v>
      </c>
      <c r="J32" s="4">
        <f t="shared" si="2"/>
        <v>957.91983999999991</v>
      </c>
      <c r="K32" s="4"/>
      <c r="L32" s="9"/>
    </row>
    <row r="33" spans="1:13" ht="31.5" x14ac:dyDescent="0.5">
      <c r="A33" s="152" t="s">
        <v>1033</v>
      </c>
      <c r="B33" s="152"/>
      <c r="C33" s="152"/>
      <c r="D33" s="152"/>
      <c r="E33" s="152"/>
      <c r="F33" s="152"/>
      <c r="G33" s="152"/>
      <c r="H33" s="152"/>
      <c r="I33" s="152"/>
      <c r="J33" s="152">
        <f>J34</f>
        <v>506.93420799999996</v>
      </c>
      <c r="K33" s="152">
        <f>473+34</f>
        <v>507</v>
      </c>
      <c r="L33" s="243">
        <f>K33-J33</f>
        <v>6.5792000000044482E-2</v>
      </c>
    </row>
    <row r="34" spans="1:13" x14ac:dyDescent="0.25">
      <c r="A34" s="4" t="s">
        <v>1034</v>
      </c>
      <c r="B34" s="4">
        <v>1</v>
      </c>
      <c r="C34" s="4">
        <f>10500/2</f>
        <v>5250</v>
      </c>
      <c r="D34" s="4">
        <f>B34*C34</f>
        <v>5250</v>
      </c>
      <c r="E34" s="4">
        <f>D34*0.1</f>
        <v>525</v>
      </c>
      <c r="F34" s="5">
        <f>2500/4</f>
        <v>625</v>
      </c>
      <c r="G34" s="4">
        <v>0.3</v>
      </c>
      <c r="H34" s="4">
        <v>0.34</v>
      </c>
      <c r="I34" s="4">
        <f>H34*$C$2</f>
        <v>3508.8</v>
      </c>
      <c r="J34" s="4">
        <f>(D34+E34+F34+I34)*$C$3</f>
        <v>506.93420799999996</v>
      </c>
      <c r="K34" s="4"/>
      <c r="L34" s="9"/>
    </row>
    <row r="35" spans="1:13" ht="31.5" x14ac:dyDescent="0.5">
      <c r="A35" s="152" t="s">
        <v>766</v>
      </c>
      <c r="B35" s="152"/>
      <c r="C35" s="152"/>
      <c r="D35" s="152"/>
      <c r="E35" s="152"/>
      <c r="F35" s="152"/>
      <c r="G35" s="152"/>
      <c r="H35" s="152"/>
      <c r="I35" s="152"/>
      <c r="J35" s="152">
        <f>J36+J37</f>
        <v>1060.0590746666667</v>
      </c>
      <c r="K35" s="152">
        <v>1022</v>
      </c>
      <c r="L35" s="243">
        <f>K35-J35</f>
        <v>-38.059074666666675</v>
      </c>
    </row>
    <row r="36" spans="1:13" x14ac:dyDescent="0.25">
      <c r="A36" s="4" t="s">
        <v>1035</v>
      </c>
      <c r="B36" s="4">
        <v>1</v>
      </c>
      <c r="C36" s="4">
        <v>5880</v>
      </c>
      <c r="D36" s="4">
        <f>B36*C36</f>
        <v>5880</v>
      </c>
      <c r="E36" s="4">
        <f>D36*0.1</f>
        <v>588</v>
      </c>
      <c r="F36" s="5">
        <f>2500/6</f>
        <v>416.66666666666669</v>
      </c>
      <c r="G36" s="4">
        <v>0.2</v>
      </c>
      <c r="H36" s="4">
        <v>0.2</v>
      </c>
      <c r="I36" s="4">
        <f>H36*$C$2</f>
        <v>2064</v>
      </c>
      <c r="J36" s="4">
        <f>(D36+E36+F36+I36)*$C$3</f>
        <v>457.81378666666672</v>
      </c>
      <c r="K36" s="4"/>
      <c r="L36" s="9"/>
    </row>
    <row r="37" spans="1:13" x14ac:dyDescent="0.25">
      <c r="A37" s="4" t="s">
        <v>1036</v>
      </c>
      <c r="B37" s="4">
        <v>1</v>
      </c>
      <c r="C37" s="4">
        <f>16900/2</f>
        <v>8450</v>
      </c>
      <c r="D37" s="4">
        <f>B37*C37</f>
        <v>8450</v>
      </c>
      <c r="E37" s="4">
        <f>D37*0.1</f>
        <v>845</v>
      </c>
      <c r="F37" s="4">
        <v>0</v>
      </c>
      <c r="G37" s="4">
        <v>0.2</v>
      </c>
      <c r="H37" s="4">
        <v>0.24</v>
      </c>
      <c r="I37" s="4">
        <f>H37*$C$2</f>
        <v>2476.7999999999997</v>
      </c>
      <c r="J37" s="4">
        <f>(D37+E37+F37+I37)*$C$3</f>
        <v>602.24528799999996</v>
      </c>
      <c r="K37" s="4"/>
      <c r="L37" s="9"/>
    </row>
    <row r="38" spans="1:13" ht="31.5" x14ac:dyDescent="0.5">
      <c r="A38" s="152" t="s">
        <v>1037</v>
      </c>
      <c r="B38" s="152"/>
      <c r="C38" s="152"/>
      <c r="D38" s="152"/>
      <c r="E38" s="152"/>
      <c r="F38" s="152"/>
      <c r="G38" s="152"/>
      <c r="H38" s="152"/>
      <c r="I38" s="152"/>
      <c r="J38" s="152">
        <f>J39+J40</f>
        <v>3070.0092799999998</v>
      </c>
      <c r="K38" s="152">
        <f>3060+10</f>
        <v>3070</v>
      </c>
      <c r="L38" s="243">
        <f>K38-J38</f>
        <v>-9.2799999997623672E-3</v>
      </c>
      <c r="M38" t="s">
        <v>1044</v>
      </c>
    </row>
    <row r="39" spans="1:13" x14ac:dyDescent="0.25">
      <c r="A39" s="4" t="s">
        <v>576</v>
      </c>
      <c r="B39" s="4">
        <v>1</v>
      </c>
      <c r="C39" s="4">
        <v>13800</v>
      </c>
      <c r="D39" s="4">
        <f>B39*C39</f>
        <v>13800</v>
      </c>
      <c r="E39" s="4">
        <f>D39*0.1</f>
        <v>1380</v>
      </c>
      <c r="F39" s="4">
        <v>0</v>
      </c>
      <c r="G39" s="4">
        <v>0.2</v>
      </c>
      <c r="H39" s="4">
        <v>0.2</v>
      </c>
      <c r="I39" s="4">
        <f>H39*$C$2</f>
        <v>2064</v>
      </c>
      <c r="J39" s="4">
        <f>(D39+E39+F39+I39)*$C$3</f>
        <v>882.20303999999999</v>
      </c>
      <c r="K39" s="4"/>
      <c r="L39" s="9"/>
    </row>
    <row r="40" spans="1:13" x14ac:dyDescent="0.25">
      <c r="A40" s="4" t="s">
        <v>576</v>
      </c>
      <c r="B40" s="4">
        <v>1</v>
      </c>
      <c r="C40" s="4">
        <v>37000</v>
      </c>
      <c r="D40" s="4">
        <f>B40*C40</f>
        <v>37000</v>
      </c>
      <c r="E40" s="4">
        <f>D40*0.1</f>
        <v>3700</v>
      </c>
      <c r="F40" s="4">
        <v>0</v>
      </c>
      <c r="G40" s="4">
        <v>0.2</v>
      </c>
      <c r="H40" s="4">
        <v>0.2</v>
      </c>
      <c r="I40" s="4">
        <f>H40*$C$2</f>
        <v>2064</v>
      </c>
      <c r="J40" s="4">
        <f>(D40+E40+F40+I40)*$C$3</f>
        <v>2187.8062399999999</v>
      </c>
      <c r="K40" s="4"/>
      <c r="L40" s="9"/>
    </row>
    <row r="41" spans="1:13" ht="31.5" x14ac:dyDescent="0.5">
      <c r="A41" s="152" t="s">
        <v>957</v>
      </c>
      <c r="B41" s="152"/>
      <c r="C41" s="152"/>
      <c r="D41" s="152"/>
      <c r="E41" s="152"/>
      <c r="F41" s="152"/>
      <c r="G41" s="152"/>
      <c r="H41" s="152"/>
      <c r="I41" s="152"/>
      <c r="J41" s="152">
        <f>J42+J43</f>
        <v>787.50587999999993</v>
      </c>
      <c r="K41" s="152">
        <f>1997-550</f>
        <v>1447</v>
      </c>
      <c r="L41" s="243">
        <f>K41-J41</f>
        <v>659.49412000000007</v>
      </c>
      <c r="M41" t="s">
        <v>1045</v>
      </c>
    </row>
    <row r="42" spans="1:13" x14ac:dyDescent="0.25">
      <c r="A42" s="4" t="s">
        <v>1038</v>
      </c>
      <c r="B42" s="5">
        <v>5</v>
      </c>
      <c r="C42" s="5">
        <v>2290</v>
      </c>
      <c r="D42" s="4">
        <f>B42*C42</f>
        <v>11450</v>
      </c>
      <c r="E42" s="4">
        <f>D42*0.1</f>
        <v>1145</v>
      </c>
      <c r="F42" s="5">
        <v>1250</v>
      </c>
      <c r="G42" s="4"/>
      <c r="H42" s="4">
        <v>0.15</v>
      </c>
      <c r="I42" s="4">
        <f>H42*$C$2</f>
        <v>1548</v>
      </c>
      <c r="J42" s="4">
        <f>(D42+E42+F42+I42)*$C$3</f>
        <v>787.50587999999993</v>
      </c>
      <c r="K42" s="4"/>
      <c r="L42" s="9"/>
    </row>
    <row r="43" spans="1:13" x14ac:dyDescent="0.25">
      <c r="A43" s="4" t="s">
        <v>1039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9"/>
    </row>
  </sheetData>
  <hyperlinks>
    <hyperlink ref="A25" r:id="rId1" display="http://forum.sibmama.ru/viewtopic.php?t=715424&amp;start=30090"/>
    <hyperlink ref="A31" r:id="rId2" display="http://forum.sibmama.ru/viewtopic.php?p=85624875"/>
    <hyperlink ref="A35" r:id="rId3" display="http://forum.sibmama.ru/viewtopic.php?t=715424&amp;start=30195"/>
    <hyperlink ref="A41" r:id="rId4" display="http://forum.sibmama.ru/viewtopic.php?p=86111005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zoomScale="80" zoomScaleNormal="80" workbookViewId="0">
      <selection sqref="A1:XFD1048576"/>
    </sheetView>
  </sheetViews>
  <sheetFormatPr defaultRowHeight="15" x14ac:dyDescent="0.25"/>
  <cols>
    <col min="1" max="1" width="36.42578125" customWidth="1"/>
    <col min="3" max="3" width="20" customWidth="1"/>
    <col min="6" max="6" width="11.42578125" customWidth="1"/>
    <col min="9" max="9" width="13.5703125" customWidth="1"/>
    <col min="10" max="10" width="10.8554687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42886</v>
      </c>
      <c r="D1" s="30"/>
    </row>
    <row r="2" spans="1:12" ht="21" x14ac:dyDescent="0.35">
      <c r="A2" s="55" t="s">
        <v>239</v>
      </c>
      <c r="B2" s="4"/>
      <c r="C2" s="16">
        <v>9350</v>
      </c>
      <c r="D2" s="30"/>
    </row>
    <row r="3" spans="1:12" ht="21" x14ac:dyDescent="0.35">
      <c r="A3" s="55" t="s">
        <v>240</v>
      </c>
      <c r="B3" s="4"/>
      <c r="C3" s="170">
        <v>5.1139999999999998E-2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966</v>
      </c>
      <c r="B6" s="203"/>
      <c r="C6" s="152"/>
      <c r="D6" s="152"/>
      <c r="E6" s="152"/>
      <c r="F6" s="152"/>
      <c r="G6" s="152"/>
      <c r="H6" s="152"/>
      <c r="I6" s="152"/>
      <c r="J6" s="152">
        <f>SUM(J7:J10)</f>
        <v>4529.8533500000003</v>
      </c>
      <c r="K6" s="152">
        <v>4530</v>
      </c>
      <c r="L6" s="243">
        <f>K6-J6</f>
        <v>0.14664999999968131</v>
      </c>
    </row>
    <row r="7" spans="1:12" x14ac:dyDescent="0.25">
      <c r="A7" s="234" t="s">
        <v>1054</v>
      </c>
      <c r="B7" s="4">
        <v>1</v>
      </c>
      <c r="C7" s="5">
        <v>19900</v>
      </c>
      <c r="D7" s="4">
        <f>B7*C7</f>
        <v>19900</v>
      </c>
      <c r="E7" s="4">
        <f>D7*0.1</f>
        <v>1990</v>
      </c>
      <c r="F7" s="4">
        <v>0</v>
      </c>
      <c r="G7" s="71"/>
      <c r="H7" s="4">
        <v>1.05</v>
      </c>
      <c r="I7" s="4">
        <f>H7*$C$2</f>
        <v>9817.5</v>
      </c>
      <c r="J7" s="4">
        <f>(D7+E7+F7+I7)*$C$3</f>
        <v>1621.5215499999999</v>
      </c>
      <c r="K7" s="4"/>
      <c r="L7" s="9"/>
    </row>
    <row r="8" spans="1:12" x14ac:dyDescent="0.25">
      <c r="A8" s="234" t="s">
        <v>1055</v>
      </c>
      <c r="B8" s="4">
        <v>1</v>
      </c>
      <c r="C8" s="5">
        <v>15900</v>
      </c>
      <c r="D8" s="4">
        <f>B8*C8</f>
        <v>15900</v>
      </c>
      <c r="E8" s="4">
        <f>D8*0.1</f>
        <v>1590</v>
      </c>
      <c r="F8" s="4">
        <v>0</v>
      </c>
      <c r="G8" s="71"/>
      <c r="H8" s="4">
        <f>G8*B8</f>
        <v>0</v>
      </c>
      <c r="I8" s="4">
        <f>H8*$C$2</f>
        <v>0</v>
      </c>
      <c r="J8" s="4">
        <f>(D8+E8+F8+I8)*$C$3</f>
        <v>894.43859999999995</v>
      </c>
      <c r="K8" s="4"/>
      <c r="L8" s="9"/>
    </row>
    <row r="9" spans="1:12" x14ac:dyDescent="0.25">
      <c r="A9" s="234" t="s">
        <v>1056</v>
      </c>
      <c r="B9" s="4">
        <v>1</v>
      </c>
      <c r="C9" s="4">
        <v>23400</v>
      </c>
      <c r="D9" s="4">
        <f>B9*C9</f>
        <v>23400</v>
      </c>
      <c r="E9" s="4">
        <f>D9*0.1</f>
        <v>2340</v>
      </c>
      <c r="F9" s="4">
        <v>0</v>
      </c>
      <c r="G9" s="71"/>
      <c r="H9" s="4">
        <f>G9*B9</f>
        <v>0</v>
      </c>
      <c r="I9" s="4">
        <f>H9*$C$2</f>
        <v>0</v>
      </c>
      <c r="J9" s="4">
        <f>(D9+E9+F9+I9)*$C$3</f>
        <v>1316.3435999999999</v>
      </c>
      <c r="K9" s="4"/>
      <c r="L9" s="9"/>
    </row>
    <row r="10" spans="1:12" x14ac:dyDescent="0.25">
      <c r="A10" s="234" t="s">
        <v>1057</v>
      </c>
      <c r="B10" s="4">
        <v>1</v>
      </c>
      <c r="C10" s="4">
        <v>12400</v>
      </c>
      <c r="D10" s="4">
        <f>B10*C10</f>
        <v>12400</v>
      </c>
      <c r="E10" s="4">
        <f>D10*0.1</f>
        <v>1240</v>
      </c>
      <c r="F10" s="4">
        <v>0</v>
      </c>
      <c r="G10" s="71"/>
      <c r="H10" s="4">
        <f>G10*B10</f>
        <v>0</v>
      </c>
      <c r="I10" s="4">
        <f>H10*$C$2</f>
        <v>0</v>
      </c>
      <c r="J10" s="4">
        <f>(D10+E10+F10+I10)*$C$3</f>
        <v>697.54959999999994</v>
      </c>
      <c r="K10" s="4"/>
      <c r="L10" s="9"/>
    </row>
    <row r="11" spans="1:12" x14ac:dyDescent="0.25">
      <c r="A11" s="234"/>
      <c r="B11" s="4"/>
      <c r="C11" s="4"/>
      <c r="D11" s="4"/>
      <c r="E11" s="4"/>
      <c r="F11" s="4"/>
      <c r="G11" s="71"/>
      <c r="H11" s="4"/>
      <c r="I11" s="4"/>
      <c r="J11" s="4"/>
      <c r="K11" s="4"/>
      <c r="L11" s="9"/>
    </row>
    <row r="12" spans="1:12" ht="31.5" x14ac:dyDescent="0.5">
      <c r="A12" s="152" t="s">
        <v>1046</v>
      </c>
      <c r="B12" s="152"/>
      <c r="C12" s="152"/>
      <c r="D12" s="152"/>
      <c r="E12" s="152"/>
      <c r="F12" s="152"/>
      <c r="G12" s="152"/>
      <c r="H12" s="152"/>
      <c r="I12" s="152"/>
      <c r="J12" s="152">
        <f>J13</f>
        <v>573.79079999999999</v>
      </c>
      <c r="K12" s="152">
        <v>580</v>
      </c>
      <c r="L12" s="243">
        <f>K12-J12</f>
        <v>6.2092000000000098</v>
      </c>
    </row>
    <row r="13" spans="1:12" x14ac:dyDescent="0.25">
      <c r="A13" s="4" t="s">
        <v>1047</v>
      </c>
      <c r="B13" s="4">
        <v>1</v>
      </c>
      <c r="C13" s="4">
        <v>8500</v>
      </c>
      <c r="D13" s="4">
        <f>B13*C13</f>
        <v>8500</v>
      </c>
      <c r="E13" s="4">
        <f>D13*0.1</f>
        <v>850</v>
      </c>
      <c r="F13" s="4">
        <v>0</v>
      </c>
      <c r="G13" s="4">
        <v>0.2</v>
      </c>
      <c r="H13" s="4">
        <v>0.2</v>
      </c>
      <c r="I13" s="4">
        <f>H13*$C$2</f>
        <v>1870</v>
      </c>
      <c r="J13" s="4">
        <f>(D13+E13+F13+I13)*$C$3</f>
        <v>573.79079999999999</v>
      </c>
      <c r="K13" s="4"/>
      <c r="L13" s="9"/>
    </row>
    <row r="14" spans="1:12" ht="31.5" x14ac:dyDescent="0.5">
      <c r="A14" s="152" t="s">
        <v>870</v>
      </c>
      <c r="B14" s="152"/>
      <c r="C14" s="152"/>
      <c r="D14" s="152"/>
      <c r="E14" s="152"/>
      <c r="F14" s="152"/>
      <c r="G14" s="152"/>
      <c r="H14" s="152"/>
      <c r="I14" s="152"/>
      <c r="J14" s="152">
        <f>J15</f>
        <v>2094.4898399999997</v>
      </c>
      <c r="K14" s="152">
        <f>2058+36</f>
        <v>2094</v>
      </c>
      <c r="L14" s="243">
        <f>K14-J14</f>
        <v>-0.48983999999973094</v>
      </c>
    </row>
    <row r="15" spans="1:12" x14ac:dyDescent="0.25">
      <c r="A15" s="4" t="s">
        <v>951</v>
      </c>
      <c r="B15" s="4">
        <v>1</v>
      </c>
      <c r="C15" s="4">
        <v>33600</v>
      </c>
      <c r="D15" s="4">
        <f>B15*C15</f>
        <v>33600</v>
      </c>
      <c r="E15" s="4">
        <f>D15*0.1</f>
        <v>3360</v>
      </c>
      <c r="F15" s="4">
        <v>2500</v>
      </c>
      <c r="G15" s="4">
        <v>0.16</v>
      </c>
      <c r="H15" s="4">
        <v>0.16</v>
      </c>
      <c r="I15" s="4">
        <f>H15*$C$2</f>
        <v>1496</v>
      </c>
      <c r="J15" s="4">
        <f>(D15+E15+F15+I15)*$C$3</f>
        <v>2094.4898399999997</v>
      </c>
      <c r="K15" s="4"/>
      <c r="L15" s="9"/>
    </row>
    <row r="16" spans="1:12" ht="31.5" x14ac:dyDescent="0.5">
      <c r="A16" s="152" t="s">
        <v>1048</v>
      </c>
      <c r="B16" s="152"/>
      <c r="C16" s="152"/>
      <c r="D16" s="152"/>
      <c r="E16" s="152"/>
      <c r="F16" s="152"/>
      <c r="G16" s="152"/>
      <c r="H16" s="152"/>
      <c r="I16" s="152"/>
      <c r="J16" s="152">
        <f>J17</f>
        <v>482.53146999999996</v>
      </c>
      <c r="K16" s="152">
        <v>462</v>
      </c>
      <c r="L16" s="243">
        <f>K16-J16</f>
        <v>-20.531469999999956</v>
      </c>
    </row>
    <row r="17" spans="1:12" x14ac:dyDescent="0.25">
      <c r="A17" s="4" t="s">
        <v>1049</v>
      </c>
      <c r="B17" s="4">
        <v>1</v>
      </c>
      <c r="C17" s="4">
        <v>5030</v>
      </c>
      <c r="D17" s="4">
        <f>B17*C17</f>
        <v>5030</v>
      </c>
      <c r="E17" s="4">
        <f>D17*0.1</f>
        <v>503</v>
      </c>
      <c r="F17" s="4">
        <v>2500</v>
      </c>
      <c r="G17" s="4">
        <v>0.15</v>
      </c>
      <c r="H17" s="4">
        <v>0.15</v>
      </c>
      <c r="I17" s="4">
        <f>H17*$C$2</f>
        <v>1402.5</v>
      </c>
      <c r="J17" s="4">
        <f>(D17+E17+F17+I17)*$C$3</f>
        <v>482.53146999999996</v>
      </c>
      <c r="K17" s="4"/>
      <c r="L17" s="9"/>
    </row>
    <row r="18" spans="1:12" ht="31.5" x14ac:dyDescent="0.5">
      <c r="A18" s="152" t="s">
        <v>1050</v>
      </c>
      <c r="B18" s="152"/>
      <c r="C18" s="152"/>
      <c r="D18" s="152"/>
      <c r="E18" s="152"/>
      <c r="F18" s="152"/>
      <c r="G18" s="152"/>
      <c r="H18" s="152"/>
      <c r="I18" s="152">
        <v>5277</v>
      </c>
      <c r="J18" s="152">
        <f>SUM(J19:J21)</f>
        <v>5383.5078000000003</v>
      </c>
      <c r="K18" s="152">
        <f>5277+107</f>
        <v>5384</v>
      </c>
      <c r="L18" s="243">
        <f>K18-J18</f>
        <v>0.49219999999968422</v>
      </c>
    </row>
    <row r="19" spans="1:12" x14ac:dyDescent="0.25">
      <c r="A19" s="5" t="s">
        <v>1051</v>
      </c>
      <c r="B19" s="5">
        <v>1</v>
      </c>
      <c r="C19" s="5">
        <v>28900</v>
      </c>
      <c r="D19" s="4">
        <f>B19*C19</f>
        <v>28900</v>
      </c>
      <c r="E19" s="4">
        <f>D19*0.1</f>
        <v>2890</v>
      </c>
      <c r="F19" s="4">
        <v>0</v>
      </c>
      <c r="G19" s="4">
        <v>0.2</v>
      </c>
      <c r="H19" s="4">
        <v>0.2</v>
      </c>
      <c r="I19" s="4">
        <f>H19*$C$2</f>
        <v>1870</v>
      </c>
      <c r="J19" s="4">
        <f>(D19+E19+F19+I19)*$C$3</f>
        <v>1721.3724</v>
      </c>
      <c r="K19" s="4"/>
      <c r="L19" s="9"/>
    </row>
    <row r="20" spans="1:12" x14ac:dyDescent="0.25">
      <c r="A20" s="5" t="s">
        <v>327</v>
      </c>
      <c r="B20" s="4">
        <v>1</v>
      </c>
      <c r="C20" s="4">
        <v>28900</v>
      </c>
      <c r="D20" s="4">
        <f>B20*C20</f>
        <v>28900</v>
      </c>
      <c r="E20" s="4">
        <f>D20*0.1</f>
        <v>2890</v>
      </c>
      <c r="F20" s="4">
        <v>0</v>
      </c>
      <c r="G20" s="4">
        <v>0.7</v>
      </c>
      <c r="H20" s="4">
        <v>0.7</v>
      </c>
      <c r="I20" s="4">
        <f>H20*$C$2</f>
        <v>6545</v>
      </c>
      <c r="J20" s="4">
        <f>(D20+E20+F20+I20)*$C$3</f>
        <v>1960.4519</v>
      </c>
      <c r="K20" s="4"/>
      <c r="L20" s="9"/>
    </row>
    <row r="21" spans="1:12" x14ac:dyDescent="0.25">
      <c r="A21" s="4" t="s">
        <v>1052</v>
      </c>
      <c r="B21" s="4">
        <v>1</v>
      </c>
      <c r="C21" s="4">
        <v>26000</v>
      </c>
      <c r="D21" s="4">
        <f>B21*C21</f>
        <v>26000</v>
      </c>
      <c r="E21" s="4">
        <f>D21*0.1</f>
        <v>2600</v>
      </c>
      <c r="F21" s="4">
        <v>0</v>
      </c>
      <c r="G21" s="4">
        <v>0.5</v>
      </c>
      <c r="H21" s="4">
        <v>0.5</v>
      </c>
      <c r="I21" s="4">
        <f>H21*$C$2</f>
        <v>4675</v>
      </c>
      <c r="J21" s="4">
        <f>(D21+E21+F21+I21)*$C$3</f>
        <v>1701.6834999999999</v>
      </c>
      <c r="K21" s="4"/>
      <c r="L21" s="9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zoomScale="80" zoomScaleNormal="80" workbookViewId="0">
      <selection activeCell="A4" sqref="A1:XFD1048576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42877</v>
      </c>
      <c r="D1" s="30"/>
    </row>
    <row r="2" spans="1:12" ht="21" x14ac:dyDescent="0.35">
      <c r="A2" s="55" t="s">
        <v>239</v>
      </c>
      <c r="B2" s="4"/>
      <c r="C2" s="16">
        <v>8670</v>
      </c>
      <c r="D2" s="30"/>
    </row>
    <row r="3" spans="1:12" ht="21" x14ac:dyDescent="0.35">
      <c r="A3" s="55" t="s">
        <v>240</v>
      </c>
      <c r="B3" s="4"/>
      <c r="C3" s="170">
        <v>5.2810000000000003E-2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846</v>
      </c>
      <c r="B6" s="152"/>
      <c r="C6" s="152"/>
      <c r="D6" s="152"/>
      <c r="E6" s="152"/>
      <c r="F6" s="152"/>
      <c r="G6" s="152"/>
      <c r="H6" s="152"/>
      <c r="I6" s="152"/>
      <c r="J6" s="152">
        <f>SUM(J7:J9)</f>
        <v>4275.8461459999999</v>
      </c>
      <c r="K6" s="152">
        <f>3749+527</f>
        <v>4276</v>
      </c>
      <c r="L6" s="243">
        <f>K6-J6</f>
        <v>0.1538540000001376</v>
      </c>
    </row>
    <row r="7" spans="1:12" x14ac:dyDescent="0.25">
      <c r="A7" s="4" t="s">
        <v>1058</v>
      </c>
      <c r="B7" s="4">
        <v>2</v>
      </c>
      <c r="C7" s="21">
        <v>16000</v>
      </c>
      <c r="D7" s="4">
        <f>B7*C7</f>
        <v>32000</v>
      </c>
      <c r="E7" s="4">
        <f>D7*0.1</f>
        <v>3200</v>
      </c>
      <c r="F7" s="4">
        <v>0</v>
      </c>
      <c r="G7" s="21">
        <v>0.2</v>
      </c>
      <c r="H7" s="4">
        <v>0.53</v>
      </c>
      <c r="I7" s="4">
        <f>H7*$C$2</f>
        <v>4595.1000000000004</v>
      </c>
      <c r="J7" s="4">
        <f>(D7+E7+F7+I7)*$C$3</f>
        <v>2101.5792310000002</v>
      </c>
      <c r="K7" s="4"/>
      <c r="L7" s="9"/>
    </row>
    <row r="8" spans="1:12" x14ac:dyDescent="0.25">
      <c r="A8" s="17" t="s">
        <v>1059</v>
      </c>
      <c r="B8" s="4">
        <v>1</v>
      </c>
      <c r="C8" s="21">
        <v>16000</v>
      </c>
      <c r="D8" s="4">
        <f>B8*C8</f>
        <v>16000</v>
      </c>
      <c r="E8" s="4">
        <f>D8*0.1</f>
        <v>1600</v>
      </c>
      <c r="F8" s="4">
        <v>0</v>
      </c>
      <c r="G8" s="21">
        <v>0.22</v>
      </c>
      <c r="H8" s="4">
        <v>0.25</v>
      </c>
      <c r="I8" s="4">
        <f>H8*$C$2</f>
        <v>2167.5</v>
      </c>
      <c r="J8" s="4">
        <f>(D8+E8+F8+I8)*$C$3</f>
        <v>1043.9216750000001</v>
      </c>
      <c r="K8" s="4"/>
      <c r="L8" s="9"/>
    </row>
    <row r="9" spans="1:12" x14ac:dyDescent="0.25">
      <c r="A9" s="17" t="s">
        <v>1060</v>
      </c>
      <c r="B9" s="4">
        <v>1</v>
      </c>
      <c r="C9" s="21">
        <v>10000</v>
      </c>
      <c r="D9" s="4">
        <f>B9*C9</f>
        <v>10000</v>
      </c>
      <c r="E9" s="4">
        <f>D9*0.1</f>
        <v>1000</v>
      </c>
      <c r="F9" s="4">
        <v>0</v>
      </c>
      <c r="G9" s="21">
        <v>0.15</v>
      </c>
      <c r="H9" s="4">
        <v>1.2</v>
      </c>
      <c r="I9" s="4">
        <f>H9*$C$2</f>
        <v>10404</v>
      </c>
      <c r="J9" s="4">
        <f>(D9+E9+F9+I9)*$C$3</f>
        <v>1130.3452400000001</v>
      </c>
      <c r="K9" s="4"/>
      <c r="L9" s="9"/>
    </row>
    <row r="10" spans="1:12" ht="31.5" x14ac:dyDescent="0.5">
      <c r="A10" s="152" t="s">
        <v>619</v>
      </c>
      <c r="B10" s="152"/>
      <c r="C10" s="152"/>
      <c r="D10" s="152"/>
      <c r="E10" s="152"/>
      <c r="F10" s="152"/>
      <c r="G10" s="152"/>
      <c r="H10" s="152"/>
      <c r="I10" s="152"/>
      <c r="J10" s="152">
        <f>SUM(J11:J12)</f>
        <v>508.56822150000005</v>
      </c>
      <c r="K10" s="152">
        <v>562</v>
      </c>
      <c r="L10" s="243">
        <f>K10-J10</f>
        <v>53.43177849999995</v>
      </c>
    </row>
    <row r="11" spans="1:12" x14ac:dyDescent="0.25">
      <c r="A11" s="4" t="s">
        <v>1061</v>
      </c>
      <c r="B11" s="4">
        <v>2</v>
      </c>
      <c r="C11" s="4">
        <v>2800</v>
      </c>
      <c r="D11" s="4">
        <f>B11*C11</f>
        <v>5600</v>
      </c>
      <c r="E11" s="4">
        <f>D11*0.1</f>
        <v>560</v>
      </c>
      <c r="F11" s="4">
        <v>0</v>
      </c>
      <c r="G11" s="4">
        <v>0.05</v>
      </c>
      <c r="H11" s="4">
        <v>0.03</v>
      </c>
      <c r="I11" s="4">
        <f>H11*$C$2</f>
        <v>260.09999999999997</v>
      </c>
      <c r="J11" s="4">
        <f>(D11+E11+F11+I11)*$C$3</f>
        <v>339.04548100000005</v>
      </c>
      <c r="K11" s="4"/>
      <c r="L11" s="9"/>
    </row>
    <row r="12" spans="1:12" x14ac:dyDescent="0.25">
      <c r="A12" s="4" t="s">
        <v>1062</v>
      </c>
      <c r="B12" s="4">
        <v>1</v>
      </c>
      <c r="C12" s="4">
        <v>2800</v>
      </c>
      <c r="D12" s="4">
        <f>B12*C12</f>
        <v>2800</v>
      </c>
      <c r="E12" s="4">
        <f>D12*0.1</f>
        <v>280</v>
      </c>
      <c r="F12" s="4">
        <v>0</v>
      </c>
      <c r="G12" s="4">
        <v>0.05</v>
      </c>
      <c r="H12" s="4">
        <v>1.4999999999999999E-2</v>
      </c>
      <c r="I12" s="4">
        <f>H12*$C$2</f>
        <v>130.04999999999998</v>
      </c>
      <c r="J12" s="4">
        <f>(D12+E12+F12+I12)*$C$3</f>
        <v>169.52274050000003</v>
      </c>
      <c r="K12" s="4"/>
      <c r="L12" s="9"/>
    </row>
    <row r="13" spans="1:12" ht="31.5" x14ac:dyDescent="0.5">
      <c r="A13" s="152" t="s">
        <v>755</v>
      </c>
      <c r="B13" s="152"/>
      <c r="C13" s="152"/>
      <c r="D13" s="152"/>
      <c r="E13" s="152"/>
      <c r="F13" s="152"/>
      <c r="G13" s="152"/>
      <c r="H13" s="152"/>
      <c r="I13" s="152"/>
      <c r="J13" s="152">
        <f>SUM(J14:J15)</f>
        <v>1947.8746698</v>
      </c>
      <c r="K13" s="152">
        <v>2000</v>
      </c>
      <c r="L13" s="243">
        <f>K13-J13</f>
        <v>52.125330200000008</v>
      </c>
    </row>
    <row r="14" spans="1:12" x14ac:dyDescent="0.25">
      <c r="A14" s="17" t="s">
        <v>1063</v>
      </c>
      <c r="B14" s="4">
        <v>3</v>
      </c>
      <c r="C14" s="4">
        <v>2800</v>
      </c>
      <c r="D14" s="4">
        <f>B14*C14</f>
        <v>8400</v>
      </c>
      <c r="E14" s="4">
        <f>D14*0.1</f>
        <v>840</v>
      </c>
      <c r="F14" s="4">
        <v>2500</v>
      </c>
      <c r="G14" s="4">
        <v>0.44</v>
      </c>
      <c r="H14" s="4">
        <v>1.3</v>
      </c>
      <c r="I14" s="4">
        <f>H14*$C$2</f>
        <v>11271</v>
      </c>
      <c r="J14" s="4">
        <f>(D14+E14+F14+I14)*$C$3</f>
        <v>1215.21091</v>
      </c>
      <c r="K14" s="4"/>
      <c r="L14" s="9"/>
    </row>
    <row r="15" spans="1:12" x14ac:dyDescent="0.25">
      <c r="A15" s="17" t="s">
        <v>157</v>
      </c>
      <c r="B15" s="4">
        <v>2</v>
      </c>
      <c r="C15" s="5">
        <v>3650</v>
      </c>
      <c r="D15" s="4">
        <f>B15*C15</f>
        <v>7300</v>
      </c>
      <c r="E15" s="4">
        <f>D15*0.1</f>
        <v>730</v>
      </c>
      <c r="F15" s="4">
        <v>0</v>
      </c>
      <c r="G15" s="4">
        <v>0.3</v>
      </c>
      <c r="H15" s="4">
        <v>0.67400000000000004</v>
      </c>
      <c r="I15" s="4">
        <f>H15*$C$2</f>
        <v>5843.58</v>
      </c>
      <c r="J15" s="4">
        <f>(D15+E15+F15+I15)*$C$3</f>
        <v>732.66375979999998</v>
      </c>
      <c r="K15" s="4"/>
      <c r="L15" s="9"/>
    </row>
    <row r="16" spans="1:12" ht="31.5" x14ac:dyDescent="0.5">
      <c r="A16" s="152" t="s">
        <v>957</v>
      </c>
      <c r="B16" s="152"/>
      <c r="C16" s="152"/>
      <c r="D16" s="152"/>
      <c r="E16" s="152"/>
      <c r="F16" s="152"/>
      <c r="G16" s="152"/>
      <c r="H16" s="152"/>
      <c r="I16" s="152"/>
      <c r="J16" s="152">
        <f>J17</f>
        <v>1441.211305</v>
      </c>
      <c r="K16" s="152">
        <v>1619</v>
      </c>
      <c r="L16" s="243">
        <f>K16-J16</f>
        <v>177.78869499999996</v>
      </c>
    </row>
    <row r="17" spans="1:12" x14ac:dyDescent="0.25">
      <c r="A17" s="4" t="s">
        <v>1064</v>
      </c>
      <c r="B17" s="4">
        <v>10</v>
      </c>
      <c r="C17" s="4">
        <v>2090</v>
      </c>
      <c r="D17" s="4">
        <f>B17*C17</f>
        <v>20900</v>
      </c>
      <c r="E17" s="4">
        <f>D17*0.1</f>
        <v>2090</v>
      </c>
      <c r="F17" s="4">
        <v>3000</v>
      </c>
      <c r="G17" s="4">
        <v>0.05</v>
      </c>
      <c r="H17" s="4">
        <v>0.15</v>
      </c>
      <c r="I17" s="4">
        <f>H17*$C$2</f>
        <v>1300.5</v>
      </c>
      <c r="J17" s="4">
        <f>(D17+E17+F17+I17)*$C$3</f>
        <v>1441.211305</v>
      </c>
      <c r="K17" s="4"/>
      <c r="L17" s="9"/>
    </row>
    <row r="18" spans="1:12" ht="31.5" x14ac:dyDescent="0.5">
      <c r="A18" s="152" t="s">
        <v>644</v>
      </c>
      <c r="B18" s="152"/>
      <c r="C18" s="152"/>
      <c r="D18" s="152"/>
      <c r="E18" s="152"/>
      <c r="F18" s="152"/>
      <c r="G18" s="152"/>
      <c r="H18" s="152"/>
      <c r="I18" s="152"/>
      <c r="J18" s="152">
        <f>J19</f>
        <v>1105.1812750000001</v>
      </c>
      <c r="K18" s="152">
        <f>1076+29</f>
        <v>1105</v>
      </c>
      <c r="L18" s="243">
        <f>K18-J18</f>
        <v>-0.18127500000014152</v>
      </c>
    </row>
    <row r="19" spans="1:12" x14ac:dyDescent="0.25">
      <c r="A19" s="17" t="s">
        <v>1065</v>
      </c>
      <c r="B19" s="4">
        <v>1</v>
      </c>
      <c r="C19" s="4">
        <v>6900</v>
      </c>
      <c r="D19" s="4">
        <f>B19*C19</f>
        <v>6900</v>
      </c>
      <c r="E19" s="4">
        <f>D19*0.1</f>
        <v>690</v>
      </c>
      <c r="F19" s="4">
        <v>2500</v>
      </c>
      <c r="G19" s="4">
        <v>1.1000000000000001</v>
      </c>
      <c r="H19" s="4">
        <v>1.25</v>
      </c>
      <c r="I19" s="4">
        <f>H19*$C$2</f>
        <v>10837.5</v>
      </c>
      <c r="J19" s="4">
        <f>(D19+E19+F19+I19)*$C$3</f>
        <v>1105.1812750000001</v>
      </c>
      <c r="K19" s="4"/>
      <c r="L19" s="9"/>
    </row>
    <row r="20" spans="1:12" ht="31.5" x14ac:dyDescent="0.5">
      <c r="A20" s="152" t="s">
        <v>1066</v>
      </c>
      <c r="B20" s="152"/>
      <c r="C20" s="152"/>
      <c r="D20" s="152"/>
      <c r="E20" s="152"/>
      <c r="F20" s="152"/>
      <c r="G20" s="152"/>
      <c r="H20" s="152"/>
      <c r="I20" s="152"/>
      <c r="J20" s="152">
        <f>J21</f>
        <v>798.35517500000003</v>
      </c>
      <c r="K20" s="152">
        <f>783+15</f>
        <v>798</v>
      </c>
      <c r="L20" s="243">
        <f>K20-J20</f>
        <v>-0.3551750000000311</v>
      </c>
    </row>
    <row r="21" spans="1:12" x14ac:dyDescent="0.25">
      <c r="A21" s="17" t="s">
        <v>1067</v>
      </c>
      <c r="B21" s="4">
        <v>1</v>
      </c>
      <c r="C21" s="4">
        <v>9500</v>
      </c>
      <c r="D21" s="4">
        <f>B21*C21</f>
        <v>9500</v>
      </c>
      <c r="E21" s="4">
        <f>D21*0.1</f>
        <v>950</v>
      </c>
      <c r="F21" s="4">
        <v>2500</v>
      </c>
      <c r="G21" s="4">
        <v>0.2</v>
      </c>
      <c r="H21" s="4">
        <v>0.25</v>
      </c>
      <c r="I21" s="4">
        <f>H21*$C$2</f>
        <v>2167.5</v>
      </c>
      <c r="J21" s="4">
        <f>(D21+E21+F21+I21)*$C$3</f>
        <v>798.35517500000003</v>
      </c>
      <c r="K21" s="4"/>
      <c r="L21" s="9"/>
    </row>
    <row r="22" spans="1:12" ht="31.5" x14ac:dyDescent="0.5">
      <c r="A22" s="152" t="s">
        <v>1068</v>
      </c>
      <c r="B22" s="152"/>
      <c r="C22" s="152"/>
      <c r="D22" s="152"/>
      <c r="E22" s="152"/>
      <c r="F22" s="152"/>
      <c r="G22" s="152"/>
      <c r="H22" s="152"/>
      <c r="I22" s="152"/>
      <c r="J22" s="152">
        <f>J23</f>
        <v>600.99540333333334</v>
      </c>
      <c r="K22" s="152">
        <v>610</v>
      </c>
      <c r="L22" s="243">
        <f>K22-J22</f>
        <v>9.0045966666666573</v>
      </c>
    </row>
    <row r="23" spans="1:12" x14ac:dyDescent="0.25">
      <c r="A23" s="4" t="s">
        <v>1069</v>
      </c>
      <c r="B23" s="4">
        <v>1</v>
      </c>
      <c r="C23" s="4">
        <v>8800</v>
      </c>
      <c r="D23" s="4">
        <f>B23*C23</f>
        <v>8800</v>
      </c>
      <c r="E23" s="4">
        <f>D23*0.1</f>
        <v>880</v>
      </c>
      <c r="F23" s="71">
        <f>2500/3</f>
        <v>833.33333333333337</v>
      </c>
      <c r="G23" s="4">
        <v>0.11</v>
      </c>
      <c r="H23" s="4">
        <v>0.1</v>
      </c>
      <c r="I23" s="4">
        <f>H23*$C$2</f>
        <v>867</v>
      </c>
      <c r="J23" s="4">
        <f>(D23+E23+F23+I23)*$C$3</f>
        <v>600.99540333333334</v>
      </c>
      <c r="K23" s="4"/>
      <c r="L23" s="9"/>
    </row>
    <row r="24" spans="1:12" ht="31.5" x14ac:dyDescent="0.5">
      <c r="A24" s="152" t="s">
        <v>1070</v>
      </c>
      <c r="B24" s="152"/>
      <c r="C24" s="152"/>
      <c r="D24" s="152"/>
      <c r="E24" s="152"/>
      <c r="F24" s="152"/>
      <c r="G24" s="152"/>
      <c r="H24" s="152"/>
      <c r="I24" s="152"/>
      <c r="J24" s="152">
        <f>J25</f>
        <v>920.15263833333347</v>
      </c>
      <c r="K24" s="152">
        <f>906+14+14</f>
        <v>934</v>
      </c>
      <c r="L24" s="243">
        <f>K24-J24</f>
        <v>13.847361666666529</v>
      </c>
    </row>
    <row r="25" spans="1:12" x14ac:dyDescent="0.25">
      <c r="A25" s="4" t="s">
        <v>1071</v>
      </c>
      <c r="B25" s="4">
        <v>1</v>
      </c>
      <c r="C25" s="4">
        <v>13900</v>
      </c>
      <c r="D25" s="4">
        <f>B25*C25</f>
        <v>13900</v>
      </c>
      <c r="E25" s="4">
        <f>D25*0.1</f>
        <v>1390</v>
      </c>
      <c r="F25" s="71">
        <f>2500/3</f>
        <v>833.33333333333337</v>
      </c>
      <c r="G25" s="4">
        <v>0.11</v>
      </c>
      <c r="H25" s="4">
        <v>0.15</v>
      </c>
      <c r="I25" s="4">
        <f>H25*$C$2</f>
        <v>1300.5</v>
      </c>
      <c r="J25" s="4">
        <f>(D25+E25+F25+I25)*$C$3</f>
        <v>920.15263833333347</v>
      </c>
      <c r="K25" s="4"/>
      <c r="L25" s="9"/>
    </row>
    <row r="26" spans="1:12" ht="31.5" x14ac:dyDescent="0.5">
      <c r="A26" s="152" t="s">
        <v>546</v>
      </c>
      <c r="B26" s="152"/>
      <c r="C26" s="152"/>
      <c r="D26" s="152"/>
      <c r="E26" s="152"/>
      <c r="F26" s="152"/>
      <c r="G26" s="152"/>
      <c r="H26" s="152"/>
      <c r="I26" s="152"/>
      <c r="J26" s="152">
        <f>J27</f>
        <v>1293.3697100000002</v>
      </c>
      <c r="K26" s="152">
        <v>1260</v>
      </c>
      <c r="L26" s="243">
        <f>K26-J26</f>
        <v>-33.369710000000168</v>
      </c>
    </row>
    <row r="27" spans="1:12" x14ac:dyDescent="0.25">
      <c r="A27" s="4" t="s">
        <v>1072</v>
      </c>
      <c r="B27" s="4">
        <v>1</v>
      </c>
      <c r="C27" s="4">
        <v>19900</v>
      </c>
      <c r="D27" s="4">
        <f>B27*C27</f>
        <v>19900</v>
      </c>
      <c r="E27" s="4">
        <f>D27*0.1</f>
        <v>1990</v>
      </c>
      <c r="F27" s="4">
        <v>0</v>
      </c>
      <c r="G27" s="4">
        <v>0.21</v>
      </c>
      <c r="H27" s="4">
        <v>0.3</v>
      </c>
      <c r="I27" s="4">
        <f>H27*$C$2</f>
        <v>2601</v>
      </c>
      <c r="J27" s="4">
        <f>(D27+E27+F27+I27)*$C$3</f>
        <v>1293.3697100000002</v>
      </c>
      <c r="K27" s="4"/>
      <c r="L27" s="9"/>
    </row>
    <row r="28" spans="1:12" ht="31.5" x14ac:dyDescent="0.5">
      <c r="A28" s="152" t="s">
        <v>966</v>
      </c>
      <c r="B28" s="152"/>
      <c r="C28" s="152"/>
      <c r="D28" s="152"/>
      <c r="E28" s="152"/>
      <c r="F28" s="152"/>
      <c r="G28" s="152"/>
      <c r="H28" s="152"/>
      <c r="I28" s="152"/>
      <c r="J28" s="152">
        <f>SUM(J29:J32)</f>
        <v>8997.0126170000003</v>
      </c>
      <c r="K28" s="152"/>
      <c r="L28" s="243"/>
    </row>
    <row r="29" spans="1:12" x14ac:dyDescent="0.25">
      <c r="A29" s="4"/>
      <c r="B29" s="7">
        <v>2</v>
      </c>
      <c r="C29" s="5">
        <v>13900</v>
      </c>
      <c r="D29" s="5">
        <f>B29*C29</f>
        <v>27800</v>
      </c>
      <c r="E29" s="4">
        <f t="shared" ref="E29:E32" si="0">D29*0.1</f>
        <v>2780</v>
      </c>
      <c r="F29" s="4">
        <v>0</v>
      </c>
      <c r="G29" s="5">
        <v>1.71</v>
      </c>
      <c r="H29" s="5">
        <v>1.71</v>
      </c>
      <c r="I29" s="4">
        <f>H29*$C$2</f>
        <v>14825.699999999999</v>
      </c>
      <c r="J29" s="4">
        <f>(D29+E29+F29+I29)*$C$3</f>
        <v>2397.8750169999998</v>
      </c>
      <c r="K29" s="4"/>
      <c r="L29" s="4"/>
    </row>
    <row r="30" spans="1:12" x14ac:dyDescent="0.25">
      <c r="A30" s="4"/>
      <c r="B30" s="7">
        <v>2</v>
      </c>
      <c r="C30" s="5">
        <v>33900</v>
      </c>
      <c r="D30" s="5">
        <f t="shared" ref="D30:D32" si="1">B30*C30</f>
        <v>67800</v>
      </c>
      <c r="E30" s="4">
        <f t="shared" si="0"/>
        <v>6780</v>
      </c>
      <c r="F30" s="4">
        <v>0</v>
      </c>
      <c r="G30" s="4"/>
      <c r="H30" s="4"/>
      <c r="I30" s="4"/>
      <c r="J30" s="4">
        <f t="shared" ref="J30:J31" si="2">(D30+E30+F30+I30)*$C$3</f>
        <v>3938.5698000000002</v>
      </c>
      <c r="K30" s="4"/>
      <c r="L30" s="4"/>
    </row>
    <row r="31" spans="1:12" x14ac:dyDescent="0.25">
      <c r="A31" s="4"/>
      <c r="B31" s="7">
        <v>1</v>
      </c>
      <c r="C31" s="5">
        <v>21900</v>
      </c>
      <c r="D31" s="5">
        <f t="shared" si="1"/>
        <v>21900</v>
      </c>
      <c r="E31" s="4">
        <f t="shared" si="0"/>
        <v>2190</v>
      </c>
      <c r="F31" s="4">
        <v>0</v>
      </c>
      <c r="G31" s="4"/>
      <c r="H31" s="4"/>
      <c r="I31" s="4"/>
      <c r="J31" s="4">
        <f t="shared" si="2"/>
        <v>1272.1929</v>
      </c>
      <c r="K31" s="4"/>
      <c r="L31" s="4"/>
    </row>
    <row r="32" spans="1:12" x14ac:dyDescent="0.25">
      <c r="A32" s="4"/>
      <c r="B32" s="7">
        <v>1</v>
      </c>
      <c r="C32" s="5">
        <v>23900</v>
      </c>
      <c r="D32" s="5">
        <f t="shared" si="1"/>
        <v>23900</v>
      </c>
      <c r="E32" s="4">
        <f t="shared" si="0"/>
        <v>2390</v>
      </c>
      <c r="F32" s="4">
        <v>0</v>
      </c>
      <c r="G32" s="4"/>
      <c r="H32" s="4"/>
      <c r="I32" s="4"/>
      <c r="J32" s="4">
        <f>(D32+E32+F32+I32)*$C$3</f>
        <v>1388.3749</v>
      </c>
      <c r="K32" s="4"/>
      <c r="L32" s="4"/>
    </row>
  </sheetData>
  <hyperlinks>
    <hyperlink ref="A19" r:id="rId1" display="http://item2.gmarket.co.kr/English/detailview/item.aspx?goodscode=193243703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2" sqref="C2"/>
    </sheetView>
  </sheetViews>
  <sheetFormatPr defaultRowHeight="15" x14ac:dyDescent="0.25"/>
  <cols>
    <col min="1" max="1" width="38.7109375" customWidth="1"/>
    <col min="3" max="3" width="20" customWidth="1"/>
    <col min="6" max="6" width="11.42578125" customWidth="1"/>
    <col min="9" max="9" width="13.5703125" customWidth="1"/>
    <col min="10" max="10" width="12.42578125" customWidth="1"/>
    <col min="11" max="11" width="12.140625" customWidth="1"/>
    <col min="12" max="12" width="13.140625" customWidth="1"/>
  </cols>
  <sheetData>
    <row r="1" spans="1:12" ht="21" x14ac:dyDescent="0.35">
      <c r="A1" s="55" t="s">
        <v>281</v>
      </c>
      <c r="B1" s="4"/>
      <c r="C1" s="189">
        <v>43029</v>
      </c>
      <c r="D1" s="30"/>
    </row>
    <row r="2" spans="1:12" ht="21" x14ac:dyDescent="0.35">
      <c r="A2" s="55" t="s">
        <v>239</v>
      </c>
      <c r="B2" s="4"/>
      <c r="C2" s="16">
        <v>9300</v>
      </c>
      <c r="D2" s="30"/>
    </row>
    <row r="3" spans="1:12" ht="21" x14ac:dyDescent="0.35">
      <c r="A3" s="55" t="s">
        <v>240</v>
      </c>
      <c r="B3" s="4"/>
      <c r="C3" s="170">
        <v>5.1999999999999998E-2</v>
      </c>
      <c r="D3" s="30"/>
    </row>
    <row r="4" spans="1:12" ht="15.75" thickBot="1" x14ac:dyDescent="0.3"/>
    <row r="5" spans="1:12" ht="45" x14ac:dyDescent="0.25">
      <c r="A5" s="94"/>
      <c r="B5" s="216" t="s">
        <v>3</v>
      </c>
      <c r="C5" s="216" t="s">
        <v>348</v>
      </c>
      <c r="D5" s="216" t="s">
        <v>5</v>
      </c>
      <c r="E5" s="95" t="s">
        <v>401</v>
      </c>
      <c r="F5" s="218" t="s">
        <v>350</v>
      </c>
      <c r="G5" s="217" t="s">
        <v>7</v>
      </c>
      <c r="H5" s="94" t="s">
        <v>1001</v>
      </c>
      <c r="I5" s="216" t="s">
        <v>874</v>
      </c>
      <c r="J5" s="219" t="s">
        <v>16</v>
      </c>
      <c r="K5" s="216" t="s">
        <v>143</v>
      </c>
      <c r="L5" s="95" t="s">
        <v>144</v>
      </c>
    </row>
    <row r="6" spans="1:12" ht="31.5" x14ac:dyDescent="0.5">
      <c r="A6" s="152" t="s">
        <v>22</v>
      </c>
      <c r="B6" s="152"/>
      <c r="C6" s="152"/>
      <c r="D6" s="152"/>
      <c r="E6" s="152"/>
      <c r="F6" s="152"/>
      <c r="G6" s="152"/>
      <c r="H6" s="152"/>
      <c r="I6" s="152"/>
      <c r="J6" s="152">
        <f>J7</f>
        <v>1044.94</v>
      </c>
      <c r="K6" s="152"/>
      <c r="L6" s="243">
        <f>K6-J6</f>
        <v>-1044.94</v>
      </c>
    </row>
    <row r="7" spans="1:12" x14ac:dyDescent="0.25">
      <c r="A7" s="4" t="s">
        <v>67</v>
      </c>
      <c r="B7" s="244">
        <v>1</v>
      </c>
      <c r="C7" s="4">
        <v>17000</v>
      </c>
      <c r="D7" s="4">
        <f>B7*C7</f>
        <v>17000</v>
      </c>
      <c r="E7" s="4">
        <f>D7*0.1</f>
        <v>1700</v>
      </c>
      <c r="F7" s="4">
        <v>0</v>
      </c>
      <c r="G7" s="4">
        <v>0.15</v>
      </c>
      <c r="H7" s="4">
        <f>G7</f>
        <v>0.15</v>
      </c>
      <c r="I7" s="4">
        <f>H7*$C$2</f>
        <v>1395</v>
      </c>
      <c r="J7" s="4">
        <f>(D7+E7+F7+I7)*$C$3</f>
        <v>1044.94</v>
      </c>
      <c r="K7" s="4"/>
      <c r="L7" s="9"/>
    </row>
    <row r="8" spans="1:12" ht="31.5" x14ac:dyDescent="0.5">
      <c r="A8" s="152" t="s">
        <v>1078</v>
      </c>
      <c r="B8" s="152"/>
      <c r="C8" s="152"/>
      <c r="D8" s="152"/>
      <c r="E8" s="152"/>
      <c r="F8" s="152"/>
      <c r="G8" s="152"/>
      <c r="H8" s="152"/>
      <c r="I8" s="152"/>
      <c r="J8" s="152">
        <f>J9</f>
        <v>345.8</v>
      </c>
      <c r="K8" s="152"/>
      <c r="L8" s="243">
        <f>K8-J8</f>
        <v>-345.8</v>
      </c>
    </row>
    <row r="9" spans="1:12" x14ac:dyDescent="0.25">
      <c r="A9" s="4" t="s">
        <v>904</v>
      </c>
      <c r="B9" s="244">
        <v>2</v>
      </c>
      <c r="C9" s="4">
        <v>2600</v>
      </c>
      <c r="D9" s="4">
        <f>B9*C9</f>
        <v>5200</v>
      </c>
      <c r="E9" s="4">
        <f>D9*0.1</f>
        <v>520</v>
      </c>
      <c r="F9" s="4">
        <v>0</v>
      </c>
      <c r="G9" s="4">
        <v>0.1</v>
      </c>
      <c r="H9" s="4">
        <f>G9</f>
        <v>0.1</v>
      </c>
      <c r="I9" s="4">
        <f>H9*$C$2</f>
        <v>930</v>
      </c>
      <c r="J9" s="4">
        <f>(D9+E9+F9+I9)*$C$3</f>
        <v>345.8</v>
      </c>
      <c r="K9" s="4"/>
      <c r="L9" s="9"/>
    </row>
    <row r="10" spans="1:12" ht="31.5" x14ac:dyDescent="0.5">
      <c r="A10" s="152" t="s">
        <v>2</v>
      </c>
      <c r="B10" s="152"/>
      <c r="C10" s="152"/>
      <c r="D10" s="152"/>
      <c r="E10" s="152"/>
      <c r="F10" s="152"/>
      <c r="G10" s="152"/>
      <c r="H10" s="152"/>
      <c r="I10" s="152"/>
      <c r="J10" s="152">
        <f>J11</f>
        <v>608.91999999999996</v>
      </c>
      <c r="K10" s="152"/>
      <c r="L10" s="243">
        <f>K10-J10</f>
        <v>-608.91999999999996</v>
      </c>
    </row>
    <row r="11" spans="1:12" x14ac:dyDescent="0.25">
      <c r="A11" s="4" t="s">
        <v>1079</v>
      </c>
      <c r="B11" s="244">
        <v>1</v>
      </c>
      <c r="C11" s="4">
        <v>9800</v>
      </c>
      <c r="D11" s="4">
        <f>B11*C11</f>
        <v>9800</v>
      </c>
      <c r="E11" s="4">
        <f>D11*0.1</f>
        <v>980</v>
      </c>
      <c r="F11" s="4">
        <v>0</v>
      </c>
      <c r="G11" s="4">
        <v>0.1</v>
      </c>
      <c r="H11" s="4">
        <f>G11</f>
        <v>0.1</v>
      </c>
      <c r="I11" s="4">
        <f>H11*$C$2</f>
        <v>930</v>
      </c>
      <c r="J11" s="4">
        <f>(D11+E11+F11+I11)*$C$3</f>
        <v>608.91999999999996</v>
      </c>
      <c r="K11" s="4"/>
      <c r="L11" s="9"/>
    </row>
    <row r="12" spans="1:12" ht="31.5" x14ac:dyDescent="0.5">
      <c r="A12" s="152" t="s">
        <v>980</v>
      </c>
      <c r="B12" s="152"/>
      <c r="C12" s="152"/>
      <c r="D12" s="152"/>
      <c r="E12" s="152"/>
      <c r="F12" s="152"/>
      <c r="G12" s="152"/>
      <c r="H12" s="152"/>
      <c r="I12" s="152"/>
      <c r="J12" s="152">
        <f>J13</f>
        <v>852.17599999999993</v>
      </c>
      <c r="K12" s="152"/>
      <c r="L12" s="243">
        <f>K12-J12</f>
        <v>-852.17599999999993</v>
      </c>
    </row>
    <row r="13" spans="1:12" x14ac:dyDescent="0.25">
      <c r="A13" s="17" t="s">
        <v>1080</v>
      </c>
      <c r="B13" s="244">
        <v>1</v>
      </c>
      <c r="C13" s="4">
        <v>13400</v>
      </c>
      <c r="D13" s="4">
        <f>B13*C13</f>
        <v>13400</v>
      </c>
      <c r="E13" s="4">
        <f>D13*0.1</f>
        <v>1340</v>
      </c>
      <c r="F13" s="4">
        <f>2500/4</f>
        <v>625</v>
      </c>
      <c r="G13" s="4">
        <v>0.11</v>
      </c>
      <c r="H13" s="4">
        <f>G13</f>
        <v>0.11</v>
      </c>
      <c r="I13" s="4">
        <f>H13*$C$2</f>
        <v>1023</v>
      </c>
      <c r="J13" s="4">
        <f>(D13+E13+F13+I13)*$C$3</f>
        <v>852.17599999999993</v>
      </c>
      <c r="K13" s="4"/>
      <c r="L13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41478</v>
      </c>
      <c r="D1" s="30"/>
    </row>
    <row r="2" spans="1:13" ht="21" x14ac:dyDescent="0.35">
      <c r="A2" s="55" t="s">
        <v>218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217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>B11*C11</f>
        <v>9800</v>
      </c>
      <c r="E11" s="4">
        <f>D11*0.05</f>
        <v>490</v>
      </c>
      <c r="F11" s="4">
        <v>2500</v>
      </c>
      <c r="G11" s="4">
        <v>0.3</v>
      </c>
      <c r="H11" s="4">
        <f t="shared" ref="H11:H53" si="0">G11</f>
        <v>0.3</v>
      </c>
      <c r="I11" s="4">
        <f>H11*$C$2</f>
        <v>2052</v>
      </c>
      <c r="J11" s="51">
        <f>(D11+E11+F11+I11)*$C$4</f>
        <v>438.28426000000002</v>
      </c>
      <c r="K11" s="36"/>
      <c r="L11" s="41"/>
    </row>
    <row r="12" spans="1:13" ht="26.25" x14ac:dyDescent="0.4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>K12-J12</f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>B13*C13</f>
        <v>3300</v>
      </c>
      <c r="E13" s="4">
        <f>D13*0.05</f>
        <v>165</v>
      </c>
      <c r="F13" s="4">
        <v>0</v>
      </c>
      <c r="G13" s="4">
        <f>0.2/3</f>
        <v>6.6666666666666666E-2</v>
      </c>
      <c r="H13" s="4">
        <f t="shared" si="0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25">
      <c r="A15" s="80" t="s">
        <v>194</v>
      </c>
      <c r="B15" s="18">
        <v>1</v>
      </c>
      <c r="C15" s="18">
        <v>9900</v>
      </c>
      <c r="D15" s="18">
        <f>B15*C15</f>
        <v>9900</v>
      </c>
      <c r="E15" s="18">
        <f>D15*0.05</f>
        <v>495</v>
      </c>
      <c r="F15" s="18">
        <f>2500/2</f>
        <v>1250</v>
      </c>
      <c r="G15" s="18">
        <v>0.4</v>
      </c>
      <c r="H15" s="18">
        <f t="shared" si="0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>K16-J16</f>
        <v>-19.37063999999998</v>
      </c>
    </row>
    <row r="17" spans="1:34" s="35" customFormat="1" ht="30" x14ac:dyDescent="0.25">
      <c r="A17" s="3" t="s">
        <v>196</v>
      </c>
      <c r="B17" s="71">
        <v>2</v>
      </c>
      <c r="C17" s="4">
        <v>12000</v>
      </c>
      <c r="D17" s="44">
        <f>B17*C17</f>
        <v>24000</v>
      </c>
      <c r="E17" s="44">
        <f>D17*0.05</f>
        <v>1200</v>
      </c>
      <c r="F17" s="4">
        <v>2500</v>
      </c>
      <c r="G17" s="4">
        <f>0.35*B17</f>
        <v>0.7</v>
      </c>
      <c r="H17" s="4">
        <f t="shared" si="0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>K18-J18</f>
        <v>-43.368190000000027</v>
      </c>
    </row>
    <row r="19" spans="1:34" s="35" customFormat="1" x14ac:dyDescent="0.25">
      <c r="A19" s="3" t="s">
        <v>197</v>
      </c>
      <c r="B19" s="4">
        <v>1</v>
      </c>
      <c r="C19" s="4">
        <v>7100</v>
      </c>
      <c r="D19" s="44">
        <f>B19*C19</f>
        <v>7100</v>
      </c>
      <c r="E19" s="44">
        <f>D19*0.05</f>
        <v>355</v>
      </c>
      <c r="F19" s="4">
        <v>2500</v>
      </c>
      <c r="G19" s="4">
        <v>0.2</v>
      </c>
      <c r="H19" s="4">
        <f t="shared" si="0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199</v>
      </c>
      <c r="B21" s="4">
        <v>1</v>
      </c>
      <c r="C21" s="4">
        <v>11400</v>
      </c>
      <c r="D21" s="4">
        <f>B21*C21</f>
        <v>11400</v>
      </c>
      <c r="E21" s="4">
        <f>D21*0.05</f>
        <v>570</v>
      </c>
      <c r="F21" s="4">
        <v>0</v>
      </c>
      <c r="G21" s="4">
        <v>0.2</v>
      </c>
      <c r="H21" s="4">
        <f t="shared" si="0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200</v>
      </c>
      <c r="B23" s="71">
        <v>2</v>
      </c>
      <c r="C23" s="4">
        <v>6500</v>
      </c>
      <c r="D23" s="4">
        <f>B23*C23</f>
        <v>13000</v>
      </c>
      <c r="E23" s="4">
        <f>D23*0.05</f>
        <v>650</v>
      </c>
      <c r="F23" s="4">
        <v>2500</v>
      </c>
      <c r="G23" s="4">
        <v>0.26</v>
      </c>
      <c r="H23" s="4">
        <f t="shared" si="0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>K24-J24</f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>D25*0.05</f>
        <v>600</v>
      </c>
      <c r="F25" s="4">
        <v>0</v>
      </c>
      <c r="G25" s="4">
        <v>0.2</v>
      </c>
      <c r="H25" s="4">
        <f t="shared" si="0"/>
        <v>0.2</v>
      </c>
      <c r="I25" s="4">
        <f>H25*$C$2</f>
        <v>1368</v>
      </c>
      <c r="J25" s="51">
        <f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>B26*C26</f>
        <v>5500</v>
      </c>
      <c r="E26" s="4">
        <f>D26*0.05</f>
        <v>275</v>
      </c>
      <c r="F26" s="4">
        <v>2500</v>
      </c>
      <c r="G26" s="4">
        <v>0.2</v>
      </c>
      <c r="H26" s="4">
        <f t="shared" si="0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25">
      <c r="A28" s="80" t="s">
        <v>194</v>
      </c>
      <c r="B28" s="18">
        <v>1</v>
      </c>
      <c r="C28" s="18">
        <v>9900</v>
      </c>
      <c r="D28" s="18">
        <f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>K30-J30</f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>B31*C31</f>
        <v>12000</v>
      </c>
      <c r="E31" s="4">
        <f>D31*0.05</f>
        <v>600</v>
      </c>
      <c r="F31" s="4">
        <v>0</v>
      </c>
      <c r="G31" s="4">
        <v>0.2</v>
      </c>
      <c r="H31" s="4">
        <f t="shared" si="0"/>
        <v>0.2</v>
      </c>
      <c r="I31" s="4">
        <f>H31*$C$2</f>
        <v>1368</v>
      </c>
      <c r="J31" s="51">
        <f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>B32*C32</f>
        <v>3300</v>
      </c>
      <c r="E32" s="4">
        <f>D32*0.05</f>
        <v>165</v>
      </c>
      <c r="F32" s="4">
        <v>0</v>
      </c>
      <c r="G32" s="4">
        <f>0.2/3</f>
        <v>6.6666666666666666E-2</v>
      </c>
      <c r="H32" s="4">
        <f t="shared" si="0"/>
        <v>6.6666666666666666E-2</v>
      </c>
      <c r="I32" s="4">
        <f>H32*$C$2</f>
        <v>456</v>
      </c>
      <c r="J32" s="51">
        <f>(D32+E32+F32+I32)*$C$4</f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>B33*C33</f>
        <v>5333.333333333333</v>
      </c>
      <c r="E33" s="4">
        <f>D33*0.05</f>
        <v>266.66666666666669</v>
      </c>
      <c r="F33" s="4">
        <v>0</v>
      </c>
      <c r="G33" s="4">
        <f>0.3/3</f>
        <v>9.9999999999999992E-2</v>
      </c>
      <c r="H33" s="4">
        <f t="shared" si="0"/>
        <v>9.9999999999999992E-2</v>
      </c>
      <c r="I33" s="4">
        <f>H33*$C$2</f>
        <v>683.99999999999989</v>
      </c>
      <c r="J33" s="51">
        <f>(D33+E33+F33+I33)*$C$4</f>
        <v>185.56652</v>
      </c>
      <c r="K33" s="34"/>
      <c r="L33" s="41"/>
      <c r="M33"/>
    </row>
    <row r="34" spans="1:13" ht="26.25" x14ac:dyDescent="0.4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>K34-J34</f>
        <v>-6.4610700000000634</v>
      </c>
      <c r="M34" s="54" t="s">
        <v>221</v>
      </c>
    </row>
    <row r="35" spans="1:13" x14ac:dyDescent="0.25">
      <c r="A35" s="3" t="s">
        <v>203</v>
      </c>
      <c r="B35" s="4">
        <v>1</v>
      </c>
      <c r="C35" s="4">
        <v>8500</v>
      </c>
      <c r="D35" s="4">
        <f>B35*C35</f>
        <v>8500</v>
      </c>
      <c r="E35" s="4">
        <f>D35*0.05</f>
        <v>425</v>
      </c>
      <c r="F35" s="71">
        <v>2500</v>
      </c>
      <c r="G35" s="4">
        <v>0.2</v>
      </c>
      <c r="H35" s="4">
        <f t="shared" si="0"/>
        <v>0.2</v>
      </c>
      <c r="I35" s="4">
        <f>H35*$C$2</f>
        <v>1368</v>
      </c>
      <c r="J35" s="51">
        <f>(D35+E35+F35+I35)*$C$4</f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>B36*C36</f>
        <v>8400</v>
      </c>
      <c r="E36" s="44">
        <f>D36*0.05</f>
        <v>420</v>
      </c>
      <c r="F36" s="81">
        <v>0</v>
      </c>
      <c r="G36" s="4">
        <v>0.2</v>
      </c>
      <c r="H36" s="4">
        <f t="shared" si="0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>D37*0.05</f>
        <v>270</v>
      </c>
      <c r="F37" s="81">
        <v>0</v>
      </c>
      <c r="G37" s="4">
        <v>0.2</v>
      </c>
      <c r="H37" s="4">
        <f t="shared" si="0"/>
        <v>0.2</v>
      </c>
      <c r="I37" s="4">
        <f>H37*$C$2</f>
        <v>1368</v>
      </c>
      <c r="J37" s="51">
        <f>(D37+E37+F37+I37)*$C$4</f>
        <v>207.83214000000001</v>
      </c>
      <c r="K37" s="45"/>
      <c r="L37" s="41"/>
    </row>
    <row r="38" spans="1:13" ht="26.25" x14ac:dyDescent="0.4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205</v>
      </c>
      <c r="B39" s="71">
        <v>2</v>
      </c>
      <c r="C39" s="4">
        <v>11640</v>
      </c>
      <c r="D39" s="4">
        <f>B39*C39</f>
        <v>23280</v>
      </c>
      <c r="E39" s="4">
        <f>D39*0.05</f>
        <v>1164</v>
      </c>
      <c r="F39" s="4">
        <v>2500</v>
      </c>
      <c r="G39" s="4">
        <v>0.3</v>
      </c>
      <c r="H39" s="4">
        <f>G39*B39</f>
        <v>0.6</v>
      </c>
      <c r="I39" s="4">
        <f>H39*$C$2</f>
        <v>4104</v>
      </c>
      <c r="J39" s="51">
        <f>(D39+E39+F39+I39)*$C$4</f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>B40*C40</f>
        <v>6800</v>
      </c>
      <c r="E40" s="4">
        <f>D40*0.05</f>
        <v>340</v>
      </c>
      <c r="F40" s="4">
        <v>2500</v>
      </c>
      <c r="G40" s="4">
        <v>0.2</v>
      </c>
      <c r="H40" s="4">
        <f t="shared" si="0"/>
        <v>0.2</v>
      </c>
      <c r="I40" s="4">
        <f>H40*$C$2</f>
        <v>1368</v>
      </c>
      <c r="J40" s="51">
        <f>(D40+E40+F40+I40)*$C$4</f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>B41*C41</f>
        <v>5990</v>
      </c>
      <c r="E41" s="4">
        <f>D41*0.05</f>
        <v>299.5</v>
      </c>
      <c r="F41" s="4">
        <f>2500/5</f>
        <v>500</v>
      </c>
      <c r="G41" s="4">
        <v>0.2</v>
      </c>
      <c r="H41" s="4">
        <f t="shared" si="0"/>
        <v>0.2</v>
      </c>
      <c r="I41" s="4">
        <f>H41*$C$2</f>
        <v>1368</v>
      </c>
      <c r="J41" s="51">
        <f>(D41+E41+F41+I41)*$C$4</f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>B42*C42</f>
        <v>3300</v>
      </c>
      <c r="E42" s="4">
        <f>D42*0.05</f>
        <v>165</v>
      </c>
      <c r="F42" s="4">
        <v>0</v>
      </c>
      <c r="G42" s="4">
        <f>0.2/3</f>
        <v>6.6666666666666666E-2</v>
      </c>
      <c r="H42" s="4">
        <f t="shared" si="0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>B43*C43</f>
        <v>5333.333333333333</v>
      </c>
      <c r="E43" s="44">
        <f>D43*0.05</f>
        <v>266.66666666666669</v>
      </c>
      <c r="F43" s="4">
        <v>0</v>
      </c>
      <c r="G43" s="4">
        <f>0.3/3</f>
        <v>9.9999999999999992E-2</v>
      </c>
      <c r="H43" s="4">
        <f t="shared" si="0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>K44-J44</f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>B45*C45</f>
        <v>4620</v>
      </c>
      <c r="E45" s="4">
        <f>D45*0.05</f>
        <v>231</v>
      </c>
      <c r="F45" s="4">
        <v>0</v>
      </c>
      <c r="G45" s="4">
        <v>0.2</v>
      </c>
      <c r="H45" s="4">
        <f>G45*B45</f>
        <v>0.4</v>
      </c>
      <c r="I45" s="4">
        <f>H45*$C$2</f>
        <v>2736</v>
      </c>
      <c r="J45" s="51">
        <f>(D45+E45+F45+I45)*$C$4</f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>B46*C46</f>
        <v>4000</v>
      </c>
      <c r="E46" s="4">
        <f>D46*0.05</f>
        <v>200</v>
      </c>
      <c r="F46" s="4">
        <v>2500</v>
      </c>
      <c r="G46" s="4">
        <v>0.2</v>
      </c>
      <c r="H46" s="4">
        <f t="shared" si="0"/>
        <v>0.2</v>
      </c>
      <c r="I46" s="4">
        <f>H46*$C$2</f>
        <v>1368</v>
      </c>
      <c r="J46" s="51">
        <f>(D46+E46+F46+I46)*$C$4</f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>B47*C47</f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0"/>
        <v>0.17</v>
      </c>
      <c r="I47" s="4">
        <f>H47*$C$2</f>
        <v>1162.8000000000002</v>
      </c>
      <c r="J47" s="51">
        <f>(D47+E47+F47+I47)*$C$4</f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>K48-J48</f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>B49*C49</f>
        <v>5990</v>
      </c>
      <c r="E49" s="4">
        <f>D49*0.05</f>
        <v>299.5</v>
      </c>
      <c r="F49" s="4">
        <f>2500/5</f>
        <v>500</v>
      </c>
      <c r="G49" s="4">
        <v>0.2</v>
      </c>
      <c r="H49" s="4">
        <f t="shared" si="0"/>
        <v>0.2</v>
      </c>
      <c r="I49" s="4">
        <f>H49*$C$2</f>
        <v>1368</v>
      </c>
      <c r="J49" s="51">
        <f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>B50*C50</f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0"/>
        <v>6.6666666666666666E-2</v>
      </c>
      <c r="I50" s="4">
        <f>H50*$C$2</f>
        <v>456</v>
      </c>
      <c r="J50" s="51">
        <f>(D50+E50+F50+I50)*$C$4</f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>K51-J51</f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>D52*0.05</f>
        <v>500</v>
      </c>
      <c r="F52" s="4">
        <v>2500</v>
      </c>
      <c r="G52" s="4">
        <v>0.4</v>
      </c>
      <c r="H52" s="4">
        <f t="shared" si="0"/>
        <v>0.4</v>
      </c>
      <c r="I52" s="4">
        <f>H52*$C$2</f>
        <v>2736</v>
      </c>
      <c r="J52" s="51">
        <f>(D52+E52+F52+I52)*$C$4</f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>B53*C53</f>
        <v>9510</v>
      </c>
      <c r="E53" s="4">
        <f>D53*0.05</f>
        <v>475.5</v>
      </c>
      <c r="F53" s="4">
        <v>2500</v>
      </c>
      <c r="G53" s="4">
        <v>0.3</v>
      </c>
      <c r="H53" s="4">
        <f t="shared" si="0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206</v>
      </c>
      <c r="B54" s="4">
        <v>1</v>
      </c>
      <c r="C54" s="4">
        <v>5950</v>
      </c>
      <c r="D54" s="4">
        <f>B54*C54</f>
        <v>5950</v>
      </c>
      <c r="E54" s="4">
        <f>D54*0.05</f>
        <v>297.5</v>
      </c>
      <c r="F54" s="4">
        <v>0</v>
      </c>
      <c r="G54" s="4">
        <v>0.2</v>
      </c>
      <c r="H54" s="4">
        <f t="shared" ref="H54:H70" si="1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207</v>
      </c>
      <c r="B56" s="4">
        <v>1</v>
      </c>
      <c r="C56" s="4">
        <v>10500</v>
      </c>
      <c r="D56" s="4">
        <f>B56*C56</f>
        <v>10500</v>
      </c>
      <c r="E56" s="4">
        <f>D56*0.05</f>
        <v>525</v>
      </c>
      <c r="F56" s="4">
        <v>0</v>
      </c>
      <c r="G56" s="4">
        <v>0.2</v>
      </c>
      <c r="H56" s="4">
        <f t="shared" si="1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208</v>
      </c>
      <c r="B57" s="4">
        <v>1</v>
      </c>
      <c r="C57" s="4">
        <v>6000</v>
      </c>
      <c r="D57" s="4">
        <f>B57*C57</f>
        <v>6000</v>
      </c>
      <c r="E57" s="4">
        <f>D57*0.05</f>
        <v>300</v>
      </c>
      <c r="F57" s="4">
        <v>2500</v>
      </c>
      <c r="G57" s="4">
        <v>0.2</v>
      </c>
      <c r="H57" s="4">
        <f t="shared" si="1"/>
        <v>0.2</v>
      </c>
      <c r="I57" s="4">
        <f>H57*$C$2</f>
        <v>1368</v>
      </c>
      <c r="J57" s="51">
        <f>(D57+E57+F57+I57)*$C$4</f>
        <v>300.26103999999998</v>
      </c>
      <c r="K57" s="36"/>
      <c r="L57" s="41"/>
    </row>
    <row r="58" spans="1:34" s="35" customFormat="1" x14ac:dyDescent="0.25">
      <c r="A58" s="3" t="s">
        <v>209</v>
      </c>
      <c r="B58" s="71">
        <v>2</v>
      </c>
      <c r="C58" s="4">
        <v>3770</v>
      </c>
      <c r="D58" s="44">
        <f>B58*C58</f>
        <v>7540</v>
      </c>
      <c r="E58" s="44">
        <f>D58*0.05</f>
        <v>377</v>
      </c>
      <c r="F58" s="4">
        <v>2500</v>
      </c>
      <c r="G58" s="4">
        <f>0.2*B58</f>
        <v>0.4</v>
      </c>
      <c r="H58" s="4">
        <f t="shared" si="1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>B59*C59</f>
        <v>3300</v>
      </c>
      <c r="E59" s="4">
        <f>D59*0.05</f>
        <v>165</v>
      </c>
      <c r="F59" s="4">
        <v>0</v>
      </c>
      <c r="G59" s="4">
        <f>0.2/3</f>
        <v>6.6666666666666666E-2</v>
      </c>
      <c r="H59" s="4">
        <f t="shared" si="1"/>
        <v>6.6666666666666666E-2</v>
      </c>
      <c r="I59" s="4">
        <f>H59*$C$2</f>
        <v>456</v>
      </c>
      <c r="J59" s="51">
        <f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1"/>
        <v>0.3</v>
      </c>
      <c r="I61" s="4">
        <f t="shared" ref="I61:I70" si="2">H61*$C$2</f>
        <v>2052</v>
      </c>
      <c r="J61" s="51">
        <f t="shared" ref="J61:J70" si="3">(D61+E61+F61+I61)*$C$4</f>
        <v>249.14461</v>
      </c>
      <c r="K61" s="36"/>
      <c r="L61" s="36"/>
    </row>
    <row r="62" spans="1:34" s="35" customFormat="1" x14ac:dyDescent="0.25">
      <c r="A62" s="3" t="s">
        <v>211</v>
      </c>
      <c r="B62" s="4">
        <v>1</v>
      </c>
      <c r="C62" s="4">
        <v>3490</v>
      </c>
      <c r="D62" s="4">
        <f t="shared" ref="D62:D69" si="4">B62*C62</f>
        <v>3490</v>
      </c>
      <c r="E62" s="4">
        <f t="shared" ref="E62:E70" si="5">D62*0.05</f>
        <v>174.5</v>
      </c>
      <c r="F62" s="81">
        <v>0</v>
      </c>
      <c r="G62" s="4">
        <v>0.3</v>
      </c>
      <c r="H62" s="4">
        <f t="shared" si="1"/>
        <v>0.3</v>
      </c>
      <c r="I62" s="4">
        <f t="shared" si="2"/>
        <v>2052</v>
      </c>
      <c r="J62" s="51">
        <f t="shared" si="3"/>
        <v>168.808245</v>
      </c>
      <c r="K62" s="34"/>
      <c r="L62" s="41"/>
    </row>
    <row r="63" spans="1:34" s="35" customFormat="1" x14ac:dyDescent="0.25">
      <c r="A63" s="3" t="s">
        <v>211</v>
      </c>
      <c r="B63" s="4">
        <v>1</v>
      </c>
      <c r="C63" s="4">
        <v>3470</v>
      </c>
      <c r="D63" s="4">
        <f t="shared" si="4"/>
        <v>3470</v>
      </c>
      <c r="E63" s="4">
        <f t="shared" si="5"/>
        <v>173.5</v>
      </c>
      <c r="F63" s="81">
        <v>0</v>
      </c>
      <c r="G63" s="4">
        <v>0.3</v>
      </c>
      <c r="H63" s="4">
        <f t="shared" si="1"/>
        <v>0.3</v>
      </c>
      <c r="I63" s="4">
        <f t="shared" si="2"/>
        <v>2052</v>
      </c>
      <c r="J63" s="51">
        <f t="shared" si="3"/>
        <v>168.18811500000001</v>
      </c>
      <c r="K63" s="34"/>
      <c r="L63" s="41"/>
    </row>
    <row r="64" spans="1:34" s="35" customFormat="1" x14ac:dyDescent="0.25">
      <c r="A64" s="3" t="s">
        <v>211</v>
      </c>
      <c r="B64" s="4">
        <v>1</v>
      </c>
      <c r="C64" s="4">
        <v>3490</v>
      </c>
      <c r="D64" s="4">
        <f t="shared" si="4"/>
        <v>3490</v>
      </c>
      <c r="E64" s="4">
        <f>D64*0.05</f>
        <v>174.5</v>
      </c>
      <c r="F64" s="81">
        <v>0</v>
      </c>
      <c r="G64" s="4">
        <v>0.3</v>
      </c>
      <c r="H64" s="4">
        <f t="shared" si="1"/>
        <v>0.3</v>
      </c>
      <c r="I64" s="4">
        <f t="shared" si="2"/>
        <v>2052</v>
      </c>
      <c r="J64" s="51">
        <f t="shared" si="3"/>
        <v>168.808245</v>
      </c>
      <c r="K64" s="34"/>
      <c r="L64" s="41"/>
    </row>
    <row r="65" spans="1:12" s="35" customFormat="1" x14ac:dyDescent="0.25">
      <c r="A65" s="3" t="s">
        <v>211</v>
      </c>
      <c r="B65" s="4">
        <v>1</v>
      </c>
      <c r="C65" s="4">
        <v>3470</v>
      </c>
      <c r="D65" s="4">
        <f t="shared" si="4"/>
        <v>3470</v>
      </c>
      <c r="E65" s="4">
        <f>D65*0.05</f>
        <v>173.5</v>
      </c>
      <c r="F65" s="81">
        <v>0</v>
      </c>
      <c r="G65" s="4">
        <v>0.3</v>
      </c>
      <c r="H65" s="4">
        <f t="shared" si="1"/>
        <v>0.3</v>
      </c>
      <c r="I65" s="4">
        <f t="shared" si="2"/>
        <v>2052</v>
      </c>
      <c r="J65" s="51">
        <f t="shared" si="3"/>
        <v>168.18811500000001</v>
      </c>
      <c r="K65" s="34"/>
      <c r="L65" s="41"/>
    </row>
    <row r="66" spans="1:12" s="35" customFormat="1" x14ac:dyDescent="0.25">
      <c r="A66" s="3" t="s">
        <v>211</v>
      </c>
      <c r="B66" s="4">
        <v>1</v>
      </c>
      <c r="C66" s="4">
        <v>3470</v>
      </c>
      <c r="D66" s="4">
        <f t="shared" si="4"/>
        <v>3470</v>
      </c>
      <c r="E66" s="4">
        <f>D66*0.05</f>
        <v>173.5</v>
      </c>
      <c r="F66" s="81">
        <v>0</v>
      </c>
      <c r="G66" s="4">
        <v>0.3</v>
      </c>
      <c r="H66" s="4">
        <f t="shared" si="1"/>
        <v>0.3</v>
      </c>
      <c r="I66" s="4">
        <f t="shared" si="2"/>
        <v>2052</v>
      </c>
      <c r="J66" s="51">
        <f t="shared" si="3"/>
        <v>168.18811500000001</v>
      </c>
      <c r="K66" s="34"/>
      <c r="L66" s="41"/>
    </row>
    <row r="67" spans="1:12" s="35" customFormat="1" x14ac:dyDescent="0.25">
      <c r="A67" s="3" t="s">
        <v>211</v>
      </c>
      <c r="B67" s="4">
        <v>1</v>
      </c>
      <c r="C67" s="4">
        <v>3470</v>
      </c>
      <c r="D67" s="4">
        <f t="shared" si="4"/>
        <v>3470</v>
      </c>
      <c r="E67" s="4">
        <f>D67*0.05</f>
        <v>173.5</v>
      </c>
      <c r="F67" s="81">
        <v>0</v>
      </c>
      <c r="G67" s="4">
        <v>0.3</v>
      </c>
      <c r="H67" s="4">
        <f t="shared" si="1"/>
        <v>0.3</v>
      </c>
      <c r="I67" s="4">
        <f t="shared" si="2"/>
        <v>2052</v>
      </c>
      <c r="J67" s="51">
        <f t="shared" si="3"/>
        <v>168.18811500000001</v>
      </c>
      <c r="K67" s="34"/>
      <c r="L67" s="41"/>
    </row>
    <row r="68" spans="1:12" s="35" customFormat="1" x14ac:dyDescent="0.25">
      <c r="A68" s="3" t="s">
        <v>211</v>
      </c>
      <c r="B68" s="4">
        <v>1</v>
      </c>
      <c r="C68" s="4">
        <v>3490</v>
      </c>
      <c r="D68" s="4">
        <f t="shared" si="4"/>
        <v>3490</v>
      </c>
      <c r="E68" s="4">
        <f>D68*0.05</f>
        <v>174.5</v>
      </c>
      <c r="F68" s="81">
        <v>0</v>
      </c>
      <c r="G68" s="4">
        <v>0.3</v>
      </c>
      <c r="H68" s="4">
        <f t="shared" si="1"/>
        <v>0.3</v>
      </c>
      <c r="I68" s="4">
        <f t="shared" si="2"/>
        <v>2052</v>
      </c>
      <c r="J68" s="51">
        <f t="shared" si="3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 t="shared" si="4"/>
        <v>12900</v>
      </c>
      <c r="E69" s="4">
        <f t="shared" si="5"/>
        <v>645</v>
      </c>
      <c r="F69" s="4">
        <f>2500/3</f>
        <v>833.33333333333337</v>
      </c>
      <c r="G69" s="4">
        <v>0.5</v>
      </c>
      <c r="H69" s="4">
        <f t="shared" si="1"/>
        <v>0.5</v>
      </c>
      <c r="I69" s="4">
        <f t="shared" si="2"/>
        <v>3420</v>
      </c>
      <c r="J69" s="51">
        <f t="shared" si="3"/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"/>
        <v>595</v>
      </c>
      <c r="F70" s="4">
        <v>0</v>
      </c>
      <c r="G70" s="4">
        <f>0.51</f>
        <v>0.51</v>
      </c>
      <c r="H70" s="4">
        <f t="shared" si="1"/>
        <v>0.51</v>
      </c>
      <c r="I70" s="4">
        <f t="shared" si="2"/>
        <v>3488.4</v>
      </c>
      <c r="J70" s="51">
        <f t="shared" si="3"/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41507</v>
      </c>
      <c r="D1" s="30"/>
    </row>
    <row r="2" spans="1:13" ht="21" x14ac:dyDescent="0.35">
      <c r="A2" s="55" t="s">
        <v>218</v>
      </c>
      <c r="B2" s="4"/>
      <c r="C2" s="16">
        <v>6760</v>
      </c>
      <c r="D2" s="30" t="s">
        <v>223</v>
      </c>
    </row>
    <row r="3" spans="1:13" ht="21" x14ac:dyDescent="0.35">
      <c r="A3" s="55" t="s">
        <v>217</v>
      </c>
      <c r="B3" s="4"/>
      <c r="C3" s="16">
        <v>3.0099999999999998E-2</v>
      </c>
      <c r="D3" s="30" t="s">
        <v>224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>K8-J8</f>
        <v>378</v>
      </c>
    </row>
    <row r="9" spans="1:13" x14ac:dyDescent="0.25">
      <c r="A9" s="83" t="s">
        <v>238</v>
      </c>
      <c r="B9" s="4">
        <v>1</v>
      </c>
      <c r="C9" s="4">
        <v>7400</v>
      </c>
      <c r="D9" s="4">
        <f>B9*C9</f>
        <v>7400</v>
      </c>
      <c r="E9" s="4">
        <f>D9*0.05</f>
        <v>370</v>
      </c>
      <c r="F9" s="4">
        <v>833.33</v>
      </c>
      <c r="G9" s="4">
        <v>0.6</v>
      </c>
      <c r="H9" s="4">
        <f t="shared" ref="H9:H25" si="0">G9</f>
        <v>0.6</v>
      </c>
      <c r="I9" s="4">
        <f>H9*$C$2</f>
        <v>4056</v>
      </c>
      <c r="J9" s="51">
        <v>0</v>
      </c>
      <c r="K9" s="36"/>
      <c r="L9" s="41"/>
    </row>
    <row r="10" spans="1:13" ht="26.25" x14ac:dyDescent="0.4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25">
      <c r="A11" s="18" t="s">
        <v>236</v>
      </c>
      <c r="B11" s="4">
        <v>1</v>
      </c>
      <c r="C11" s="4">
        <v>1700</v>
      </c>
      <c r="D11" s="4">
        <f>B11*C11</f>
        <v>1700</v>
      </c>
      <c r="E11" s="4">
        <f>D11*0.05</f>
        <v>85</v>
      </c>
      <c r="F11" s="4">
        <v>2500</v>
      </c>
      <c r="G11" s="71">
        <v>0.5</v>
      </c>
      <c r="H11" s="4">
        <f t="shared" si="0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1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>B13*C13</f>
        <v>9800</v>
      </c>
      <c r="E13" s="44">
        <f>D13*0.05</f>
        <v>490</v>
      </c>
      <c r="F13">
        <v>2500</v>
      </c>
      <c r="G13">
        <v>0.4</v>
      </c>
      <c r="H13" s="4">
        <f t="shared" si="0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1"/>
        <v>0.10071999999991021</v>
      </c>
    </row>
    <row r="15" spans="1:13" s="35" customFormat="1" x14ac:dyDescent="0.25">
      <c r="A15" s="4" t="s">
        <v>232</v>
      </c>
      <c r="B15" s="21">
        <v>1</v>
      </c>
      <c r="C15" s="21">
        <v>45600</v>
      </c>
      <c r="D15" s="44">
        <f>B15*C15</f>
        <v>45600</v>
      </c>
      <c r="E15" s="44">
        <f>D15*0.05</f>
        <v>2280</v>
      </c>
      <c r="F15" s="4">
        <v>0</v>
      </c>
      <c r="G15" s="21">
        <v>0.78</v>
      </c>
      <c r="H15" s="4">
        <f t="shared" si="0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233</v>
      </c>
      <c r="B17" s="5">
        <v>1</v>
      </c>
      <c r="C17" s="4">
        <v>12000</v>
      </c>
      <c r="D17" s="4">
        <f>B17*C17</f>
        <v>12000</v>
      </c>
      <c r="E17" s="4">
        <f>D17*0.05</f>
        <v>600</v>
      </c>
      <c r="F17" s="4">
        <v>2500</v>
      </c>
      <c r="G17" s="4">
        <v>0.35</v>
      </c>
      <c r="H17" s="4">
        <f t="shared" si="0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1"/>
        <v>-6.690400000000011</v>
      </c>
    </row>
    <row r="19" spans="1:12" x14ac:dyDescent="0.2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>D19*0.05</f>
        <v>150</v>
      </c>
      <c r="F19" s="4">
        <v>2500</v>
      </c>
      <c r="G19" s="4">
        <v>0.2</v>
      </c>
      <c r="H19" s="4">
        <f t="shared" si="0"/>
        <v>0.2</v>
      </c>
      <c r="I19" s="4">
        <f>H19*$C$2</f>
        <v>1352</v>
      </c>
      <c r="J19" s="51">
        <f>(D19+E19+F19+I19)*$C$3</f>
        <v>210.7602</v>
      </c>
      <c r="K19" s="45"/>
      <c r="L19" s="41"/>
    </row>
    <row r="20" spans="1:12" x14ac:dyDescent="0.25">
      <c r="A20" s="4" t="s">
        <v>227</v>
      </c>
      <c r="B20" s="4">
        <v>1</v>
      </c>
      <c r="C20" s="4">
        <v>7000</v>
      </c>
      <c r="D20" s="4">
        <f>B20*C20</f>
        <v>7000</v>
      </c>
      <c r="E20" s="4">
        <f>D20*0.05</f>
        <v>350</v>
      </c>
      <c r="F20" s="4">
        <v>0</v>
      </c>
      <c r="G20" s="4">
        <v>0.2</v>
      </c>
      <c r="H20" s="4">
        <f t="shared" si="0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228</v>
      </c>
      <c r="B22" s="4">
        <v>2</v>
      </c>
      <c r="C22" s="4">
        <v>8500</v>
      </c>
      <c r="D22" s="4">
        <f>B22*C22</f>
        <v>17000</v>
      </c>
      <c r="E22" s="4">
        <f>D22*0.05</f>
        <v>850</v>
      </c>
      <c r="F22" s="4">
        <v>2500</v>
      </c>
      <c r="G22" s="4">
        <v>0.2</v>
      </c>
      <c r="H22" s="4">
        <f>G22*B22</f>
        <v>0.4</v>
      </c>
      <c r="I22" s="4">
        <f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229</v>
      </c>
      <c r="B23" s="4">
        <v>1</v>
      </c>
      <c r="C23" s="4">
        <v>10430</v>
      </c>
      <c r="D23" s="4">
        <f>B23*C23</f>
        <v>10430</v>
      </c>
      <c r="E23" s="4">
        <f>D23*0.05</f>
        <v>521.5</v>
      </c>
      <c r="F23" s="4">
        <v>2500</v>
      </c>
      <c r="G23" s="4">
        <v>0.2</v>
      </c>
      <c r="H23" s="4">
        <f t="shared" si="0"/>
        <v>0.2</v>
      </c>
      <c r="I23" s="4">
        <f>H23*$C$2</f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199</v>
      </c>
      <c r="B24" s="4">
        <v>1</v>
      </c>
      <c r="C24" s="4">
        <v>18400</v>
      </c>
      <c r="D24" s="4">
        <f>B24*C24</f>
        <v>18400</v>
      </c>
      <c r="E24" s="4">
        <f>D24*0.05</f>
        <v>920</v>
      </c>
      <c r="F24" s="4">
        <v>0</v>
      </c>
      <c r="G24" s="4">
        <v>0.2</v>
      </c>
      <c r="H24" s="4">
        <f t="shared" si="0"/>
        <v>0.2</v>
      </c>
      <c r="I24" s="4">
        <f>H24*$C$2</f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199</v>
      </c>
      <c r="B25" s="4">
        <v>1</v>
      </c>
      <c r="C25" s="4">
        <v>3700</v>
      </c>
      <c r="D25" s="4">
        <f>B25*C25</f>
        <v>3700</v>
      </c>
      <c r="E25" s="4">
        <f>D25*0.05</f>
        <v>185</v>
      </c>
      <c r="F25" s="4">
        <v>2500</v>
      </c>
      <c r="G25" s="4">
        <v>0.2</v>
      </c>
      <c r="H25" s="4">
        <f t="shared" si="0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41558</v>
      </c>
      <c r="D1" s="30"/>
    </row>
    <row r="2" spans="1:13" ht="38.25" x14ac:dyDescent="0.35">
      <c r="A2" s="55" t="s">
        <v>239</v>
      </c>
      <c r="B2" s="4"/>
      <c r="C2" s="16">
        <v>6480</v>
      </c>
      <c r="D2" s="30"/>
    </row>
    <row r="3" spans="1:13" ht="21" x14ac:dyDescent="0.35">
      <c r="A3" s="55" t="s">
        <v>240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>K6-J6</f>
        <v>-380.53133333333335</v>
      </c>
    </row>
    <row r="7" spans="1:13" x14ac:dyDescent="0.25">
      <c r="A7" s="35" t="s">
        <v>241</v>
      </c>
      <c r="B7" s="4">
        <v>1</v>
      </c>
      <c r="C7" s="4">
        <v>7400</v>
      </c>
      <c r="D7" s="4">
        <f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>K8-J8</f>
        <v>-5.2999999999883585E-2</v>
      </c>
    </row>
    <row r="9" spans="1:13" x14ac:dyDescent="0.25">
      <c r="A9" t="s">
        <v>228</v>
      </c>
      <c r="B9">
        <v>3</v>
      </c>
      <c r="C9">
        <v>8500</v>
      </c>
      <c r="D9" s="4">
        <f>B9*C9</f>
        <v>25500</v>
      </c>
      <c r="E9" s="4">
        <f>D9*0.05</f>
        <v>1275</v>
      </c>
      <c r="F9">
        <v>2500</v>
      </c>
      <c r="G9">
        <v>0.2</v>
      </c>
      <c r="H9" s="4">
        <f>G9*B9</f>
        <v>0.60000000000000009</v>
      </c>
      <c r="I9" s="4">
        <f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243</v>
      </c>
      <c r="B11" s="4">
        <v>1</v>
      </c>
      <c r="C11" s="4">
        <v>5250</v>
      </c>
      <c r="D11" s="4">
        <f>B11*C11</f>
        <v>5250</v>
      </c>
      <c r="E11" s="4">
        <f>D11*0.05</f>
        <v>262.5</v>
      </c>
      <c r="F11" s="4">
        <v>2500</v>
      </c>
      <c r="G11" s="4">
        <v>0.3</v>
      </c>
      <c r="H11" s="4">
        <f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>K12-J12</f>
        <v>-5.1536666666667088</v>
      </c>
    </row>
    <row r="13" spans="1:13" s="35" customFormat="1" x14ac:dyDescent="0.25">
      <c r="A13" s="3" t="s">
        <v>244</v>
      </c>
      <c r="B13" s="4">
        <v>1</v>
      </c>
      <c r="C13" s="4">
        <f>14200/2</f>
        <v>7100</v>
      </c>
      <c r="D13" s="44">
        <f>B13*C13</f>
        <v>7100</v>
      </c>
      <c r="E13" s="44">
        <f>D13*0.05</f>
        <v>355</v>
      </c>
      <c r="F13" s="4">
        <f>2500/6</f>
        <v>416.66666666666669</v>
      </c>
      <c r="G13" s="4">
        <f>0.3/2</f>
        <v>0.15</v>
      </c>
      <c r="H13" s="4">
        <f>G13</f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>K14-J14</f>
        <v>-14.76833333333343</v>
      </c>
    </row>
    <row r="15" spans="1:13" s="35" customFormat="1" x14ac:dyDescent="0.2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>K16-J16</f>
        <v>0.36239999999997963</v>
      </c>
    </row>
    <row r="17" spans="1:12" s="35" customFormat="1" ht="19.899999999999999" customHeight="1" x14ac:dyDescent="0.25">
      <c r="A17" s="3" t="s">
        <v>246</v>
      </c>
      <c r="B17" s="4">
        <v>2</v>
      </c>
      <c r="C17" s="4">
        <v>23000</v>
      </c>
      <c r="D17" s="44">
        <f>B17*C17</f>
        <v>46000</v>
      </c>
      <c r="E17" s="44">
        <f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248</v>
      </c>
      <c r="B19" s="4">
        <v>1</v>
      </c>
      <c r="C19" s="4">
        <f>9900/3</f>
        <v>3300</v>
      </c>
      <c r="D19" s="4">
        <f>B19*C19</f>
        <v>3300</v>
      </c>
      <c r="E19" s="4">
        <f>D19*0.05</f>
        <v>165</v>
      </c>
      <c r="F19" s="4">
        <f>2500/6</f>
        <v>416.66666666666669</v>
      </c>
      <c r="G19" s="4">
        <f>0.42/3</f>
        <v>0.13999999999999999</v>
      </c>
      <c r="H19" s="4">
        <f>G19</f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>K20-J20</f>
        <v>-31.68433333333337</v>
      </c>
    </row>
    <row r="21" spans="1:12" s="35" customFormat="1" x14ac:dyDescent="0.25">
      <c r="A21" s="84" t="s">
        <v>250</v>
      </c>
      <c r="B21" s="4">
        <v>1</v>
      </c>
      <c r="C21" s="4">
        <v>8500</v>
      </c>
      <c r="D21" s="44">
        <f>B21*C21</f>
        <v>8500</v>
      </c>
      <c r="E21" s="44">
        <f>D21*0.05</f>
        <v>425</v>
      </c>
      <c r="F21" s="4">
        <f>2500/3</f>
        <v>833.33333333333337</v>
      </c>
      <c r="G21" s="4">
        <v>0.2</v>
      </c>
      <c r="H21" s="4">
        <f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>K22-J22</f>
        <v>0.30279999999993379</v>
      </c>
    </row>
    <row r="23" spans="1:12" x14ac:dyDescent="0.2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>D23*0.05</f>
        <v>190</v>
      </c>
      <c r="F23" s="4">
        <v>2500</v>
      </c>
      <c r="G23" s="4">
        <v>0.3</v>
      </c>
      <c r="H23" s="4">
        <f>G23</f>
        <v>0.3</v>
      </c>
      <c r="I23" s="4">
        <f>H23*$C$2</f>
        <v>1944</v>
      </c>
      <c r="J23" s="51">
        <f>(D23+E23+F23+I23)*$C$3</f>
        <v>261.45400000000001</v>
      </c>
      <c r="K23" s="6"/>
      <c r="L23" s="17"/>
    </row>
    <row r="24" spans="1:12" x14ac:dyDescent="0.25">
      <c r="A24" s="84" t="s">
        <v>253</v>
      </c>
      <c r="B24" s="4">
        <v>1</v>
      </c>
      <c r="C24" s="4">
        <v>18000</v>
      </c>
      <c r="D24" s="4">
        <f>B24*C24</f>
        <v>18000</v>
      </c>
      <c r="E24" s="4">
        <f>D24*0.05</f>
        <v>900</v>
      </c>
      <c r="F24" s="4">
        <v>0</v>
      </c>
      <c r="G24" s="4">
        <v>0.39</v>
      </c>
      <c r="H24" s="4">
        <f>G24</f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>B26*C26</f>
        <v>9900</v>
      </c>
      <c r="E26" s="4">
        <f>D26*0.05</f>
        <v>495</v>
      </c>
      <c r="F26" s="4">
        <v>2500</v>
      </c>
      <c r="G26" s="4">
        <v>0.3</v>
      </c>
      <c r="H26" s="4">
        <f>G26*B26</f>
        <v>0.3</v>
      </c>
      <c r="I26" s="4">
        <f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255</v>
      </c>
      <c r="B27" s="4">
        <v>1</v>
      </c>
      <c r="C27" s="4">
        <v>9800</v>
      </c>
      <c r="D27" s="4">
        <f>B27*C27</f>
        <v>9800</v>
      </c>
      <c r="E27" s="4">
        <f>D27*0.05</f>
        <v>490</v>
      </c>
      <c r="F27" s="4">
        <v>2500</v>
      </c>
      <c r="G27" s="4">
        <v>0.47</v>
      </c>
      <c r="H27" s="4">
        <f>G27</f>
        <v>0.47</v>
      </c>
      <c r="I27" s="4">
        <f>H27*$C$2</f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256</v>
      </c>
      <c r="B28" s="4">
        <v>1</v>
      </c>
      <c r="C28" s="4">
        <v>7000</v>
      </c>
      <c r="D28" s="4">
        <f>B28*C28</f>
        <v>7000</v>
      </c>
      <c r="E28" s="4">
        <f>D28*0.05</f>
        <v>350</v>
      </c>
      <c r="F28" s="4">
        <v>0</v>
      </c>
      <c r="G28" s="4">
        <v>0.3</v>
      </c>
      <c r="H28" s="4">
        <f>G28</f>
        <v>0.3</v>
      </c>
      <c r="I28" s="4">
        <f>H28*$C$2</f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257</v>
      </c>
      <c r="B30" s="4">
        <v>1</v>
      </c>
      <c r="C30" s="4">
        <v>7800</v>
      </c>
      <c r="D30" s="4">
        <f>B30*C30</f>
        <v>7800</v>
      </c>
      <c r="E30" s="4">
        <f>D30*0.05</f>
        <v>390</v>
      </c>
      <c r="F30" s="4">
        <v>2500</v>
      </c>
      <c r="G30" s="4">
        <v>0.2</v>
      </c>
      <c r="H30" s="4">
        <f>G30*B30</f>
        <v>0.2</v>
      </c>
      <c r="I30" s="4">
        <f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258</v>
      </c>
      <c r="B31" s="4">
        <v>1</v>
      </c>
      <c r="C31" s="4">
        <v>12800</v>
      </c>
      <c r="D31" s="4">
        <f>B31*C31</f>
        <v>12800</v>
      </c>
      <c r="E31" s="4">
        <f>D31*0.05</f>
        <v>640</v>
      </c>
      <c r="F31" s="4">
        <v>2500</v>
      </c>
      <c r="G31" s="4">
        <v>0.2</v>
      </c>
      <c r="H31" s="4">
        <f>G31</f>
        <v>0.2</v>
      </c>
      <c r="I31" s="4">
        <f>H31*$C$2</f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259</v>
      </c>
      <c r="B32" s="4">
        <v>1</v>
      </c>
      <c r="C32" s="4">
        <v>11400</v>
      </c>
      <c r="D32" s="4">
        <f>B32*C32</f>
        <v>11400</v>
      </c>
      <c r="E32" s="4">
        <f>D32*0.05</f>
        <v>570</v>
      </c>
      <c r="F32" s="4">
        <v>0</v>
      </c>
      <c r="G32" s="4">
        <v>0.2</v>
      </c>
      <c r="H32" s="4">
        <f>G32</f>
        <v>0.2</v>
      </c>
      <c r="I32" s="4">
        <f>H32*$C$2</f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261</v>
      </c>
      <c r="B34" s="5">
        <v>1</v>
      </c>
      <c r="C34" s="4">
        <v>6000</v>
      </c>
      <c r="D34" s="4">
        <f>B34*C34</f>
        <v>6000</v>
      </c>
      <c r="E34" s="4">
        <f>D34*0.05</f>
        <v>300</v>
      </c>
      <c r="F34" s="4">
        <v>2500</v>
      </c>
      <c r="G34" s="4">
        <v>0.3</v>
      </c>
      <c r="H34" s="4">
        <f>G34*B34</f>
        <v>0.3</v>
      </c>
      <c r="I34" s="4">
        <f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262</v>
      </c>
      <c r="B35" s="4">
        <v>1</v>
      </c>
      <c r="C35" s="4">
        <v>10900</v>
      </c>
      <c r="D35" s="4">
        <f>B35*C35</f>
        <v>10900</v>
      </c>
      <c r="E35" s="4">
        <f>D35*0.05</f>
        <v>545</v>
      </c>
      <c r="F35" s="4">
        <v>2500</v>
      </c>
      <c r="G35" s="4">
        <v>0.2</v>
      </c>
      <c r="H35" s="4">
        <f>G35</f>
        <v>0.2</v>
      </c>
      <c r="I35" s="4">
        <f>H35*$C$2</f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263</v>
      </c>
      <c r="B36" s="5">
        <v>1</v>
      </c>
      <c r="C36" s="4">
        <v>12000</v>
      </c>
      <c r="D36" s="4">
        <f>B36*C36</f>
        <v>12000</v>
      </c>
      <c r="E36" s="4">
        <f>D36*0.05</f>
        <v>600</v>
      </c>
      <c r="F36" s="4">
        <v>2500</v>
      </c>
      <c r="G36" s="4">
        <f>0.35</f>
        <v>0.35</v>
      </c>
      <c r="H36" s="4">
        <f>G36</f>
        <v>0.35</v>
      </c>
      <c r="I36" s="4">
        <f>H36*$C$2</f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264</v>
      </c>
      <c r="B38" s="4">
        <v>2</v>
      </c>
      <c r="C38" s="4">
        <v>6000</v>
      </c>
      <c r="D38" s="4">
        <f>B38*C38</f>
        <v>12000</v>
      </c>
      <c r="E38" s="4">
        <f>D38*0.05</f>
        <v>600</v>
      </c>
      <c r="F38" s="4">
        <v>0</v>
      </c>
      <c r="G38" s="4">
        <v>0.2</v>
      </c>
      <c r="H38" s="4">
        <f>G38*B38</f>
        <v>0.4</v>
      </c>
      <c r="I38" s="4">
        <f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265</v>
      </c>
      <c r="B39" s="4">
        <v>1</v>
      </c>
      <c r="C39" s="4">
        <v>7000</v>
      </c>
      <c r="D39" s="4">
        <f>B39*C39</f>
        <v>7000</v>
      </c>
      <c r="E39" s="4">
        <f>D39*0.05</f>
        <v>350</v>
      </c>
      <c r="F39" s="4">
        <v>0</v>
      </c>
      <c r="G39" s="4">
        <v>0.2</v>
      </c>
      <c r="H39" s="4">
        <f>G39</f>
        <v>0.2</v>
      </c>
      <c r="I39" s="4">
        <f>H39*$C$2</f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>B40*C40</f>
        <v>15000</v>
      </c>
      <c r="E40" s="4">
        <f>D40*0.05</f>
        <v>750</v>
      </c>
      <c r="F40" s="4">
        <v>0</v>
      </c>
      <c r="G40" s="4">
        <v>0.5</v>
      </c>
      <c r="H40" s="4">
        <f>G40</f>
        <v>0.5</v>
      </c>
      <c r="I40" s="4">
        <f>H40*$C$2</f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261</v>
      </c>
      <c r="B41" s="4">
        <v>1</v>
      </c>
      <c r="C41" s="4">
        <v>12000</v>
      </c>
      <c r="D41" s="4">
        <f>B41*C41</f>
        <v>12000</v>
      </c>
      <c r="E41" s="4">
        <f>D41*0.05</f>
        <v>600</v>
      </c>
      <c r="F41" s="4">
        <v>0</v>
      </c>
      <c r="G41" s="4">
        <v>0.3</v>
      </c>
      <c r="H41" s="4">
        <f>G41</f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266</v>
      </c>
      <c r="B42" s="4">
        <v>1</v>
      </c>
      <c r="C42" s="4">
        <v>14000</v>
      </c>
      <c r="D42" s="4">
        <f>B42*C42</f>
        <v>14000</v>
      </c>
      <c r="E42" s="4">
        <f>D42*0.05</f>
        <v>700</v>
      </c>
      <c r="F42" s="4">
        <v>0</v>
      </c>
      <c r="G42" s="4">
        <v>0.41</v>
      </c>
      <c r="H42" s="4">
        <f>G42</f>
        <v>0.41</v>
      </c>
      <c r="I42" s="4">
        <f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41565</v>
      </c>
      <c r="D1" s="30"/>
    </row>
    <row r="2" spans="1:13" ht="38.25" x14ac:dyDescent="0.35">
      <c r="A2" s="55" t="s">
        <v>239</v>
      </c>
      <c r="B2" s="4"/>
      <c r="C2" s="16">
        <v>6630</v>
      </c>
      <c r="D2" s="30"/>
    </row>
    <row r="3" spans="1:13" ht="21" x14ac:dyDescent="0.35">
      <c r="A3" s="55" t="s">
        <v>240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>K6-J6</f>
        <v>-7.1540999999999713</v>
      </c>
    </row>
    <row r="7" spans="1:13" x14ac:dyDescent="0.25">
      <c r="A7" s="4" t="s">
        <v>199</v>
      </c>
      <c r="B7" s="4">
        <v>1</v>
      </c>
      <c r="C7" s="4">
        <f>10440+3800</f>
        <v>14240</v>
      </c>
      <c r="D7" s="4">
        <f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>K8-J8</f>
        <v>1.1292000000000257</v>
      </c>
    </row>
    <row r="9" spans="1:13" x14ac:dyDescent="0.25">
      <c r="A9" s="4" t="s">
        <v>277</v>
      </c>
      <c r="B9" s="4">
        <v>1</v>
      </c>
      <c r="C9" s="4">
        <f>29800/2</f>
        <v>14900</v>
      </c>
      <c r="D9" s="4">
        <f>B9*C9</f>
        <v>14900</v>
      </c>
      <c r="E9" s="4">
        <f>D9*0.05</f>
        <v>745</v>
      </c>
      <c r="F9" s="4">
        <v>0</v>
      </c>
      <c r="G9" s="4">
        <f>0.1</f>
        <v>0.1</v>
      </c>
      <c r="H9" s="4">
        <f>G9*B9</f>
        <v>0.1</v>
      </c>
      <c r="I9" s="4">
        <f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>B11*C11</f>
        <v>15000</v>
      </c>
      <c r="E11" s="4">
        <f>D11*0.05</f>
        <v>750</v>
      </c>
      <c r="F11" s="4">
        <v>0</v>
      </c>
      <c r="G11" s="4">
        <v>0.2</v>
      </c>
      <c r="H11" s="4">
        <f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>B13*C13</f>
        <v>15000</v>
      </c>
      <c r="E13" s="4">
        <f>D13*0.05</f>
        <v>750</v>
      </c>
      <c r="F13" s="4">
        <v>0</v>
      </c>
      <c r="G13" s="4">
        <v>0.2</v>
      </c>
      <c r="H13" s="4">
        <f>G13*B13</f>
        <v>0.2</v>
      </c>
      <c r="I13" s="4">
        <f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>B14*C14</f>
        <v>6600</v>
      </c>
      <c r="E14" s="4">
        <f>D14*0.05</f>
        <v>330</v>
      </c>
      <c r="F14" s="4">
        <v>0</v>
      </c>
      <c r="G14" s="4">
        <f>0.2</f>
        <v>0.2</v>
      </c>
      <c r="H14" s="4">
        <f>G14</f>
        <v>0.2</v>
      </c>
      <c r="I14" s="4">
        <f>H14*$C$2</f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272</v>
      </c>
      <c r="B15" s="5">
        <v>1</v>
      </c>
      <c r="C15" s="5">
        <v>3300</v>
      </c>
      <c r="D15" s="4">
        <f>B15*C15</f>
        <v>3300</v>
      </c>
      <c r="E15" s="4">
        <f>D15*0.05</f>
        <v>165</v>
      </c>
      <c r="F15" s="5">
        <f>2500/3</f>
        <v>833.33333333333337</v>
      </c>
      <c r="G15" s="5">
        <v>0.74</v>
      </c>
      <c r="H15" s="4">
        <f>G15</f>
        <v>0.74</v>
      </c>
      <c r="I15" s="4">
        <f>H15*$C$2</f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25">
      <c r="A17" s="4" t="s">
        <v>278</v>
      </c>
      <c r="B17" s="4">
        <v>1</v>
      </c>
      <c r="C17" s="4">
        <f>2000+2300</f>
        <v>4300</v>
      </c>
      <c r="D17" s="4">
        <f>B17*C17</f>
        <v>4300</v>
      </c>
      <c r="E17" s="4">
        <f>D17*0.05</f>
        <v>215</v>
      </c>
      <c r="F17" s="4">
        <v>2500</v>
      </c>
      <c r="G17" s="4">
        <v>0.2</v>
      </c>
      <c r="H17" s="4">
        <f>G17*B17</f>
        <v>0.2</v>
      </c>
      <c r="I17" s="4">
        <f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279</v>
      </c>
      <c r="B18" s="5">
        <v>1</v>
      </c>
      <c r="C18" s="5">
        <v>6500</v>
      </c>
      <c r="D18" s="4">
        <f>B18*C18</f>
        <v>6500</v>
      </c>
      <c r="E18" s="4">
        <f>D18*0.05</f>
        <v>325</v>
      </c>
      <c r="F18" s="5">
        <v>0</v>
      </c>
      <c r="G18" s="5">
        <v>0.6</v>
      </c>
      <c r="H18" s="4">
        <f>G18</f>
        <v>0.6</v>
      </c>
      <c r="I18" s="4">
        <f>H18*$C$2</f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273</v>
      </c>
      <c r="B20" s="4">
        <v>1</v>
      </c>
      <c r="C20" s="4">
        <v>4400</v>
      </c>
      <c r="D20" s="4">
        <f>B20*C20</f>
        <v>4400</v>
      </c>
      <c r="E20" s="4">
        <f>D20*0.05</f>
        <v>220</v>
      </c>
      <c r="F20" s="4">
        <v>2500</v>
      </c>
      <c r="G20" s="4">
        <v>0.2</v>
      </c>
      <c r="H20" s="4">
        <f>G20*B20</f>
        <v>0.2</v>
      </c>
      <c r="I20" s="4">
        <f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274</v>
      </c>
      <c r="B21" s="4">
        <v>1</v>
      </c>
      <c r="C21" s="4">
        <v>3000</v>
      </c>
      <c r="D21" s="4">
        <f>B21*C21</f>
        <v>3000</v>
      </c>
      <c r="E21" s="4">
        <f>D21*0.05</f>
        <v>150</v>
      </c>
      <c r="F21" s="89">
        <v>0</v>
      </c>
      <c r="G21" s="4">
        <v>0.2</v>
      </c>
      <c r="H21" s="4">
        <f>G21</f>
        <v>0.2</v>
      </c>
      <c r="I21" s="4">
        <f>H21*$C$2</f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275</v>
      </c>
      <c r="B22" s="5">
        <v>1</v>
      </c>
      <c r="C22" s="5">
        <v>6300</v>
      </c>
      <c r="D22" s="4">
        <f>B22*C22</f>
        <v>6300</v>
      </c>
      <c r="E22" s="4">
        <f>D22*0.05</f>
        <v>315</v>
      </c>
      <c r="F22" s="89">
        <v>0</v>
      </c>
      <c r="G22" s="4">
        <v>0.2</v>
      </c>
      <c r="H22" s="4">
        <f>G22</f>
        <v>0.2</v>
      </c>
      <c r="I22" s="4">
        <f>H22*$C$2</f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276</v>
      </c>
      <c r="B23" s="5">
        <v>1</v>
      </c>
      <c r="C23" s="5">
        <v>7600</v>
      </c>
      <c r="D23" s="4">
        <f>B23*C23</f>
        <v>7600</v>
      </c>
      <c r="E23" s="4">
        <f>D23*0.05</f>
        <v>380</v>
      </c>
      <c r="F23" s="89">
        <v>0</v>
      </c>
      <c r="G23" s="4">
        <v>0.2</v>
      </c>
      <c r="H23" s="4">
        <f>G23</f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55</vt:i4>
      </vt:variant>
    </vt:vector>
  </HeadingPairs>
  <TitlesOfParts>
    <vt:vector size="55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2017-10-21T17:18:13Z</dcterms:modified>
</cp:coreProperties>
</file>