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40" yWindow="120" windowWidth="15170" windowHeight="7050" tabRatio="936" firstSheet="25" activeTab="50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--" sheetId="53" r:id="rId52"/>
  </sheets>
  <calcPr calcId="162913" calcMode="manual"/>
</workbook>
</file>

<file path=xl/calcChain.xml><?xml version="1.0" encoding="utf-8"?>
<calcChain xmlns="http://schemas.openxmlformats.org/spreadsheetml/2006/main">
  <c r="K8" i="50" l="1"/>
  <c r="B64" i="6" l="1"/>
  <c r="C23" i="52"/>
  <c r="I7" i="52"/>
  <c r="J7" i="52" s="1"/>
  <c r="F9" i="52"/>
  <c r="F7" i="52"/>
  <c r="F15" i="52"/>
  <c r="F13" i="52"/>
  <c r="I23" i="52"/>
  <c r="D23" i="52"/>
  <c r="I21" i="52"/>
  <c r="D21" i="52"/>
  <c r="I19" i="52"/>
  <c r="D19" i="52"/>
  <c r="I17" i="52"/>
  <c r="D17" i="52"/>
  <c r="I15" i="52"/>
  <c r="D15" i="52"/>
  <c r="E15" i="52" s="1"/>
  <c r="I13" i="52"/>
  <c r="J13" i="52" s="1"/>
  <c r="D13" i="52"/>
  <c r="I11" i="52"/>
  <c r="D11" i="52"/>
  <c r="I9" i="52"/>
  <c r="D9" i="52"/>
  <c r="E9" i="52" s="1"/>
  <c r="D7" i="52"/>
  <c r="E23" i="52" l="1"/>
  <c r="J23" i="52" s="1"/>
  <c r="J22" i="52" s="1"/>
  <c r="L22" i="52" s="1"/>
  <c r="E13" i="52"/>
  <c r="J12" i="52" s="1"/>
  <c r="L12" i="52" s="1"/>
  <c r="B144" i="6" s="1"/>
  <c r="E21" i="52"/>
  <c r="J21" i="52" s="1"/>
  <c r="J20" i="52" s="1"/>
  <c r="L20" i="52" s="1"/>
  <c r="B65" i="6" s="1"/>
  <c r="J9" i="52"/>
  <c r="J8" i="52" s="1"/>
  <c r="L8" i="52" s="1"/>
  <c r="B154" i="6" s="1"/>
  <c r="E11" i="52"/>
  <c r="J11" i="52" s="1"/>
  <c r="J10" i="52" s="1"/>
  <c r="L10" i="52" s="1"/>
  <c r="B155" i="6" s="1"/>
  <c r="E19" i="52"/>
  <c r="J19" i="52" s="1"/>
  <c r="J18" i="52" s="1"/>
  <c r="L18" i="52" s="1"/>
  <c r="B60" i="6" s="1"/>
  <c r="E7" i="52"/>
  <c r="J6" i="52" s="1"/>
  <c r="L6" i="52" s="1"/>
  <c r="B106" i="6" s="1"/>
  <c r="J15" i="52"/>
  <c r="J14" i="52" s="1"/>
  <c r="L14" i="52" s="1"/>
  <c r="B137" i="6" s="1"/>
  <c r="E17" i="52"/>
  <c r="J17" i="52" s="1"/>
  <c r="J16" i="52" s="1"/>
  <c r="L16" i="52" s="1"/>
  <c r="B112" i="6" s="1"/>
  <c r="K32" i="51"/>
  <c r="K18" i="51"/>
  <c r="K24" i="51"/>
  <c r="K35" i="51"/>
  <c r="K42" i="51"/>
  <c r="K10" i="51"/>
  <c r="K20" i="51" l="1"/>
  <c r="H45" i="51" l="1"/>
  <c r="H44" i="51"/>
  <c r="H43" i="51"/>
  <c r="I11" i="51"/>
  <c r="K10" i="50" l="1"/>
  <c r="F29" i="51" l="1"/>
  <c r="F45" i="51"/>
  <c r="F44" i="51"/>
  <c r="F43" i="51"/>
  <c r="I49" i="51"/>
  <c r="D49" i="51"/>
  <c r="I48" i="51"/>
  <c r="D48" i="51"/>
  <c r="E48" i="51" s="1"/>
  <c r="I47" i="51"/>
  <c r="D47" i="51"/>
  <c r="I45" i="51"/>
  <c r="D45" i="51"/>
  <c r="E45" i="51" s="1"/>
  <c r="I44" i="51"/>
  <c r="D44" i="51"/>
  <c r="E44" i="51" s="1"/>
  <c r="I43" i="51"/>
  <c r="D43" i="51"/>
  <c r="I15" i="51"/>
  <c r="D15" i="51"/>
  <c r="I14" i="51"/>
  <c r="D14" i="51"/>
  <c r="E14" i="51" s="1"/>
  <c r="I13" i="51"/>
  <c r="D13" i="51"/>
  <c r="E13" i="51" s="1"/>
  <c r="I12" i="51"/>
  <c r="D12" i="51"/>
  <c r="D11" i="51"/>
  <c r="I9" i="51"/>
  <c r="D9" i="51"/>
  <c r="E9" i="51" s="1"/>
  <c r="I8" i="51"/>
  <c r="D8" i="51"/>
  <c r="I7" i="51"/>
  <c r="D7" i="51"/>
  <c r="E7" i="51" s="1"/>
  <c r="I27" i="51"/>
  <c r="D27" i="51"/>
  <c r="E27" i="51" s="1"/>
  <c r="I37" i="51"/>
  <c r="D37" i="51"/>
  <c r="E37" i="51" s="1"/>
  <c r="I36" i="51"/>
  <c r="D36" i="51"/>
  <c r="E36" i="51" s="1"/>
  <c r="I31" i="51"/>
  <c r="D31" i="51"/>
  <c r="I29" i="51"/>
  <c r="D29" i="51"/>
  <c r="E29" i="51" s="1"/>
  <c r="I25" i="51"/>
  <c r="D25" i="51"/>
  <c r="E25" i="51" s="1"/>
  <c r="I41" i="51"/>
  <c r="I40" i="51"/>
  <c r="I39" i="51"/>
  <c r="I34" i="51"/>
  <c r="I33" i="51"/>
  <c r="D41" i="51"/>
  <c r="E41" i="51" s="1"/>
  <c r="D40" i="51"/>
  <c r="D39" i="51"/>
  <c r="D34" i="51"/>
  <c r="E34" i="51" s="1"/>
  <c r="D33" i="51"/>
  <c r="E33" i="51" s="1"/>
  <c r="I23" i="51"/>
  <c r="D23" i="51"/>
  <c r="E23" i="51" s="1"/>
  <c r="I21" i="51"/>
  <c r="D21" i="51"/>
  <c r="I19" i="51"/>
  <c r="D19" i="51"/>
  <c r="E19" i="51" s="1"/>
  <c r="I17" i="51"/>
  <c r="D17" i="51"/>
  <c r="E17" i="51" s="1"/>
  <c r="E43" i="51" l="1"/>
  <c r="J43" i="51" s="1"/>
  <c r="E49" i="51"/>
  <c r="J49" i="51" s="1"/>
  <c r="J48" i="51"/>
  <c r="E47" i="51"/>
  <c r="J47" i="51" s="1"/>
  <c r="J44" i="51"/>
  <c r="J45" i="51"/>
  <c r="E31" i="51"/>
  <c r="J31" i="51" s="1"/>
  <c r="J30" i="51" s="1"/>
  <c r="L30" i="51" s="1"/>
  <c r="J27" i="51"/>
  <c r="J26" i="51" s="1"/>
  <c r="L26" i="51" s="1"/>
  <c r="E8" i="51"/>
  <c r="J8" i="51" s="1"/>
  <c r="J14" i="51"/>
  <c r="E11" i="51"/>
  <c r="J11" i="51" s="1"/>
  <c r="E15" i="51"/>
  <c r="J15" i="51" s="1"/>
  <c r="E12" i="51"/>
  <c r="J12" i="51" s="1"/>
  <c r="J13" i="51"/>
  <c r="J9" i="51"/>
  <c r="J7" i="51"/>
  <c r="J37" i="51"/>
  <c r="J36" i="51"/>
  <c r="J29" i="51"/>
  <c r="J28" i="51" s="1"/>
  <c r="L28" i="51" s="1"/>
  <c r="B135" i="6" s="1"/>
  <c r="J25" i="51"/>
  <c r="J24" i="51" s="1"/>
  <c r="L24" i="51" s="1"/>
  <c r="B196" i="6" s="1"/>
  <c r="J33" i="51"/>
  <c r="J34" i="51"/>
  <c r="E21" i="51"/>
  <c r="J21" i="51" s="1"/>
  <c r="J20" i="51" s="1"/>
  <c r="L20" i="51" s="1"/>
  <c r="E40" i="51"/>
  <c r="J40" i="51" s="1"/>
  <c r="E39" i="51"/>
  <c r="J39" i="51" s="1"/>
  <c r="J41" i="51"/>
  <c r="J17" i="51"/>
  <c r="J16" i="51" s="1"/>
  <c r="L16" i="51" s="1"/>
  <c r="B89" i="6" s="1"/>
  <c r="J23" i="51"/>
  <c r="J22" i="51" s="1"/>
  <c r="L22" i="51" s="1"/>
  <c r="J19" i="51"/>
  <c r="J18" i="51" s="1"/>
  <c r="L18" i="51" s="1"/>
  <c r="H22" i="50"/>
  <c r="I22" i="50" s="1"/>
  <c r="D22" i="50"/>
  <c r="E22" i="50" s="1"/>
  <c r="I21" i="50"/>
  <c r="D21" i="50"/>
  <c r="I20" i="50"/>
  <c r="D20" i="50"/>
  <c r="E20" i="50" s="1"/>
  <c r="I19" i="50"/>
  <c r="D19" i="50"/>
  <c r="E19" i="50" s="1"/>
  <c r="I18" i="50"/>
  <c r="D18" i="50"/>
  <c r="E18" i="50" s="1"/>
  <c r="I16" i="50"/>
  <c r="D16" i="50"/>
  <c r="E16" i="50" s="1"/>
  <c r="I15" i="50"/>
  <c r="D15" i="50"/>
  <c r="E15" i="50" s="1"/>
  <c r="H13" i="50"/>
  <c r="I13" i="50" s="1"/>
  <c r="D13" i="50"/>
  <c r="E13" i="50" s="1"/>
  <c r="H11" i="50"/>
  <c r="I11" i="50" s="1"/>
  <c r="D11" i="50"/>
  <c r="H9" i="50"/>
  <c r="I9" i="50" s="1"/>
  <c r="D9" i="50"/>
  <c r="E9" i="50" s="1"/>
  <c r="H7" i="50"/>
  <c r="I7" i="50" s="1"/>
  <c r="D7" i="50"/>
  <c r="J32" i="51" l="1"/>
  <c r="L32" i="51" s="1"/>
  <c r="J6" i="51"/>
  <c r="J15" i="50"/>
  <c r="J18" i="50"/>
  <c r="J22" i="50"/>
  <c r="J16" i="50"/>
  <c r="J20" i="50"/>
  <c r="E21" i="50"/>
  <c r="J21" i="50" s="1"/>
  <c r="E11" i="50"/>
  <c r="J11" i="50" s="1"/>
  <c r="J10" i="50" s="1"/>
  <c r="L10" i="50" s="1"/>
  <c r="J19" i="50"/>
  <c r="J42" i="51"/>
  <c r="L42" i="51" s="1"/>
  <c r="J46" i="51"/>
  <c r="L46" i="51" s="1"/>
  <c r="J10" i="51"/>
  <c r="L10" i="51" s="1"/>
  <c r="J35" i="51"/>
  <c r="L35" i="51" s="1"/>
  <c r="B15" i="6" s="1"/>
  <c r="J38" i="51"/>
  <c r="L38" i="51" s="1"/>
  <c r="J13" i="50"/>
  <c r="J12" i="50" s="1"/>
  <c r="L12" i="50" s="1"/>
  <c r="J9" i="50"/>
  <c r="J8" i="50" s="1"/>
  <c r="L8" i="50" s="1"/>
  <c r="E7" i="50"/>
  <c r="J7" i="50" s="1"/>
  <c r="J6" i="50" s="1"/>
  <c r="L6" i="50" s="1"/>
  <c r="H22" i="49"/>
  <c r="J14" i="50" l="1"/>
  <c r="L14" i="50" s="1"/>
  <c r="J17" i="50"/>
  <c r="L17" i="50" s="1"/>
  <c r="L6" i="51"/>
  <c r="I18" i="49"/>
  <c r="H11" i="49"/>
  <c r="I11" i="49" s="1"/>
  <c r="H7" i="49"/>
  <c r="I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7" i="49" l="1"/>
  <c r="J20" i="49"/>
  <c r="J11" i="49"/>
  <c r="J10" i="49" s="1"/>
  <c r="L10" i="49" s="1"/>
  <c r="B162" i="6" s="1"/>
  <c r="J13" i="49"/>
  <c r="J12" i="49" s="1"/>
  <c r="L12" i="49" s="1"/>
  <c r="J6" i="49"/>
  <c r="L6" i="49" s="1"/>
  <c r="J19" i="49"/>
  <c r="J21" i="49"/>
  <c r="E15" i="49"/>
  <c r="J15" i="49" s="1"/>
  <c r="J16" i="49"/>
  <c r="J9" i="49"/>
  <c r="J8" i="49" s="1"/>
  <c r="L8" i="49" s="1"/>
  <c r="E18" i="49"/>
  <c r="J18" i="49" s="1"/>
  <c r="J22" i="49"/>
  <c r="J17" i="49" l="1"/>
  <c r="L17" i="49" s="1"/>
  <c r="B119" i="6" s="1"/>
  <c r="J14" i="49"/>
  <c r="L14" i="49" s="1"/>
  <c r="G28" i="48" l="1"/>
  <c r="H14" i="48"/>
  <c r="H12" i="48" l="1"/>
  <c r="I12" i="48" s="1"/>
  <c r="D12" i="48"/>
  <c r="E12" i="48" s="1"/>
  <c r="D13" i="48"/>
  <c r="E13" i="48" s="1"/>
  <c r="D14" i="48"/>
  <c r="E14" i="48" s="1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D22" i="48"/>
  <c r="E22" i="48" s="1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69" i="6" s="1"/>
  <c r="J29" i="48"/>
  <c r="J7" i="48"/>
  <c r="J6" i="48" s="1"/>
  <c r="L6" i="48" s="1"/>
  <c r="B193" i="6" s="1"/>
  <c r="J11" i="48"/>
  <c r="J28" i="48"/>
  <c r="J30" i="48"/>
  <c r="J14" i="48"/>
  <c r="J16" i="48"/>
  <c r="J15" i="48" s="1"/>
  <c r="L15" i="48" s="1"/>
  <c r="H9" i="47"/>
  <c r="J24" i="48" l="1"/>
  <c r="J10" i="48"/>
  <c r="L10" i="48" s="1"/>
  <c r="B202" i="6" s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D24" i="47"/>
  <c r="E24" i="47" s="1"/>
  <c r="H22" i="47"/>
  <c r="I22" i="47" s="1"/>
  <c r="D22" i="47"/>
  <c r="E22" i="47" s="1"/>
  <c r="H21" i="47"/>
  <c r="I21" i="47" s="1"/>
  <c r="D21" i="47"/>
  <c r="E21" i="47" s="1"/>
  <c r="H17" i="47"/>
  <c r="I17" i="47" s="1"/>
  <c r="D17" i="47"/>
  <c r="H13" i="47"/>
  <c r="I13" i="47" s="1"/>
  <c r="D13" i="47"/>
  <c r="E13" i="47" s="1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D7" i="47"/>
  <c r="E7" i="47" s="1"/>
  <c r="J7" i="47" l="1"/>
  <c r="J6" i="47" s="1"/>
  <c r="L6" i="47" s="1"/>
  <c r="J22" i="47"/>
  <c r="E25" i="47"/>
  <c r="J25" i="47" s="1"/>
  <c r="E17" i="47"/>
  <c r="J17" i="47" s="1"/>
  <c r="J24" i="47"/>
  <c r="J21" i="47"/>
  <c r="J13" i="47"/>
  <c r="J12" i="47" s="1"/>
  <c r="L12" i="47" s="1"/>
  <c r="J19" i="47"/>
  <c r="J9" i="47"/>
  <c r="J8" i="47" s="1"/>
  <c r="L8" i="47" s="1"/>
  <c r="J18" i="47"/>
  <c r="J11" i="47"/>
  <c r="J10" i="47" s="1"/>
  <c r="L10" i="47" s="1"/>
  <c r="E15" i="47"/>
  <c r="J15" i="47" s="1"/>
  <c r="J16" i="47"/>
  <c r="J20" i="47" l="1"/>
  <c r="L20" i="47" s="1"/>
  <c r="J23" i="47"/>
  <c r="L23" i="47" s="1"/>
  <c r="B143" i="6" s="1"/>
  <c r="J14" i="47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208" i="6" s="1"/>
  <c r="J17" i="46"/>
  <c r="J14" i="46"/>
  <c r="J18" i="46"/>
  <c r="J7" i="46"/>
  <c r="J6" i="46" s="1"/>
  <c r="L6" i="46" s="1"/>
  <c r="B81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04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B91" i="6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101" i="6"/>
  <c r="B181" i="44"/>
  <c r="B199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70" i="6" l="1"/>
  <c r="B65" i="44"/>
  <c r="B110" i="44"/>
  <c r="B120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58" i="6" s="1"/>
  <c r="J34" i="43"/>
  <c r="J33" i="43" s="1"/>
  <c r="L33" i="43" s="1"/>
  <c r="B52" i="6" s="1"/>
  <c r="B62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77" i="6" s="1"/>
  <c r="J19" i="43"/>
  <c r="J13" i="43"/>
  <c r="E30" i="43"/>
  <c r="J30" i="43" s="1"/>
  <c r="J29" i="43" s="1"/>
  <c r="L29" i="43" s="1"/>
  <c r="B171" i="6" s="1"/>
  <c r="J26" i="43"/>
  <c r="J25" i="43" s="1"/>
  <c r="L25" i="43" s="1"/>
  <c r="B55" i="6" s="1"/>
  <c r="J22" i="43"/>
  <c r="J21" i="43" s="1"/>
  <c r="L21" i="43" s="1"/>
  <c r="J24" i="43"/>
  <c r="J23" i="43" s="1"/>
  <c r="L23" i="43" s="1"/>
  <c r="B198" i="6" s="1"/>
  <c r="J28" i="43"/>
  <c r="J27" i="43" s="1"/>
  <c r="L27" i="43" s="1"/>
  <c r="E16" i="43"/>
  <c r="J16" i="43" s="1"/>
  <c r="J10" i="43"/>
  <c r="E11" i="43"/>
  <c r="J11" i="43" s="1"/>
  <c r="J7" i="43"/>
  <c r="K21" i="32"/>
  <c r="J12" i="43" l="1"/>
  <c r="J15" i="43"/>
  <c r="L15" i="43" s="1"/>
  <c r="J6" i="43"/>
  <c r="L6" i="43" s="1"/>
  <c r="B168" i="6" s="1"/>
  <c r="J18" i="43"/>
  <c r="L18" i="43" s="1"/>
  <c r="B105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7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69" i="6" s="1"/>
  <c r="E17" i="42"/>
  <c r="J17" i="42" s="1"/>
  <c r="J16" i="42" s="1"/>
  <c r="L16" i="42" s="1"/>
  <c r="B183" i="6" s="1"/>
  <c r="J7" i="42"/>
  <c r="J6" i="42" s="1"/>
  <c r="L6" i="42" s="1"/>
  <c r="J9" i="42"/>
  <c r="J8" i="42" s="1"/>
  <c r="L8" i="42" s="1"/>
  <c r="J11" i="42"/>
  <c r="J10" i="42" s="1"/>
  <c r="L10" i="42" s="1"/>
  <c r="J21" i="42" l="1"/>
  <c r="L21" i="42" s="1"/>
  <c r="J27" i="42"/>
  <c r="L27" i="42" s="1"/>
  <c r="J24" i="42"/>
  <c r="L24" i="42" s="1"/>
  <c r="B130" i="6" s="1"/>
  <c r="J31" i="42"/>
  <c r="L31" i="42" s="1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80" i="6" s="1"/>
  <c r="E23" i="41"/>
  <c r="J23" i="41" s="1"/>
  <c r="J22" i="41" s="1"/>
  <c r="L22" i="41" s="1"/>
  <c r="J19" i="41"/>
  <c r="J18" i="41" s="1"/>
  <c r="L18" i="41" s="1"/>
  <c r="B118" i="6" s="1"/>
  <c r="J21" i="41"/>
  <c r="J20" i="41" s="1"/>
  <c r="L20" i="41" s="1"/>
  <c r="B26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45" i="6" s="1"/>
  <c r="E9" i="40"/>
  <c r="J9" i="40" s="1"/>
  <c r="J8" i="40" s="1"/>
  <c r="L8" i="40" s="1"/>
  <c r="B24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6" i="39" s="1"/>
  <c r="L6" i="39" s="1"/>
  <c r="B129" i="6" s="1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9" i="39"/>
  <c r="J8" i="39" s="1"/>
  <c r="L8" i="39" s="1"/>
  <c r="B187" i="6" s="1"/>
  <c r="J11" i="39"/>
  <c r="J10" i="39" s="1"/>
  <c r="L10" i="39" s="1"/>
  <c r="B34" i="6" s="1"/>
  <c r="J12" i="39"/>
  <c r="L12" i="39" s="1"/>
  <c r="J14" i="39"/>
  <c r="L14" i="39" s="1"/>
  <c r="J17" i="39"/>
  <c r="J16" i="39" s="1"/>
  <c r="L16" i="39" s="1"/>
  <c r="B176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B115" i="6" s="1"/>
  <c r="E9" i="38"/>
  <c r="J9" i="38" s="1"/>
  <c r="J8" i="38" s="1"/>
  <c r="L8" i="38" s="1"/>
  <c r="E11" i="38"/>
  <c r="J11" i="38" s="1"/>
  <c r="J10" i="38" s="1"/>
  <c r="L10" i="38" s="1"/>
  <c r="B149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B197" i="6" s="1"/>
  <c r="J13" i="37"/>
  <c r="J12" i="37" s="1"/>
  <c r="L12" i="37" s="1"/>
  <c r="B111" i="6" s="1"/>
  <c r="J15" i="37"/>
  <c r="J14" i="37" s="1"/>
  <c r="L14" i="37" s="1"/>
  <c r="B30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96" i="6" s="1"/>
  <c r="J21" i="37"/>
  <c r="L21" i="37" s="1"/>
  <c r="B102" i="6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2" i="6" s="1"/>
  <c r="J27" i="36"/>
  <c r="J26" i="36" s="1"/>
  <c r="L26" i="36" s="1"/>
  <c r="B164" i="6" s="1"/>
  <c r="J25" i="36"/>
  <c r="J24" i="36" s="1"/>
  <c r="L24" i="36" s="1"/>
  <c r="B172" i="6" s="1"/>
  <c r="J19" i="36"/>
  <c r="J18" i="36" s="1"/>
  <c r="L18" i="36" s="1"/>
  <c r="B186" i="6" s="1"/>
  <c r="J21" i="36"/>
  <c r="J20" i="36" s="1"/>
  <c r="L20" i="36" s="1"/>
  <c r="B86" i="6" s="1"/>
  <c r="E23" i="36"/>
  <c r="J23" i="36" s="1"/>
  <c r="J22" i="36" s="1"/>
  <c r="L22" i="36" s="1"/>
  <c r="J37" i="36"/>
  <c r="J36" i="36" s="1"/>
  <c r="L36" i="36" s="1"/>
  <c r="B31" i="6" s="1"/>
  <c r="E29" i="36"/>
  <c r="J29" i="36" s="1"/>
  <c r="J15" i="36"/>
  <c r="J14" i="36" s="1"/>
  <c r="L14" i="36" s="1"/>
  <c r="B124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95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8" i="6" s="1"/>
  <c r="J25" i="35"/>
  <c r="J30" i="35"/>
  <c r="J9" i="35"/>
  <c r="J8" i="35" s="1"/>
  <c r="L8" i="35" s="1"/>
  <c r="B188" i="6" s="1"/>
  <c r="J11" i="35"/>
  <c r="J10" i="35" s="1"/>
  <c r="L10" i="35" s="1"/>
  <c r="B107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68" i="6"/>
  <c r="J28" i="36"/>
  <c r="L28" i="36" s="1"/>
  <c r="B204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H13" i="33" s="1"/>
  <c r="I13" i="33" s="1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I25" i="31" s="1"/>
  <c r="H22" i="31"/>
  <c r="I22" i="31" s="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14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78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13" i="6" s="1"/>
  <c r="E15" i="33"/>
  <c r="J15" i="33" s="1"/>
  <c r="J14" i="33" s="1"/>
  <c r="L14" i="33" s="1"/>
  <c r="B201" i="6" s="1"/>
  <c r="E11" i="33"/>
  <c r="J11" i="33" s="1"/>
  <c r="J10" i="33" s="1"/>
  <c r="L10" i="33" s="1"/>
  <c r="J13" i="33"/>
  <c r="J12" i="33" s="1"/>
  <c r="L12" i="33" s="1"/>
  <c r="B210" i="6" s="1"/>
  <c r="J9" i="33"/>
  <c r="J8" i="33" s="1"/>
  <c r="L8" i="33" s="1"/>
  <c r="J7" i="33"/>
  <c r="J6" i="33" s="1"/>
  <c r="L6" i="33" s="1"/>
  <c r="B45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8" i="6" s="1"/>
  <c r="J39" i="31"/>
  <c r="J38" i="31" s="1"/>
  <c r="L38" i="31" s="1"/>
  <c r="B84" i="6" s="1"/>
  <c r="E43" i="31"/>
  <c r="J43" i="31" s="1"/>
  <c r="J42" i="31" s="1"/>
  <c r="L42" i="31" s="1"/>
  <c r="J45" i="31"/>
  <c r="J44" i="31" s="1"/>
  <c r="L44" i="31" s="1"/>
  <c r="J35" i="31"/>
  <c r="J34" i="31" s="1"/>
  <c r="L34" i="31" s="1"/>
  <c r="B148" i="6" s="1"/>
  <c r="J37" i="31"/>
  <c r="J36" i="31" s="1"/>
  <c r="L36" i="31" s="1"/>
  <c r="B153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27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203" i="6" s="1"/>
  <c r="J21" i="34"/>
  <c r="L21" i="34" s="1"/>
  <c r="B47" i="6" s="1"/>
  <c r="J18" i="34"/>
  <c r="L18" i="34" s="1"/>
  <c r="J12" i="34"/>
  <c r="L12" i="34" s="1"/>
  <c r="B38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59" i="6" s="1"/>
  <c r="J12" i="32"/>
  <c r="L12" i="32" s="1"/>
  <c r="J17" i="32"/>
  <c r="L17" i="32" s="1"/>
  <c r="J25" i="32"/>
  <c r="L25" i="32" s="1"/>
  <c r="B185" i="6" s="1"/>
  <c r="J28" i="32"/>
  <c r="L28" i="32" s="1"/>
  <c r="B82" i="6" s="1"/>
  <c r="J21" i="32"/>
  <c r="L21" i="32" s="1"/>
  <c r="B8" i="6" s="1"/>
  <c r="J31" i="32"/>
  <c r="L31" i="32" s="1"/>
  <c r="J6" i="32"/>
  <c r="L6" i="32" s="1"/>
  <c r="B71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81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3" i="6" s="1"/>
  <c r="J16" i="28"/>
  <c r="J19" i="28"/>
  <c r="J18" i="28"/>
  <c r="J14" i="28"/>
  <c r="J13" i="28"/>
  <c r="J15" i="28" l="1"/>
  <c r="L15" i="28" s="1"/>
  <c r="J24" i="28"/>
  <c r="L24" i="28" s="1"/>
  <c r="B72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9" i="6" s="1"/>
  <c r="E9" i="28"/>
  <c r="J9" i="28" s="1"/>
  <c r="J10" i="28"/>
  <c r="J12" i="28"/>
  <c r="J21" i="28"/>
  <c r="J20" i="28" s="1"/>
  <c r="L20" i="28" s="1"/>
  <c r="B165" i="6" s="1"/>
  <c r="K13" i="27"/>
  <c r="K6" i="13"/>
  <c r="J11" i="28" l="1"/>
  <c r="L11" i="28" s="1"/>
  <c r="B207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0" i="26" s="1"/>
  <c r="L10" i="26" s="1"/>
  <c r="B58" i="6" s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E7" i="26"/>
  <c r="J7" i="26" s="1"/>
  <c r="J6" i="26" s="1"/>
  <c r="L6" i="26" s="1"/>
  <c r="E9" i="26"/>
  <c r="J9" i="26" s="1"/>
  <c r="J8" i="26" s="1"/>
  <c r="L8" i="26" s="1"/>
  <c r="B40" i="6" s="1"/>
  <c r="K47" i="24"/>
  <c r="J6" i="27" l="1"/>
  <c r="L6" i="27" s="1"/>
  <c r="B125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39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12" i="6" s="1"/>
  <c r="J26" i="24"/>
  <c r="E50" i="24"/>
  <c r="J50" i="24" s="1"/>
  <c r="J49" i="24" s="1"/>
  <c r="L49" i="24" s="1"/>
  <c r="B79" i="6" s="1"/>
  <c r="J46" i="24"/>
  <c r="J45" i="24" s="1"/>
  <c r="L45" i="24" s="1"/>
  <c r="J19" i="24"/>
  <c r="E42" i="24"/>
  <c r="J42" i="24" s="1"/>
  <c r="J41" i="24" s="1"/>
  <c r="L41" i="24" s="1"/>
  <c r="B110" i="6" s="1"/>
  <c r="E40" i="24"/>
  <c r="J40" i="24" s="1"/>
  <c r="J39" i="24" s="1"/>
  <c r="L39" i="24" s="1"/>
  <c r="B19" i="6" s="1"/>
  <c r="J38" i="24"/>
  <c r="J37" i="24" s="1"/>
  <c r="L37" i="24" s="1"/>
  <c r="B42" i="6" s="1"/>
  <c r="J36" i="24"/>
  <c r="J35" i="24" s="1"/>
  <c r="L35" i="24" s="1"/>
  <c r="B43" i="6" s="1"/>
  <c r="E34" i="24"/>
  <c r="J34" i="24" s="1"/>
  <c r="J33" i="24" s="1"/>
  <c r="L33" i="24" s="1"/>
  <c r="B150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31" i="6" s="1"/>
  <c r="J7" i="24"/>
  <c r="J28" i="24"/>
  <c r="J27" i="24" s="1"/>
  <c r="L27" i="24" s="1"/>
  <c r="E9" i="24"/>
  <c r="J9" i="24" s="1"/>
  <c r="J8" i="24"/>
  <c r="J32" i="24"/>
  <c r="J31" i="24" s="1"/>
  <c r="L31" i="24" s="1"/>
  <c r="B54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6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51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3" i="6" s="1"/>
  <c r="E15" i="23"/>
  <c r="J15" i="23" s="1"/>
  <c r="J14" i="23" s="1"/>
  <c r="L14" i="23" s="1"/>
  <c r="B132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209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52" i="6" s="1"/>
  <c r="J7" i="22"/>
  <c r="J16" i="22"/>
  <c r="E8" i="22"/>
  <c r="J8" i="22" s="1"/>
  <c r="E21" i="22"/>
  <c r="J21" i="22" s="1"/>
  <c r="J20" i="22" s="1"/>
  <c r="L20" i="22" s="1"/>
  <c r="B179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08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17" i="6" s="1"/>
  <c r="J14" i="20"/>
  <c r="J13" i="20" s="1"/>
  <c r="L13" i="20" s="1"/>
  <c r="J8" i="20"/>
  <c r="J7" i="20"/>
  <c r="E10" i="20"/>
  <c r="J10" i="20" s="1"/>
  <c r="J9" i="20" s="1"/>
  <c r="L9" i="20" s="1"/>
  <c r="B184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3" i="6" s="1"/>
  <c r="J26" i="19"/>
  <c r="J25" i="19" s="1"/>
  <c r="L25" i="19" s="1"/>
  <c r="B163" i="6" s="1"/>
  <c r="J12" i="19"/>
  <c r="E30" i="19"/>
  <c r="J30" i="19" s="1"/>
  <c r="J29" i="19" s="1"/>
  <c r="L29" i="19" s="1"/>
  <c r="B174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61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26" i="6" s="1"/>
  <c r="J11" i="17"/>
  <c r="J10" i="17" s="1"/>
  <c r="L10" i="17" s="1"/>
  <c r="B77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5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2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73" i="6" s="1"/>
  <c r="J17" i="16"/>
  <c r="L17" i="16" s="1"/>
  <c r="J26" i="16"/>
  <c r="L26" i="16" s="1"/>
  <c r="B128" i="6" s="1"/>
  <c r="J12" i="16"/>
  <c r="L12" i="16" s="1"/>
  <c r="B194" i="6" s="1"/>
  <c r="J30" i="16"/>
  <c r="L30" i="16" s="1"/>
  <c r="B127" i="44" l="1"/>
  <c r="B139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38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21" i="6" s="1"/>
  <c r="J28" i="14"/>
  <c r="J31" i="14"/>
  <c r="J24" i="14"/>
  <c r="E25" i="14"/>
  <c r="J25" i="14" s="1"/>
  <c r="J9" i="14"/>
  <c r="J42" i="14"/>
  <c r="J41" i="14" s="1"/>
  <c r="L41" i="14" s="1"/>
  <c r="B166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83" i="6" s="1"/>
  <c r="J6" i="14"/>
  <c r="L6" i="14" s="1"/>
  <c r="B103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20" i="6" s="1"/>
  <c r="B96" i="44" l="1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98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5" i="6" s="1"/>
  <c r="J16" i="12"/>
  <c r="J18" i="12"/>
  <c r="J20" i="12"/>
  <c r="J13" i="12"/>
  <c r="J7" i="12"/>
  <c r="J6" i="12" s="1"/>
  <c r="L6" i="12" s="1"/>
  <c r="B167" i="6" s="1"/>
  <c r="J15" i="12"/>
  <c r="J19" i="12"/>
  <c r="E22" i="12"/>
  <c r="J22" i="12" s="1"/>
  <c r="J21" i="12" l="1"/>
  <c r="L21" i="12" s="1"/>
  <c r="J12" i="12"/>
  <c r="L12" i="12" s="1"/>
  <c r="B122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36" i="6" s="1"/>
  <c r="J7" i="11"/>
  <c r="J6" i="11" s="1"/>
  <c r="L6" i="11" s="1"/>
  <c r="B205" i="6" s="1"/>
  <c r="J49" i="11"/>
  <c r="E38" i="11"/>
  <c r="J38" i="11" s="1"/>
  <c r="J26" i="11" l="1"/>
  <c r="L26" i="11" s="1"/>
  <c r="B146" i="6" s="1"/>
  <c r="J23" i="11"/>
  <c r="L23" i="11" s="1"/>
  <c r="J17" i="11"/>
  <c r="L17" i="11" s="1"/>
  <c r="B87" i="6" s="1"/>
  <c r="J10" i="11"/>
  <c r="L10" i="11" s="1"/>
  <c r="B93" i="6" s="1"/>
  <c r="J42" i="11"/>
  <c r="L42" i="11" s="1"/>
  <c r="J32" i="11"/>
  <c r="L32" i="11" s="1"/>
  <c r="J35" i="11"/>
  <c r="L35" i="11" s="1"/>
  <c r="B99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92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57" i="6" s="1"/>
  <c r="J13" i="9"/>
  <c r="J12" i="9" s="1"/>
  <c r="L12" i="9" s="1"/>
  <c r="J11" i="9"/>
  <c r="J10" i="9" s="1"/>
  <c r="L10" i="9" s="1"/>
  <c r="B74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33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6" i="6" s="1"/>
  <c r="J29" i="9"/>
  <c r="J22" i="9"/>
  <c r="L22" i="9" s="1"/>
  <c r="B182" i="6" s="1"/>
  <c r="J33" i="9"/>
  <c r="L33" i="9" s="1"/>
  <c r="B142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56" i="6" s="1"/>
  <c r="J17" i="8"/>
  <c r="J16" i="8" s="1"/>
  <c r="L16" i="8" s="1"/>
  <c r="J19" i="8"/>
  <c r="J15" i="8"/>
  <c r="J14" i="8" s="1"/>
  <c r="L14" i="8" s="1"/>
  <c r="J22" i="8"/>
  <c r="L8" i="8"/>
  <c r="B53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6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200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8" i="6" s="1"/>
  <c r="E21" i="7"/>
  <c r="J21" i="7" s="1"/>
  <c r="J20" i="7" s="1"/>
  <c r="L20" i="7" s="1"/>
  <c r="B25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100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70" i="6" s="1"/>
  <c r="J85" i="5"/>
  <c r="J84" i="5" s="1"/>
  <c r="L84" i="5" s="1"/>
  <c r="B75" i="6" s="1"/>
  <c r="J46" i="5"/>
  <c r="J50" i="5"/>
  <c r="J18" i="5"/>
  <c r="L18" i="5" s="1"/>
  <c r="B206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16" i="6" s="1"/>
  <c r="J25" i="5"/>
  <c r="L25" i="5" s="1"/>
  <c r="B7" i="6" s="1"/>
  <c r="E98" i="5"/>
  <c r="J98" i="5" s="1"/>
  <c r="J63" i="5"/>
  <c r="J60" i="5" s="1"/>
  <c r="J12" i="5"/>
  <c r="L12" i="5" s="1"/>
  <c r="B88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6" i="6" s="1"/>
  <c r="J91" i="5"/>
  <c r="L91" i="5" s="1"/>
  <c r="J55" i="5"/>
  <c r="L55" i="5" s="1"/>
  <c r="J40" i="5"/>
  <c r="L40" i="5" s="1"/>
  <c r="B94" i="6" s="1"/>
  <c r="L31" i="5"/>
  <c r="J65" i="5"/>
  <c r="L65" i="5" s="1"/>
  <c r="L20" i="5"/>
  <c r="L27" i="5"/>
  <c r="B141" i="6" s="1"/>
  <c r="J44" i="5"/>
  <c r="L44" i="5" s="1"/>
  <c r="L14" i="5"/>
  <c r="L60" i="5"/>
  <c r="J97" i="5"/>
  <c r="K51" i="3"/>
  <c r="K15" i="3"/>
  <c r="K61" i="3"/>
  <c r="L97" i="5" l="1"/>
  <c r="B192" i="6" s="1"/>
  <c r="K20" i="4"/>
  <c r="K41" i="4"/>
  <c r="H99" i="4" l="1"/>
  <c r="I99" i="4" s="1"/>
  <c r="F99" i="4"/>
  <c r="D99" i="4"/>
  <c r="E99" i="4" l="1"/>
  <c r="J99" i="4" s="1"/>
  <c r="J98" i="4" s="1"/>
  <c r="L98" i="4" s="1"/>
  <c r="B123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60" i="6" s="1"/>
  <c r="J48" i="4"/>
  <c r="J73" i="4"/>
  <c r="J77" i="4"/>
  <c r="J76" i="4" s="1"/>
  <c r="L76" i="4" s="1"/>
  <c r="B44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11" i="6" s="1"/>
  <c r="J13" i="4"/>
  <c r="J46" i="4"/>
  <c r="J14" i="4"/>
  <c r="J72" i="4"/>
  <c r="J45" i="4"/>
  <c r="J28" i="4"/>
  <c r="J52" i="4"/>
  <c r="J87" i="4"/>
  <c r="J86" i="4" s="1"/>
  <c r="L86" i="4" s="1"/>
  <c r="B134" i="6" s="1"/>
  <c r="J93" i="4"/>
  <c r="J92" i="4" s="1"/>
  <c r="L92" i="4" s="1"/>
  <c r="B90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6" i="6" s="1"/>
  <c r="J41" i="4"/>
  <c r="L41" i="4" s="1"/>
  <c r="B191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7" i="6" s="1"/>
  <c r="J15" i="4"/>
  <c r="L15" i="4" s="1"/>
  <c r="J47" i="4"/>
  <c r="L47" i="4" s="1"/>
  <c r="J96" i="4"/>
  <c r="L96" i="4" s="1"/>
  <c r="J78" i="4"/>
  <c r="L78" i="4" s="1"/>
  <c r="J80" i="4"/>
  <c r="L80" i="4" s="1"/>
  <c r="B140" i="6" s="1"/>
  <c r="L20" i="4"/>
  <c r="J82" i="4"/>
  <c r="L82" i="4" s="1"/>
  <c r="B27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73" i="6" s="1"/>
  <c r="I11" i="3"/>
  <c r="J11" i="3" s="1"/>
  <c r="I73" i="3"/>
  <c r="J73" i="3" s="1"/>
  <c r="J72" i="3" s="1"/>
  <c r="L72" i="3" s="1"/>
  <c r="B190" i="6" s="1"/>
  <c r="I75" i="3"/>
  <c r="J75" i="3" s="1"/>
  <c r="J74" i="3" s="1"/>
  <c r="L74" i="3" s="1"/>
  <c r="B175" i="6" s="1"/>
  <c r="I77" i="3"/>
  <c r="J77" i="3" s="1"/>
  <c r="J76" i="3" s="1"/>
  <c r="L76" i="3" s="1"/>
  <c r="B28" i="6" s="1"/>
  <c r="I79" i="3"/>
  <c r="J79" i="3" s="1"/>
  <c r="J78" i="3" s="1"/>
  <c r="L78" i="3" s="1"/>
  <c r="B50" i="6" s="1"/>
  <c r="I81" i="3"/>
  <c r="J81" i="3" s="1"/>
  <c r="J80" i="3" s="1"/>
  <c r="L80" i="3" s="1"/>
  <c r="B46" i="6" s="1"/>
  <c r="I83" i="3"/>
  <c r="J83" i="3" s="1"/>
  <c r="J82" i="3" s="1"/>
  <c r="L82" i="3" s="1"/>
  <c r="B80" i="6" s="1"/>
  <c r="I85" i="3"/>
  <c r="J85" i="3" s="1"/>
  <c r="J84" i="3" s="1"/>
  <c r="L84" i="3" s="1"/>
  <c r="B61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1" i="6" s="1"/>
  <c r="J23" i="3"/>
  <c r="L23" i="3" s="1"/>
  <c r="B67" i="6" s="1"/>
  <c r="J61" i="3"/>
  <c r="L61" i="3" s="1"/>
  <c r="B109" i="6" s="1"/>
  <c r="J33" i="3"/>
  <c r="L33" i="3" s="1"/>
  <c r="B57" i="6" s="1"/>
  <c r="J26" i="3"/>
  <c r="L26" i="3" s="1"/>
  <c r="J65" i="3"/>
  <c r="L65" i="3" s="1"/>
  <c r="B49" i="6" s="1"/>
  <c r="J51" i="3"/>
  <c r="L51" i="3" s="1"/>
  <c r="B189" i="6" s="1"/>
  <c r="J30" i="3"/>
  <c r="L30" i="3" s="1"/>
  <c r="B195" i="6" s="1"/>
  <c r="J42" i="3"/>
  <c r="L42" i="3" s="1"/>
  <c r="B147" i="6" s="1"/>
  <c r="J15" i="3"/>
  <c r="L15" i="3" s="1"/>
  <c r="B59" i="6" s="1"/>
  <c r="J45" i="3"/>
  <c r="L45" i="3" s="1"/>
  <c r="J55" i="3"/>
  <c r="L55" i="3" s="1"/>
  <c r="B41" i="6" s="1"/>
  <c r="J10" i="3"/>
  <c r="L10" i="3" s="1"/>
  <c r="B97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1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<sst xmlns="http://schemas.openxmlformats.org/spreadsheetml/2006/main" count="2608" uniqueCount="1022">
  <si>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</si>
  <si>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</si>
  <si>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</si>
  <si>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</si>
  <si>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</si>
  <si>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</si>
  <si>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</si>
  <si>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</si>
  <si>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</si>
  <si>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</si>
  <si>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</si>
  <si>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</si>
  <si>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</si>
  <si>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</si>
  <si>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</si>
  <si>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</si>
  <si>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</si>
  <si>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</si>
  <si>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</si>
  <si>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</si>
  <si>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</si>
  <si>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</si>
  <si>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</si>
  <si>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</si>
  <si>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</si>
  <si>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</si>
  <si>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</si>
  <si>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</si>
  <si>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</si>
  <si>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</si>
  <si>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</si>
  <si>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</si>
  <si>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</si>
  <si>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</si>
  <si>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</si>
  <si>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</si>
  <si>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</si>
  <si>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</si>
  <si>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</si>
  <si>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</si>
  <si>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</si>
  <si>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</si>
  <si>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</si>
  <si>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</si>
  <si>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</si>
  <si>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</si>
  <si>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</si>
  <si>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</si>
  <si>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</si>
  <si>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</si>
  <si>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</si>
  <si>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</si>
  <si>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</si>
  <si>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</si>
  <si>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</si>
  <si>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</si>
  <si>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</si>
  <si>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</si>
  <si>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</si>
  <si>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</si>
  <si>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</si>
  <si>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</si>
  <si>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</si>
  <si>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</si>
  <si>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</si>
  <si>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</si>
  <si>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</si>
  <si>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</si>
  <si>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</si>
  <si>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</si>
  <si>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</si>
  <si>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</si>
  <si>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</si>
  <si>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</si>
  <si>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</si>
  <si>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</si>
  <si>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</si>
  <si>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</si>
  <si>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</si>
  <si>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</si>
  <si>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</si>
  <si>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</si>
  <si>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</si>
  <si>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</si>
  <si>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</si>
  <si>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</si>
  <si>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</si>
  <si>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</si>
  <si>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</si>
  <si>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</si>
  <si>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</si>
  <si>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</si>
  <si>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</si>
  <si>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</si>
  <si>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</si>
  <si>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</si>
  <si>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</si>
  <si>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</si>
  <si>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</si>
  <si>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</si>
  <si>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</si>
  <si>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</si>
  <si>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</si>
  <si>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</si>
  <si>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</si>
  <si>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</si>
  <si>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</si>
  <si>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</si>
  <si>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</si>
  <si>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</si>
  <si>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</si>
  <si>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</si>
  <si>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</si>
  <si>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</si>
  <si>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</si>
  <si>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</si>
  <si>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</si>
  <si>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</si>
  <si>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</si>
  <si>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</si>
  <si>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</si>
  <si>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</si>
  <si>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</si>
  <si>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</si>
  <si>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</si>
  <si>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</si>
  <si>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</si>
  <si>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</si>
  <si>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</si>
  <si>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</si>
  <si>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</si>
  <si>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</si>
  <si>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</si>
  <si>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</si>
  <si>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</si>
  <si>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</si>
  <si>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</si>
  <si>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</si>
  <si>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</si>
  <si>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</si>
  <si>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</si>
  <si>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</si>
  <si>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</si>
  <si>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</si>
  <si>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</si>
  <si>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</si>
  <si>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</si>
  <si>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</si>
  <si>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</si>
  <si>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</si>
  <si>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</si>
  <si>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</si>
  <si>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</si>
  <si>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</si>
  <si>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</si>
  <si>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</si>
  <si>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</si>
  <si>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</si>
  <si>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</si>
  <si>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</si>
  <si>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</si>
  <si>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</si>
  <si>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</si>
  <si>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</si>
  <si>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</si>
  <si>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</si>
  <si>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</si>
  <si>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</si>
  <si>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</si>
  <si>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</si>
  <si>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</si>
  <si>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</si>
  <si>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</si>
  <si>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</si>
  <si>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</si>
  <si>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</si>
  <si>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</si>
  <si>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</si>
  <si>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</si>
  <si>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</si>
  <si>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</si>
  <si>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</si>
  <si>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</si>
  <si>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</si>
  <si>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</si>
  <si>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</si>
  <si>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</si>
  <si>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</si>
  <si>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</si>
  <si>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</si>
  <si>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</si>
  <si>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</si>
  <si>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</si>
  <si>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</si>
  <si>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</si>
  <si>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</si>
  <si>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</si>
  <si>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</si>
  <si>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</si>
  <si>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</si>
  <si>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</si>
  <si>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</si>
  <si>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</si>
  <si>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</si>
  <si>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</si>
  <si>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</si>
  <si>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</si>
  <si>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</si>
  <si>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</si>
  <si>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</si>
  <si>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</si>
  <si>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</si>
  <si>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</si>
  <si>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</si>
  <si>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</si>
  <si>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</si>
  <si>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</si>
  <si>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</si>
  <si>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</si>
  <si>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</si>
  <si>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</si>
  <si>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</si>
  <si>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</si>
  <si>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</si>
  <si>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</si>
  <si>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</si>
  <si>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</si>
  <si>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</si>
  <si>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</si>
  <si>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</si>
  <si>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</si>
  <si>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</si>
  <si>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</si>
  <si>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</si>
  <si>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</si>
  <si>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</si>
  <si>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</si>
  <si>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</si>
  <si>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</si>
  <si>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</si>
  <si>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</si>
  <si>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</si>
  <si>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</si>
  <si>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</si>
  <si>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</si>
  <si>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</si>
  <si>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</si>
  <si>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</si>
  <si>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</si>
  <si>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</si>
  <si>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</si>
  <si>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</si>
  <si>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</si>
  <si>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</si>
  <si>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</si>
  <si>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</si>
  <si>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</si>
  <si>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</si>
  <si>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</si>
  <si>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</si>
  <si>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</si>
  <si>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</si>
  <si>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</si>
  <si>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</si>
  <si>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</si>
  <si>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</si>
  <si>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</si>
  <si>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</si>
  <si>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</si>
  <si>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</si>
  <si>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</si>
  <si>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</si>
  <si>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</si>
  <si>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</si>
  <si>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</si>
  <si>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</si>
  <si>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</si>
  <si>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</si>
  <si>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</si>
  <si>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</si>
  <si>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</si>
  <si>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</si>
  <si>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</si>
  <si>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</si>
  <si>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</si>
  <si>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</si>
  <si>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</si>
  <si>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</si>
  <si>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</si>
  <si>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</si>
  <si>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</si>
  <si>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</si>
  <si>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</si>
  <si>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</si>
  <si>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</si>
  <si>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</si>
  <si>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</si>
  <si>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</si>
  <si>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</si>
  <si>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</si>
  <si>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</si>
  <si>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</si>
  <si>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</si>
  <si>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</si>
  <si>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</si>
  <si>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</si>
  <si>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</si>
  <si>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</si>
  <si>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</si>
  <si>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</si>
  <si>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</si>
  <si>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</si>
  <si>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</si>
  <si>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</si>
  <si>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</si>
  <si>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</si>
  <si>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</si>
  <si>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</si>
  <si>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</si>
  <si>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</si>
  <si>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</si>
  <si>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</si>
  <si>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</si>
  <si>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</si>
  <si>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</si>
  <si>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</si>
  <si>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</si>
  <si>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</si>
  <si>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</si>
  <si>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</si>
  <si>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</si>
  <si>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</si>
  <si>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</si>
  <si>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</si>
  <si>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</si>
  <si>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</si>
  <si>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</si>
  <si>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</si>
  <si>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</si>
  <si>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</si>
  <si>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</si>
  <si>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</si>
  <si>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</si>
  <si>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</si>
  <si>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</si>
  <si>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</si>
  <si>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</si>
  <si>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</si>
  <si>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</si>
  <si>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</si>
  <si>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</si>
  <si>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</si>
  <si>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</si>
  <si>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</si>
  <si>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</si>
  <si>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</si>
  <si>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</si>
  <si>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</si>
  <si>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</si>
  <si>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</si>
  <si>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</si>
  <si>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</si>
  <si>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</si>
  <si>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</si>
  <si>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</si>
  <si>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</si>
  <si>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</si>
  <si>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</si>
  <si>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</si>
  <si>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</si>
  <si>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</si>
  <si>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</si>
  <si>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</si>
  <si>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</si>
  <si>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</si>
  <si>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</si>
  <si>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</si>
  <si>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</si>
  <si>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</si>
  <si>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</si>
  <si>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</si>
  <si>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</si>
  <si>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</si>
  <si>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</si>
  <si>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</si>
  <si>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</si>
  <si>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</si>
  <si>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</si>
  <si>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</si>
  <si>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</si>
  <si>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</si>
  <si>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</si>
  <si>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</si>
  <si>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</si>
  <si>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</si>
  <si>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</si>
  <si>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</si>
  <si>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</si>
  <si>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</si>
  <si>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</si>
  <si>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</si>
  <si>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</si>
  <si>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</si>
  <si>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</si>
  <si>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</si>
  <si>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</si>
  <si>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</si>
  <si>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</si>
  <si>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</si>
  <si>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</si>
  <si>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</si>
  <si>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</si>
  <si>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</si>
  <si>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</si>
  <si>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</si>
  <si>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</si>
  <si>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</si>
  <si>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</si>
  <si>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</si>
  <si>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</si>
  <si>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</si>
  <si>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</si>
  <si>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</si>
  <si>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</si>
  <si>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</si>
  <si>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</si>
  <si>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</si>
  <si>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</si>
  <si>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</si>
  <si>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</si>
  <si>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</si>
  <si>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</si>
  <si>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</si>
  <si>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</si>
  <si>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</si>
  <si>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</si>
  <si>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</si>
  <si>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</si>
  <si>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</si>
  <si>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</si>
  <si>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</si>
  <si>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</si>
  <si>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</si>
  <si>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</si>
  <si>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</si>
  <si>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</si>
  <si>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</si>
  <si>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</si>
  <si>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</si>
  <si>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</si>
  <si>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</si>
  <si>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</si>
  <si>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</si>
  <si>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</si>
  <si>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</si>
  <si>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</si>
  <si>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</si>
  <si>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</si>
  <si>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</si>
  <si>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</si>
  <si>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</si>
  <si>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</si>
  <si>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</si>
  <si>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</si>
  <si>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</si>
  <si>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</si>
  <si>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</si>
  <si>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</si>
  <si>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</si>
  <si>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</si>
  <si>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</si>
  <si>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</si>
  <si>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</si>
  <si>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</si>
  <si>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</si>
  <si>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</si>
  <si>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</si>
  <si>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</si>
  <si>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</si>
  <si>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</si>
  <si>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</si>
  <si>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</si>
  <si>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</si>
  <si>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</si>
  <si>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</si>
  <si>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</si>
  <si>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</si>
  <si>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</si>
  <si>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</si>
  <si>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</si>
  <si>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</si>
  <si>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</si>
  <si>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</si>
  <si>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</si>
  <si>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</si>
  <si>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</si>
  <si>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</si>
  <si>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</si>
  <si>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</si>
  <si>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</si>
  <si>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</si>
  <si>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</si>
  <si>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</si>
  <si>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</si>
  <si>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</si>
  <si>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</si>
  <si>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</si>
  <si>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</si>
  <si>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</si>
  <si>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</si>
  <si>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</si>
  <si>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</si>
  <si>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</si>
  <si>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</si>
  <si>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</si>
  <si>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</si>
  <si>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</si>
  <si>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</si>
  <si>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</si>
  <si>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</si>
  <si>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</si>
  <si>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</si>
  <si>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</si>
  <si>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</si>
  <si>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</si>
  <si>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</si>
  <si>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</si>
  <si>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</si>
  <si>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</si>
  <si>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</si>
  <si>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</si>
  <si>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</si>
  <si>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</si>
  <si>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</si>
  <si>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</si>
  <si>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</si>
  <si>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</si>
  <si>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</si>
  <si>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</si>
  <si>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</si>
  <si>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</si>
  <si>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</si>
  <si>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</si>
  <si>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</si>
  <si>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</si>
  <si>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</si>
  <si>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</si>
  <si>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</si>
  <si>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</si>
  <si>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</si>
  <si>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</si>
  <si>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</si>
  <si>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</si>
  <si>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</si>
  <si>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</si>
  <si>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</si>
  <si>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</si>
  <si>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</si>
  <si>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</si>
  <si>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</si>
  <si>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</si>
  <si>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</si>
  <si>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</si>
  <si>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</si>
  <si>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</si>
  <si>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</si>
  <si>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</si>
  <si>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</si>
  <si>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</si>
  <si>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</si>
  <si>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</si>
  <si>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</si>
  <si>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</si>
  <si>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</si>
  <si>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</si>
  <si>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</si>
  <si>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</si>
  <si>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</si>
  <si>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</si>
  <si>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</si>
  <si>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</si>
  <si>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</si>
  <si>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</si>
  <si>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</si>
  <si>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</si>
  <si>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</si>
  <si>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</si>
  <si>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</si>
  <si>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</si>
  <si>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</si>
  <si>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</si>
  <si>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</si>
  <si>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</si>
  <si>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</si>
  <si>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</si>
  <si>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</si>
  <si>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</si>
  <si>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</si>
  <si>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</si>
  <si>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</si>
  <si>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</si>
  <si>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</si>
  <si>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</si>
  <si>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</si>
  <si>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</si>
  <si>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</si>
  <si>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</si>
  <si>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</si>
  <si>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</si>
  <si>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</si>
  <si>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</si>
  <si>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</si>
  <si>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</si>
  <si>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</si>
  <si>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</si>
  <si>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</si>
  <si>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</si>
  <si>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</si>
  <si>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</si>
  <si>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</si>
  <si>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</si>
  <si>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</si>
  <si>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</si>
  <si>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</si>
  <si>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</si>
  <si>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</si>
  <si>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</si>
  <si>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</si>
  <si>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</si>
  <si>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</si>
  <si>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</si>
  <si>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</si>
  <si>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</si>
  <si>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</si>
  <si>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</si>
  <si>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</si>
  <si>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</si>
  <si>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</si>
  <si>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</si>
  <si>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</si>
  <si>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</si>
  <si>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</si>
  <si>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</si>
  <si>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</si>
  <si>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</si>
  <si>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</si>
  <si>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</si>
  <si>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</si>
  <si>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</si>
  <si>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</si>
  <si>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</si>
  <si>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</si>
  <si>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</si>
  <si>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</si>
  <si>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</si>
  <si>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</si>
  <si>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</si>
  <si>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</si>
  <si>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</si>
  <si>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</si>
  <si>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</si>
  <si>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</si>
  <si>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</si>
  <si>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</si>
  <si>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</si>
  <si>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</si>
  <si>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</si>
  <si>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</si>
  <si>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</si>
  <si>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</si>
  <si>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</si>
  <si>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</si>
  <si>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</si>
  <si>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</si>
  <si>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</si>
  <si>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</si>
  <si>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</si>
  <si>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</si>
  <si>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</si>
  <si>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</si>
  <si>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</si>
  <si>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</si>
  <si>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</si>
  <si>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</si>
  <si>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</si>
  <si>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</si>
  <si>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</si>
  <si>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</si>
  <si>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</si>
  <si>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</si>
  <si>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</si>
  <si>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</si>
  <si>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</si>
  <si>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</si>
  <si>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</si>
  <si>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</si>
  <si>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</si>
  <si>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</si>
  <si>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</si>
  <si>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</si>
  <si>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</si>
  <si>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</si>
  <si>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</si>
  <si>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</si>
  <si>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</si>
  <si>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</si>
  <si>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</si>
  <si>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</si>
  <si>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</si>
  <si>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</si>
  <si>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</si>
  <si>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</si>
  <si>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</si>
  <si>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</si>
  <si>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</si>
  <si>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</si>
  <si>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</si>
  <si>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</si>
  <si>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</si>
  <si>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</si>
  <si>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</si>
  <si>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</si>
  <si>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</si>
  <si>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</si>
  <si>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</si>
  <si>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</si>
  <si>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</si>
  <si>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</si>
  <si>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</si>
  <si>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</si>
  <si>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</si>
  <si>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</si>
  <si>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</si>
  <si>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</si>
  <si>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</si>
  <si>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</si>
  <si>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</si>
  <si>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</si>
  <si>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</si>
  <si>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</si>
  <si>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</si>
  <si>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</si>
  <si>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</si>
  <si>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</si>
  <si>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</si>
  <si>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</si>
  <si>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</si>
  <si>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</si>
  <si>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</si>
  <si>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</si>
  <si>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</si>
  <si>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</si>
  <si>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</si>
  <si>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</si>
  <si>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</si>
  <si>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</si>
  <si>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</si>
  <si>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</si>
  <si>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</si>
  <si>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</si>
  <si>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</si>
  <si>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</si>
  <si>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</si>
  <si>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</si>
  <si>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</si>
  <si>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</si>
  <si>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</si>
  <si>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</si>
  <si>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</si>
  <si>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</si>
  <si>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</si>
  <si>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</si>
  <si>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</si>
  <si>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</si>
  <si>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</si>
  <si>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</si>
  <si>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</si>
  <si>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</si>
  <si>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</si>
  <si>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</si>
  <si>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</si>
  <si>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</si>
  <si>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</si>
  <si>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</si>
  <si>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</si>
  <si>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</si>
  <si>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</si>
  <si>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</si>
  <si>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</si>
  <si>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</si>
  <si>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</si>
  <si>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</si>
  <si>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</si>
  <si>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</si>
  <si>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</si>
  <si>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</si>
  <si>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</si>
  <si>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</si>
  <si>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</si>
  <si>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</si>
  <si>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</si>
  <si>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</si>
  <si>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</si>
  <si>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</si>
  <si>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</si>
  <si>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</si>
  <si>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</si>
  <si>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</si>
  <si>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</si>
  <si>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</si>
  <si>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</si>
  <si>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</si>
  <si>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</si>
  <si>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</si>
  <si>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</si>
  <si>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</si>
  <si>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</si>
  <si>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</si>
  <si>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</si>
  <si>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</si>
  <si>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</si>
  <si>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</si>
  <si>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</si>
  <si>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</si>
  <si>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</si>
  <si>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</si>
  <si>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</si>
  <si>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</si>
  <si>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</si>
  <si>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</si>
  <si>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</si>
  <si>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</si>
  <si>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</si>
  <si>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</si>
  <si>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</si>
  <si>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</si>
  <si>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</si>
  <si>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</si>
  <si>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</si>
  <si>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</si>
  <si>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</si>
  <si>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</si>
  <si>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</si>
  <si>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</si>
  <si>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</si>
  <si>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</si>
  <si>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</si>
  <si>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</si>
  <si>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</si>
  <si>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</si>
  <si>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</si>
  <si>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</si>
  <si>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</si>
  <si>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</si>
  <si>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</si>
  <si>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</si>
  <si>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</si>
  <si>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</si>
  <si>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</si>
  <si>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</si>
  <si>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</si>
  <si>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</si>
  <si>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</si>
  <si>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</si>
  <si>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</si>
  <si>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</si>
  <si>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</si>
  <si>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</si>
  <si>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</si>
  <si>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</si>
  <si>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</si>
  <si>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</si>
  <si>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</si>
  <si>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</si>
  <si>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</si>
  <si>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</si>
  <si>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</si>
  <si>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</si>
  <si>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</si>
  <si>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</si>
  <si>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</si>
  <si>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</si>
  <si>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</si>
  <si>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</si>
  <si>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</si>
  <si>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</si>
  <si>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</si>
  <si>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</si>
  <si>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</si>
  <si>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</si>
  <si>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</si>
  <si>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</si>
  <si>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</si>
  <si>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</si>
  <si>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</si>
  <si>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</si>
  <si>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</si>
  <si>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</si>
  <si>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</si>
  <si>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</si>
  <si>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</si>
  <si>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</si>
  <si>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</si>
  <si>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</si>
  <si>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</si>
  <si>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</si>
  <si>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31, 44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</si>
  <si>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</si>
  <si>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</si>
  <si>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</si>
  <si>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</si>
  <si>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</si>
  <si>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</si>
  <si>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</si>
  <si>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</si>
  <si>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</si>
  <si>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</si>
  <si>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</si>
  <si>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</si>
  <si>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</si>
  <si>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</si>
  <si>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</si>
  <si>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</si>
  <si>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</si>
  <si>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</si>
  <si>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</si>
  <si>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</si>
  <si>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</si>
  <si>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</si>
  <si>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</si>
  <si>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40, 46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</si>
  <si>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</si>
  <si>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</si>
  <si>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</si>
  <si>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</si>
  <si>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</si>
  <si>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</si>
  <si>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</si>
  <si>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</si>
  <si>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</si>
  <si>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</si>
  <si>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</si>
  <si>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</si>
  <si>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</si>
  <si>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</si>
  <si>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</si>
  <si>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</si>
  <si>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37, 47</t>
  </si>
  <si>
    <t>13,21, 23, 24, 26, 46, 47</t>
  </si>
  <si>
    <t>43, 44, 47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</si>
  <si>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</si>
  <si>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</si>
  <si>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</si>
  <si>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</si>
  <si>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</si>
  <si>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</si>
  <si>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</si>
  <si>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</si>
  <si>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</si>
  <si>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</si>
  <si>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</si>
  <si>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</si>
  <si>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</si>
  <si>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</si>
  <si>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</si>
  <si>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</si>
  <si>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42, 48</t>
  </si>
  <si>
    <t>21, 38, 42, 48</t>
  </si>
  <si>
    <t>47, 48</t>
  </si>
  <si>
    <t>Аня</t>
  </si>
  <si>
    <t>вв</t>
  </si>
  <si>
    <t>ночной крем</t>
  </si>
  <si>
    <t>консилеры  № 12, 13, 14  (1+1)</t>
  </si>
  <si>
    <t xml:space="preserve"> №10 помада</t>
  </si>
  <si>
    <t>№ 2, 3, 5, 7 по 5 шт и № 1 и 4 по 1 шт, итого 22 карандаша) </t>
  </si>
  <si>
    <t>карандашики: [Auto Eyeliner]10.Noir и [Auto Eyeliner]40.Angel </t>
  </si>
  <si>
    <t>Olik1000</t>
  </si>
  <si>
    <t>сыворотка и подарки</t>
  </si>
  <si>
    <t>limonnka</t>
  </si>
  <si>
    <t>палетка VDL</t>
  </si>
  <si>
    <t>оливка пенка</t>
  </si>
  <si>
    <t>пАННАчка</t>
  </si>
  <si>
    <t>крем для век 1+1</t>
  </si>
  <si>
    <t>Yulchikk</t>
  </si>
  <si>
    <t>Missha Signature Real Complete bb cream 45 гр. 23 тон - 15900 </t>
  </si>
  <si>
    <t>5+5 маски  (Клубника, биджи, киви, алое)</t>
  </si>
  <si>
    <t>innisfree Super volcanic pore clay mask: </t>
  </si>
  <si>
    <t>innisfree orchid massage cream </t>
  </si>
  <si>
    <t>Anyunya</t>
  </si>
  <si>
    <t> третий вариант крем для глаз+ коллагеновый </t>
  </si>
  <si>
    <t>крем для лица 1+1</t>
  </si>
  <si>
    <t>ВВ крем</t>
  </si>
  <si>
    <t>02 natural беж</t>
  </si>
  <si>
    <t>02 blossom беж </t>
  </si>
  <si>
    <t>ledyru</t>
  </si>
  <si>
    <t>Biore uv</t>
  </si>
  <si>
    <t>Biore очищение</t>
  </si>
  <si>
    <t>обьъемная </t>
  </si>
  <si>
    <t>34, 38, 41, 50</t>
  </si>
  <si>
    <t>37, 50</t>
  </si>
  <si>
    <t>12, 17,18, 25, 26, 28, 50</t>
  </si>
  <si>
    <t>42, 50</t>
  </si>
  <si>
    <t>12, 13, 14, 17, 18, 21,22, 23, 27, 29, 30, 31, 32, 34, 38, 40, 41, 43, 50</t>
  </si>
  <si>
    <t>36, 38, 44, 46, 50</t>
  </si>
  <si>
    <t>48, 50</t>
  </si>
  <si>
    <t>33, 36, 38, 40, 43, 47, 50</t>
  </si>
  <si>
    <t>ВЕС факт</t>
  </si>
  <si>
    <t>357р депозита вернула 12.02</t>
  </si>
  <si>
    <t>SMUZZI</t>
  </si>
  <si>
    <t xml:space="preserve"> тон 02 серо-коричневый - 2 шт. </t>
  </si>
  <si>
    <t xml:space="preserve">валериЯ80 </t>
  </si>
  <si>
    <t>Анна-В</t>
  </si>
  <si>
    <t>ZAliM</t>
  </si>
  <si>
    <t>lizakaty</t>
  </si>
  <si>
    <t>1 лот шампуни</t>
  </si>
  <si>
    <t xml:space="preserve">Медведица  </t>
  </si>
  <si>
    <t>для бровей тон 02 и 03</t>
  </si>
  <si>
    <t>стоимость доставки уточню по приходу после взвешивания</t>
  </si>
  <si>
    <t>49, 50</t>
  </si>
  <si>
    <t>2, 14, 30, 45, 46, 50</t>
  </si>
  <si>
    <t>30, 42, 50</t>
  </si>
  <si>
    <t>4, 5, 6, 14, 22, 40, 50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</si>
</sst>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  <xf numFmtId="0" fontId="22" fillId="0" borderId="1" xfId="0" applyFont="1" applyBorder="1"/>
    <xf numFmtId="0" fontId="1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7" xfId="0" applyFont="1" applyBorder="1"/>
    <xf numFmtId="0" fontId="0" fillId="3" borderId="8" xfId="0" applyFont="1" applyFill="1" applyBorder="1" applyAlignment="1">
      <alignment wrapText="1"/>
    </xf>
    <xf numFmtId="0" fontId="0" fillId="0" borderId="8" xfId="0" applyFont="1" applyBorder="1"/>
    <xf numFmtId="0" fontId="0" fillId="0" borderId="0" xfId="0" applyFont="1"/>
    <xf numFmtId="0" fontId="22" fillId="0" borderId="7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932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"/>
  <sheetViews>
    <sheetView topLeftCell="A61" zoomScale="80" zoomScaleNormal="80" workbookViewId="0">
      <selection activeCell="A188" sqref="A188:XFD188"/>
    </sheetView>
  </sheetViews>
  <sheetFormatPr defaultRowHeight="14.5" x14ac:dyDescent="0.35"/>
  <cols>
    <col min="1" max="1" width="28" style="243" customWidth="1"/>
    <col min="2" max="2" width="16.7265625" style="160" customWidth="1"/>
    <col min="3" max="3" width="31.81640625" customWidth="1"/>
  </cols>
  <sheetData>
    <row r="1" spans="1:4" ht="45" x14ac:dyDescent="0.5">
      <c r="A1" s="237" t="s">
        <v>182</v>
      </c>
      <c r="B1" s="68" t="s">
        <v>188</v>
      </c>
      <c r="C1" s="68" t="s">
        <v>189</v>
      </c>
      <c r="D1" s="212" t="s">
        <v>183</v>
      </c>
    </row>
    <row r="2" spans="1:4" ht="21" x14ac:dyDescent="0.5">
      <c r="A2" s="238">
        <v>51150</v>
      </c>
      <c r="B2" s="51">
        <f>'34'!L12</f>
        <v>-0.38751000000002023</v>
      </c>
      <c r="C2" s="70">
        <v>35</v>
      </c>
      <c r="D2" s="212" t="s">
        <v>187</v>
      </c>
    </row>
    <row r="3" spans="1:4" ht="21" x14ac:dyDescent="0.5">
      <c r="A3" s="65" t="s">
        <v>449</v>
      </c>
      <c r="B3" s="51">
        <f>'17'!L27</f>
        <v>0.17795000000000982</v>
      </c>
      <c r="C3" s="70">
        <v>18</v>
      </c>
      <c r="D3" s="212" t="s">
        <v>816</v>
      </c>
    </row>
    <row r="4" spans="1:4" ht="21" x14ac:dyDescent="0.5">
      <c r="A4" s="65" t="s">
        <v>705</v>
      </c>
      <c r="B4" s="51">
        <f>'33'!L6</f>
        <v>0.1591200000000299</v>
      </c>
      <c r="C4" s="70">
        <v>34</v>
      </c>
      <c r="D4" s="212"/>
    </row>
    <row r="5" spans="1:4" x14ac:dyDescent="0.35">
      <c r="A5" s="65" t="s">
        <v>121</v>
      </c>
      <c r="B5" s="51">
        <f>'3'!L90</f>
        <v>0.43039999999996326</v>
      </c>
      <c r="C5" s="70">
        <v>3</v>
      </c>
      <c r="D5" s="69"/>
    </row>
    <row r="6" spans="1:4" x14ac:dyDescent="0.35">
      <c r="A6" s="65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35">
      <c r="A7" s="65" t="s">
        <v>179</v>
      </c>
      <c r="B7" s="51">
        <f>'4'!L25</f>
        <v>6.0853999999999928</v>
      </c>
      <c r="C7" s="70">
        <v>4</v>
      </c>
    </row>
    <row r="8" spans="1:4" x14ac:dyDescent="0.35">
      <c r="A8" s="65" t="s">
        <v>637</v>
      </c>
      <c r="B8" s="51">
        <f>'30'!L21</f>
        <v>16.747600000000148</v>
      </c>
      <c r="C8" s="70">
        <v>31</v>
      </c>
    </row>
    <row r="9" spans="1:4" x14ac:dyDescent="0.35">
      <c r="A9" s="65" t="s">
        <v>249</v>
      </c>
      <c r="B9" s="51">
        <f>'7'!L20</f>
        <v>-31.68433333333337</v>
      </c>
      <c r="C9" s="70">
        <v>7</v>
      </c>
      <c r="D9" s="69"/>
    </row>
    <row r="10" spans="1:4" x14ac:dyDescent="0.35">
      <c r="A10" s="65" t="s">
        <v>408</v>
      </c>
      <c r="B10" s="51">
        <f>'15'!L12</f>
        <v>3.9373199999999997</v>
      </c>
      <c r="C10" s="70">
        <v>15</v>
      </c>
      <c r="D10" s="69"/>
    </row>
    <row r="11" spans="1:4" x14ac:dyDescent="0.35">
      <c r="A11" s="65" t="s">
        <v>675</v>
      </c>
      <c r="B11" s="51">
        <f>'31'!L41+'33'!L24</f>
        <v>-0.44236000000000786</v>
      </c>
      <c r="C11" s="70" t="s">
        <v>721</v>
      </c>
      <c r="D11" s="69"/>
    </row>
    <row r="12" spans="1:4" x14ac:dyDescent="0.35">
      <c r="A12" s="65" t="s">
        <v>25</v>
      </c>
      <c r="B12" s="74">
        <f>'2итог'!L40+'9'!L23</f>
        <v>5.4230799999999988</v>
      </c>
      <c r="C12" s="70" t="s">
        <v>313</v>
      </c>
    </row>
    <row r="13" spans="1:4" x14ac:dyDescent="0.35">
      <c r="A13" s="65" t="s">
        <v>31</v>
      </c>
      <c r="B13" s="51">
        <f>'2итог'!L68+'8'!L6+'40'!L12</f>
        <v>8.3399999999983265E-2</v>
      </c>
      <c r="C13" s="70" t="s">
        <v>854</v>
      </c>
    </row>
    <row r="14" spans="1:4" x14ac:dyDescent="0.35">
      <c r="A14" s="239" t="s">
        <v>522</v>
      </c>
      <c r="B14" s="51">
        <f>'22'!L43</f>
        <v>5.7899999999904139E-2</v>
      </c>
      <c r="C14" s="70">
        <v>23</v>
      </c>
    </row>
    <row r="15" spans="1:4" x14ac:dyDescent="0.35">
      <c r="A15" s="239" t="s">
        <v>988</v>
      </c>
      <c r="B15" s="51">
        <f>'49'!L35</f>
        <v>-0.12899999999990541</v>
      </c>
      <c r="C15" s="70">
        <v>50</v>
      </c>
    </row>
    <row r="16" spans="1:4" x14ac:dyDescent="0.35">
      <c r="A16" s="65" t="s">
        <v>165</v>
      </c>
      <c r="B16" s="51">
        <f>'4'!L49+'5'!L60+'13'!L18+'16'!L6+'17'!L17+'19'!L19</f>
        <v>59.122805666666864</v>
      </c>
      <c r="C16" s="70" t="s">
        <v>472</v>
      </c>
    </row>
    <row r="17" spans="1:3" x14ac:dyDescent="0.35">
      <c r="A17" s="65" t="s">
        <v>130</v>
      </c>
      <c r="B17" s="51">
        <f>'3'!L12+'4'!L8</f>
        <v>4.0525399999999649</v>
      </c>
      <c r="C17" s="70">
        <v>3.4</v>
      </c>
    </row>
    <row r="18" spans="1:3" x14ac:dyDescent="0.35">
      <c r="A18" s="65" t="s">
        <v>213</v>
      </c>
      <c r="B18" s="51">
        <f>'5'!L12</f>
        <v>-2.7871300000000048</v>
      </c>
      <c r="C18" s="70">
        <v>5</v>
      </c>
    </row>
    <row r="19" spans="1:3" x14ac:dyDescent="0.35">
      <c r="A19" s="239" t="s">
        <v>519</v>
      </c>
      <c r="B19" s="51">
        <f>'22'!L39</f>
        <v>5.7899999999904139E-2</v>
      </c>
      <c r="C19" s="70">
        <v>23</v>
      </c>
    </row>
    <row r="20" spans="1:3" x14ac:dyDescent="0.35">
      <c r="A20" s="65" t="s">
        <v>339</v>
      </c>
      <c r="B20" s="51">
        <f>'12'!L23+'13'!L13</f>
        <v>7.8253999999999451</v>
      </c>
      <c r="C20" s="70" t="s">
        <v>367</v>
      </c>
    </row>
    <row r="21" spans="1:3" x14ac:dyDescent="0.35">
      <c r="A21" s="65" t="s">
        <v>21</v>
      </c>
      <c r="B21" s="51">
        <f>'2итог'!L20+'7'!L16</f>
        <v>-10.683320000000094</v>
      </c>
      <c r="C21" s="70" t="s">
        <v>269</v>
      </c>
    </row>
    <row r="22" spans="1:3" x14ac:dyDescent="0.35">
      <c r="A22" s="65" t="s">
        <v>737</v>
      </c>
      <c r="B22" s="51">
        <f>'34'!L38</f>
        <v>0.43110000000001492</v>
      </c>
      <c r="C22" s="70">
        <v>35</v>
      </c>
    </row>
    <row r="23" spans="1:3" x14ac:dyDescent="0.35">
      <c r="A23" s="65" t="s">
        <v>441</v>
      </c>
      <c r="B23" s="51">
        <f>'17'!L19</f>
        <v>1.4999999999872671E-2</v>
      </c>
      <c r="C23" s="70">
        <v>18</v>
      </c>
    </row>
    <row r="24" spans="1:3" x14ac:dyDescent="0.35">
      <c r="A24" s="65" t="s">
        <v>812</v>
      </c>
      <c r="B24" s="51">
        <f>'38'!L8</f>
        <v>0.47559999999975844</v>
      </c>
      <c r="C24" s="70">
        <v>39</v>
      </c>
    </row>
    <row r="25" spans="1:3" x14ac:dyDescent="0.35">
      <c r="A25" s="65" t="s">
        <v>198</v>
      </c>
      <c r="B25" s="51">
        <f>'5'!L20</f>
        <v>0.12885999999997466</v>
      </c>
      <c r="C25" s="70">
        <v>5</v>
      </c>
    </row>
    <row r="26" spans="1:3" x14ac:dyDescent="0.35">
      <c r="A26" s="65" t="s">
        <v>827</v>
      </c>
      <c r="B26" s="51">
        <f>'39'!L20+'45'!L8</f>
        <v>4.8746580000000677</v>
      </c>
      <c r="C26" s="70" t="s">
        <v>930</v>
      </c>
    </row>
    <row r="27" spans="1:3" x14ac:dyDescent="0.35">
      <c r="A27" s="65" t="s">
        <v>123</v>
      </c>
      <c r="B27" s="51">
        <f>'3'!L82+'5'!L27+'39'!L22</f>
        <v>0.44867999999995334</v>
      </c>
      <c r="C27" s="70" t="s">
        <v>834</v>
      </c>
    </row>
    <row r="28" spans="1:3" x14ac:dyDescent="0.35">
      <c r="A28" s="65" t="s">
        <v>38</v>
      </c>
      <c r="B28" s="51">
        <f>'2итог'!L76</f>
        <v>3.6608099999999695</v>
      </c>
      <c r="C28" s="70">
        <v>2</v>
      </c>
    </row>
    <row r="29" spans="1:3" x14ac:dyDescent="0.35">
      <c r="A29" s="65" t="s">
        <v>549</v>
      </c>
      <c r="B29" s="51">
        <f>'26'!L6</f>
        <v>-873.08860000000004</v>
      </c>
      <c r="C29" s="70">
        <v>27</v>
      </c>
    </row>
    <row r="30" spans="1:3" x14ac:dyDescent="0.35">
      <c r="A30" s="65" t="s">
        <v>759</v>
      </c>
      <c r="B30" s="51">
        <f>'35'!L14</f>
        <v>0.46999999999997044</v>
      </c>
      <c r="C30" s="70">
        <v>36</v>
      </c>
    </row>
    <row r="31" spans="1:3" x14ac:dyDescent="0.35">
      <c r="A31" s="65" t="s">
        <v>736</v>
      </c>
      <c r="B31" s="51">
        <f>'34'!L36</f>
        <v>0.43110000000001492</v>
      </c>
      <c r="C31" s="70">
        <v>35</v>
      </c>
    </row>
    <row r="32" spans="1:3" x14ac:dyDescent="0.35">
      <c r="A32" s="65" t="s">
        <v>377</v>
      </c>
      <c r="B32" s="51">
        <f>'14'!L45</f>
        <v>-0.11673999999999296</v>
      </c>
      <c r="C32" s="70">
        <v>14</v>
      </c>
    </row>
    <row r="33" spans="1:3" x14ac:dyDescent="0.35">
      <c r="A33" s="65" t="s">
        <v>493</v>
      </c>
      <c r="B33" s="51">
        <f>'21'!L16</f>
        <v>-6.2821500000000015</v>
      </c>
      <c r="C33" s="70">
        <v>22</v>
      </c>
    </row>
    <row r="34" spans="1:3" x14ac:dyDescent="0.35">
      <c r="A34" s="65" t="s">
        <v>781</v>
      </c>
      <c r="B34" s="51">
        <f>'37'!L10</f>
        <v>-0.39253366666667944</v>
      </c>
      <c r="C34" s="70">
        <v>38</v>
      </c>
    </row>
    <row r="35" spans="1:3" x14ac:dyDescent="0.35">
      <c r="A35" s="65" t="s">
        <v>410</v>
      </c>
      <c r="B35" s="51">
        <f>'15'!L14+'19'!L12</f>
        <v>-9.8799999999528154E-3</v>
      </c>
      <c r="C35" s="70" t="s">
        <v>469</v>
      </c>
    </row>
    <row r="36" spans="1:3" x14ac:dyDescent="0.35">
      <c r="A36" s="239" t="s">
        <v>508</v>
      </c>
      <c r="B36" s="51">
        <f>'22'!L14</f>
        <v>-0.39499999999998181</v>
      </c>
      <c r="C36" s="70">
        <v>23</v>
      </c>
    </row>
    <row r="37" spans="1:3" x14ac:dyDescent="0.35">
      <c r="A37" s="239" t="s">
        <v>861</v>
      </c>
      <c r="B37" s="51">
        <f>'41'!L12</f>
        <v>0.26933000000008178</v>
      </c>
      <c r="C37" s="70">
        <v>42</v>
      </c>
    </row>
    <row r="38" spans="1:3" x14ac:dyDescent="0.35">
      <c r="A38" s="239" t="s">
        <v>682</v>
      </c>
      <c r="B38" s="51">
        <f>'32'!L12+'33'!L12+'37'!L14</f>
        <v>-5.8059100000001536</v>
      </c>
      <c r="C38" s="70" t="s">
        <v>805</v>
      </c>
    </row>
    <row r="39" spans="1:3" x14ac:dyDescent="0.35">
      <c r="A39" s="239" t="s">
        <v>534</v>
      </c>
      <c r="B39" s="51">
        <f>'23'!L14</f>
        <v>0.17160000000001219</v>
      </c>
      <c r="C39" s="70">
        <v>24</v>
      </c>
    </row>
    <row r="40" spans="1:3" x14ac:dyDescent="0.35">
      <c r="A40" s="239" t="s">
        <v>537</v>
      </c>
      <c r="B40" s="51">
        <f>'24'!L8</f>
        <v>3.8900000000012369E-2</v>
      </c>
      <c r="C40" s="70">
        <v>25</v>
      </c>
    </row>
    <row r="41" spans="1:3" x14ac:dyDescent="0.35">
      <c r="A41" s="65" t="s">
        <v>28</v>
      </c>
      <c r="B41" s="51">
        <f>'2итог'!L55+'3'!L8+'4'!L86+'20'!L15</f>
        <v>-0.3080000000002201</v>
      </c>
      <c r="C41" s="70" t="s">
        <v>485</v>
      </c>
    </row>
    <row r="42" spans="1:3" x14ac:dyDescent="0.35">
      <c r="A42" s="239" t="s">
        <v>518</v>
      </c>
      <c r="B42" s="51">
        <f>'22'!L37+'31'!L10</f>
        <v>2.7462333333332367</v>
      </c>
      <c r="C42" s="70" t="s">
        <v>678</v>
      </c>
    </row>
    <row r="43" spans="1:3" x14ac:dyDescent="0.35">
      <c r="A43" s="239" t="s">
        <v>517</v>
      </c>
      <c r="B43" s="51">
        <f>'22'!L35</f>
        <v>5.7899999999904139E-2</v>
      </c>
      <c r="C43" s="70">
        <v>23</v>
      </c>
    </row>
    <row r="44" spans="1:3" x14ac:dyDescent="0.35">
      <c r="A44" s="65" t="s">
        <v>133</v>
      </c>
      <c r="B44" s="51">
        <f>'3'!L76+'4'!L72</f>
        <v>34.322133333333426</v>
      </c>
      <c r="C44" s="70" t="s">
        <v>186</v>
      </c>
    </row>
    <row r="45" spans="1:3" x14ac:dyDescent="0.35">
      <c r="A45" s="65" t="s">
        <v>655</v>
      </c>
      <c r="B45" s="51">
        <f>'31'!L6</f>
        <v>3.1850000000000023</v>
      </c>
      <c r="C45" s="70">
        <v>32</v>
      </c>
    </row>
    <row r="46" spans="1:3" x14ac:dyDescent="0.35">
      <c r="A46" s="65" t="s">
        <v>40</v>
      </c>
      <c r="B46" s="51">
        <f>'2итог'!L80+'3'!L88+'4'!L44+'5'!L18+'6'!L18</f>
        <v>-13.151913333333596</v>
      </c>
      <c r="C46" s="70" t="s">
        <v>234</v>
      </c>
    </row>
    <row r="47" spans="1:3" x14ac:dyDescent="0.35">
      <c r="A47" s="65" t="s">
        <v>688</v>
      </c>
      <c r="B47" s="51">
        <f>'32'!L21+'37'!L40</f>
        <v>-0.57717700000011973</v>
      </c>
      <c r="C47" s="70" t="s">
        <v>808</v>
      </c>
    </row>
    <row r="48" spans="1:3" x14ac:dyDescent="0.35">
      <c r="A48" s="65" t="s">
        <v>617</v>
      </c>
      <c r="B48" s="51">
        <f>'29'!L40</f>
        <v>0.34900000000004638</v>
      </c>
      <c r="C48" s="70">
        <v>30</v>
      </c>
    </row>
    <row r="49" spans="1:3" x14ac:dyDescent="0.35">
      <c r="A49" s="65" t="s">
        <v>30</v>
      </c>
      <c r="B49" s="51">
        <f>'2итог'!L65+'3'!L67+'4'!L14</f>
        <v>6.1778753333333043</v>
      </c>
      <c r="C49" s="70" t="s">
        <v>184</v>
      </c>
    </row>
    <row r="50" spans="1:3" x14ac:dyDescent="0.35">
      <c r="A50" s="239" t="s">
        <v>39</v>
      </c>
      <c r="B50" s="51">
        <f>'2итог'!L78+'3'!L20+'3'!L23+'5'!L48+'6'!L6+'12'!L29+'14'!L47+'16'!L12+'18'!L11+'21'!L12+'22'!L45</f>
        <v>0.2988050000000726</v>
      </c>
      <c r="C50" s="70" t="s">
        <v>528</v>
      </c>
    </row>
    <row r="51" spans="1:3" ht="29" x14ac:dyDescent="0.35">
      <c r="A51" s="239" t="s">
        <v>2</v>
      </c>
      <c r="B51" s="51">
        <f>'2итог'!L45+'3'!L30+'4'!L55+'5'!L44+'6'!L14+'8'!L12+'10'!L21+'12'!L34+'15'!L8+'16'!L10+'20'!L11+'22'!L6+'23'!L8+'27'!L13+'30'!L31+'31'!L37+'32'!L18+'34'!L16+'35'!L18+'42'!L6</f>
        <v>11.22031416666573</v>
      </c>
      <c r="C51" s="70" t="s">
        <v>896</v>
      </c>
    </row>
    <row r="52" spans="1:3" x14ac:dyDescent="0.35">
      <c r="A52" s="239" t="s">
        <v>878</v>
      </c>
      <c r="B52" s="51">
        <f>'41'!L33</f>
        <v>1.3550000000009277E-2</v>
      </c>
      <c r="C52" s="70">
        <v>42</v>
      </c>
    </row>
    <row r="53" spans="1:3" x14ac:dyDescent="0.35">
      <c r="A53" s="239" t="s">
        <v>515</v>
      </c>
      <c r="B53" s="51">
        <f>'6'!L8+'7'!L6+'17'!L23</f>
        <v>-0.17543333333333067</v>
      </c>
      <c r="C53" s="70" t="s">
        <v>527</v>
      </c>
    </row>
    <row r="54" spans="1:3" x14ac:dyDescent="0.35">
      <c r="A54" s="239" t="s">
        <v>515</v>
      </c>
      <c r="B54" s="51">
        <f>'22'!L31</f>
        <v>5.7899999999904139E-2</v>
      </c>
      <c r="C54" s="70">
        <v>23</v>
      </c>
    </row>
    <row r="55" spans="1:3" x14ac:dyDescent="0.35">
      <c r="A55" s="239" t="s">
        <v>876</v>
      </c>
      <c r="B55" s="51">
        <f>'41'!L25</f>
        <v>-10.476200000000063</v>
      </c>
      <c r="C55" s="70">
        <v>42</v>
      </c>
    </row>
    <row r="56" spans="1:3" x14ac:dyDescent="0.35">
      <c r="A56" s="65" t="s">
        <v>124</v>
      </c>
      <c r="B56" s="51">
        <f>'3'!L71+'5'!L30</f>
        <v>-13.888610000000085</v>
      </c>
      <c r="C56" s="70" t="s">
        <v>214</v>
      </c>
    </row>
    <row r="57" spans="1:3" x14ac:dyDescent="0.35">
      <c r="A57" s="65" t="s">
        <v>24</v>
      </c>
      <c r="B57" s="51">
        <f>'2итог'!L33+'3'!L33+'7'!L29</f>
        <v>-18.222000000000207</v>
      </c>
      <c r="C57" s="70" t="s">
        <v>270</v>
      </c>
    </row>
    <row r="58" spans="1:3" x14ac:dyDescent="0.35">
      <c r="A58" s="65" t="s">
        <v>538</v>
      </c>
      <c r="B58" s="51">
        <f>'24'!L10</f>
        <v>5.4800000000000182E-2</v>
      </c>
      <c r="C58" s="70">
        <v>25</v>
      </c>
    </row>
    <row r="59" spans="1:3" x14ac:dyDescent="0.35">
      <c r="A59" s="65" t="s">
        <v>20</v>
      </c>
      <c r="B59" s="51">
        <f>'2итог'!L15+'4'!L88+'7'!L14+'15'!L6+'19'!L17</f>
        <v>0.1099366666660444</v>
      </c>
      <c r="C59" s="70" t="s">
        <v>470</v>
      </c>
    </row>
    <row r="60" spans="1:3" x14ac:dyDescent="0.35">
      <c r="A60" s="236" t="s">
        <v>994</v>
      </c>
      <c r="B60" s="51">
        <f>'49'!L42+'50'!L18</f>
        <v>-56.060069999999882</v>
      </c>
      <c r="C60" s="70" t="s">
        <v>1018</v>
      </c>
    </row>
    <row r="61" spans="1:3" x14ac:dyDescent="0.35">
      <c r="A61" s="65" t="s">
        <v>42</v>
      </c>
      <c r="B61" s="51">
        <f>'2итог'!L84+'3'!L96</f>
        <v>3.2574099999999362</v>
      </c>
      <c r="C61" s="70" t="s">
        <v>185</v>
      </c>
    </row>
    <row r="62" spans="1:3" x14ac:dyDescent="0.35">
      <c r="A62" s="65" t="s">
        <v>877</v>
      </c>
      <c r="B62" s="51" t="e">
        <f>'41'!#REF!</f>
        <v>#REF!</v>
      </c>
      <c r="C62" s="70">
        <v>42</v>
      </c>
    </row>
    <row r="63" spans="1:3" x14ac:dyDescent="0.35">
      <c r="A63" s="65" t="s">
        <v>560</v>
      </c>
      <c r="B63" s="51">
        <f>'26'!L22+'31'!L25</f>
        <v>0.30173333333345909</v>
      </c>
      <c r="C63" s="70" t="s">
        <v>679</v>
      </c>
    </row>
    <row r="64" spans="1:3" x14ac:dyDescent="0.35">
      <c r="A64" s="239" t="s">
        <v>978</v>
      </c>
      <c r="B64" s="51">
        <f>'49'!L20</f>
        <v>-5.5000000000291038E-2</v>
      </c>
      <c r="C64" s="70">
        <v>49</v>
      </c>
    </row>
    <row r="65" spans="1:3" x14ac:dyDescent="0.35">
      <c r="A65" s="236" t="s">
        <v>1013</v>
      </c>
      <c r="B65" s="51">
        <f>'50'!L20</f>
        <v>-99.558600000000069</v>
      </c>
      <c r="C65" s="70">
        <v>50</v>
      </c>
    </row>
    <row r="66" spans="1:3" x14ac:dyDescent="0.35">
      <c r="A66" s="65" t="s">
        <v>191</v>
      </c>
      <c r="B66" s="51">
        <f>'5'!L8+'8'!L8+'12'!L32</f>
        <v>-1.2971199999999641</v>
      </c>
      <c r="C66" s="70" t="s">
        <v>353</v>
      </c>
    </row>
    <row r="67" spans="1:3" x14ac:dyDescent="0.35">
      <c r="A67" s="65" t="s">
        <v>0</v>
      </c>
      <c r="B67" s="51">
        <f>'2итог'!L23+'4'!L22</f>
        <v>16.694627999999966</v>
      </c>
      <c r="C67" s="70">
        <v>2.4</v>
      </c>
    </row>
    <row r="68" spans="1:3" x14ac:dyDescent="0.35">
      <c r="A68" s="65" t="s">
        <v>750</v>
      </c>
      <c r="B68" s="51">
        <f>'34'!L32+'36'!L15+'42'!L21</f>
        <v>-12.330452166666532</v>
      </c>
      <c r="C68" s="70" t="s">
        <v>900</v>
      </c>
    </row>
    <row r="69" spans="1:3" x14ac:dyDescent="0.35">
      <c r="A69" s="65" t="s">
        <v>933</v>
      </c>
      <c r="B69" s="51">
        <f>'46'!L8</f>
        <v>-9.2895999999996093E-2</v>
      </c>
      <c r="C69" s="70">
        <v>47</v>
      </c>
    </row>
    <row r="70" spans="1:3" x14ac:dyDescent="0.35">
      <c r="A70" s="65" t="s">
        <v>887</v>
      </c>
      <c r="B70" s="51">
        <f>'42'!L13</f>
        <v>0.45487199999979566</v>
      </c>
      <c r="C70" s="70">
        <v>43</v>
      </c>
    </row>
    <row r="71" spans="1:3" x14ac:dyDescent="0.35">
      <c r="A71" s="65" t="s">
        <v>611</v>
      </c>
      <c r="B71" s="51">
        <f>'29'!L32+'30'!L6</f>
        <v>319.11960000000045</v>
      </c>
      <c r="C71" s="70" t="s">
        <v>649</v>
      </c>
    </row>
    <row r="72" spans="1:3" x14ac:dyDescent="0.35">
      <c r="A72" s="65" t="s">
        <v>562</v>
      </c>
      <c r="B72" s="51">
        <f>'26'!L24</f>
        <v>-0.12247999999999593</v>
      </c>
      <c r="C72" s="70">
        <v>27</v>
      </c>
    </row>
    <row r="73" spans="1:3" x14ac:dyDescent="0.35">
      <c r="A73" s="65" t="s">
        <v>32</v>
      </c>
      <c r="B73" s="51">
        <f>'2итог'!L70+'3'!L57+'4'!L33+'5'!L51+'13'!L16</f>
        <v>-8.3208633333331932</v>
      </c>
      <c r="C73" s="70" t="s">
        <v>369</v>
      </c>
    </row>
    <row r="74" spans="1:3" x14ac:dyDescent="0.35">
      <c r="A74" s="65" t="s">
        <v>242</v>
      </c>
      <c r="B74" s="51">
        <f>'7'!L10</f>
        <v>0.34850000000000136</v>
      </c>
      <c r="C74" s="70">
        <v>7</v>
      </c>
    </row>
    <row r="75" spans="1:3" x14ac:dyDescent="0.35">
      <c r="A75" s="65" t="s">
        <v>151</v>
      </c>
      <c r="B75" s="51">
        <f>'4'!L84</f>
        <v>15.043000000000006</v>
      </c>
      <c r="C75" s="70">
        <v>4</v>
      </c>
    </row>
    <row r="76" spans="1:3" x14ac:dyDescent="0.35">
      <c r="A76" s="239" t="s">
        <v>267</v>
      </c>
      <c r="B76" s="51">
        <f>'7'!L37</f>
        <v>-38.592800000000352</v>
      </c>
      <c r="C76" s="70">
        <v>7</v>
      </c>
    </row>
    <row r="77" spans="1:3" x14ac:dyDescent="0.35">
      <c r="A77" s="239" t="s">
        <v>407</v>
      </c>
      <c r="B77" s="51">
        <f>'15'!L10+'29'!L42</f>
        <v>10.796320000000094</v>
      </c>
      <c r="C77" s="70" t="s">
        <v>628</v>
      </c>
    </row>
    <row r="78" spans="1:3" x14ac:dyDescent="0.35">
      <c r="A78" s="239" t="s">
        <v>711</v>
      </c>
      <c r="B78" s="51">
        <f>'33'!L14+'36'!L8</f>
        <v>7.4962400000000571</v>
      </c>
      <c r="C78" s="70" t="s">
        <v>774</v>
      </c>
    </row>
    <row r="79" spans="1:3" x14ac:dyDescent="0.35">
      <c r="A79" s="239" t="s">
        <v>524</v>
      </c>
      <c r="B79" s="51">
        <f>'22'!L49</f>
        <v>0.36810000000002674</v>
      </c>
      <c r="C79" s="70">
        <v>23</v>
      </c>
    </row>
    <row r="80" spans="1:3" x14ac:dyDescent="0.35">
      <c r="A80" s="65" t="s">
        <v>41</v>
      </c>
      <c r="B80" s="51">
        <f>'2итог'!L82+'4'!L16</f>
        <v>6.7462099999999623</v>
      </c>
      <c r="C80" s="70">
        <v>2.4</v>
      </c>
    </row>
    <row r="81" spans="1:3" x14ac:dyDescent="0.35">
      <c r="A81" s="65" t="s">
        <v>907</v>
      </c>
      <c r="B81" s="51">
        <f>'44'!L6</f>
        <v>1.6312500000000227</v>
      </c>
      <c r="C81" s="70">
        <v>45</v>
      </c>
    </row>
    <row r="82" spans="1:3" x14ac:dyDescent="0.35">
      <c r="A82" s="65" t="s">
        <v>644</v>
      </c>
      <c r="B82" s="51">
        <f>'30'!L28+'43'!L6</f>
        <v>-0.20776000000000749</v>
      </c>
      <c r="C82" s="70" t="s">
        <v>906</v>
      </c>
    </row>
    <row r="83" spans="1:3" x14ac:dyDescent="0.35">
      <c r="A83" s="239" t="s">
        <v>354</v>
      </c>
      <c r="B83" s="51">
        <f>'12'!L38+'13'!L22+'16'!L16+'22'!L11+'31'!L34+'34'!L44</f>
        <v>0.30054599999994025</v>
      </c>
      <c r="C83" s="70" t="s">
        <v>751</v>
      </c>
    </row>
    <row r="84" spans="1:3" x14ac:dyDescent="0.35">
      <c r="A84" s="239" t="s">
        <v>616</v>
      </c>
      <c r="B84" s="51">
        <f>'29'!L38+'40'!L31+'44'!L12</f>
        <v>-5003.02405</v>
      </c>
      <c r="C84" s="70" t="s">
        <v>917</v>
      </c>
    </row>
    <row r="85" spans="1:3" x14ac:dyDescent="0.35">
      <c r="A85" s="65" t="s">
        <v>322</v>
      </c>
      <c r="B85" s="51">
        <f>'10'!L8</f>
        <v>-0.73066666666665014</v>
      </c>
      <c r="C85" s="70">
        <v>10</v>
      </c>
    </row>
    <row r="86" spans="1:3" x14ac:dyDescent="0.35">
      <c r="A86" s="65" t="s">
        <v>729</v>
      </c>
      <c r="B86" s="51">
        <f>'34'!L20</f>
        <v>-0.38751000000002023</v>
      </c>
      <c r="C86" s="70">
        <v>35</v>
      </c>
    </row>
    <row r="87" spans="1:3" x14ac:dyDescent="0.35">
      <c r="A87" s="65" t="s">
        <v>297</v>
      </c>
      <c r="B87" s="51">
        <f>'9'!L17+'10'!L17+'12'!L26</f>
        <v>0.41207499999973152</v>
      </c>
      <c r="C87" s="70" t="s">
        <v>352</v>
      </c>
    </row>
    <row r="88" spans="1:3" x14ac:dyDescent="0.35">
      <c r="A88" s="65" t="s">
        <v>181</v>
      </c>
      <c r="B88" s="51">
        <f>'4'!L12+'5'!L34+'6'!L21+'10'!L17+'33'!L18+'34'!L22</f>
        <v>0.28793000000018765</v>
      </c>
      <c r="C88" s="70" t="s">
        <v>746</v>
      </c>
    </row>
    <row r="89" spans="1:3" x14ac:dyDescent="0.35">
      <c r="A89" s="239" t="s">
        <v>976</v>
      </c>
      <c r="B89" s="51">
        <f>'49'!L16</f>
        <v>30.736899999999991</v>
      </c>
      <c r="C89" s="70">
        <v>50</v>
      </c>
    </row>
    <row r="90" spans="1:3" x14ac:dyDescent="0.35">
      <c r="A90" s="239" t="s">
        <v>160</v>
      </c>
      <c r="B90" s="51">
        <f>'3'!L92+'4'!L60+'21'!L10+'22'!L24+'24'!L16</f>
        <v>0.14769999999964512</v>
      </c>
      <c r="C90" s="70" t="s">
        <v>545</v>
      </c>
    </row>
    <row r="91" spans="1:3" x14ac:dyDescent="0.35">
      <c r="A91" s="239" t="s">
        <v>892</v>
      </c>
      <c r="B91" s="51">
        <f>'42'!L26+'43'!L8+'46'!L24</f>
        <v>-0.29896699999983412</v>
      </c>
      <c r="C91" s="70" t="s">
        <v>949</v>
      </c>
    </row>
    <row r="92" spans="1:3" x14ac:dyDescent="0.35">
      <c r="A92" s="65" t="s">
        <v>271</v>
      </c>
      <c r="B92" s="51">
        <f>'8'!L10</f>
        <v>-513.98759999999993</v>
      </c>
      <c r="C92" s="70">
        <v>8</v>
      </c>
    </row>
    <row r="93" spans="1:3" x14ac:dyDescent="0.35">
      <c r="A93" s="65" t="s">
        <v>302</v>
      </c>
      <c r="B93" s="51">
        <f>'9'!L10+'10'!L10+'27'!L10</f>
        <v>-0.39733333333361998</v>
      </c>
      <c r="C93" s="70" t="s">
        <v>578</v>
      </c>
    </row>
    <row r="94" spans="1:3" x14ac:dyDescent="0.35">
      <c r="A94" s="65" t="s">
        <v>169</v>
      </c>
      <c r="B94" s="51">
        <f>'4'!L40+'12'!L13+'20'!L32+'21'!L6+'32'!L15</f>
        <v>2.4106666666625642E-2</v>
      </c>
      <c r="C94" s="70" t="s">
        <v>699</v>
      </c>
    </row>
    <row r="95" spans="1:3" x14ac:dyDescent="0.35">
      <c r="A95" s="65" t="s">
        <v>726</v>
      </c>
      <c r="B95" s="51">
        <f>'34'!L10</f>
        <v>-0.38751000000002023</v>
      </c>
      <c r="C95" s="70">
        <v>35</v>
      </c>
    </row>
    <row r="96" spans="1:3" x14ac:dyDescent="0.35">
      <c r="A96" s="65" t="s">
        <v>769</v>
      </c>
      <c r="B96" s="51">
        <f>'36'!L12+'37'!L32</f>
        <v>21.110982666666587</v>
      </c>
      <c r="C96" s="70" t="s">
        <v>807</v>
      </c>
    </row>
    <row r="97" spans="1:3" x14ac:dyDescent="0.35">
      <c r="A97" s="65" t="s">
        <v>19</v>
      </c>
      <c r="B97" s="51">
        <f>'2итог'!L10+'3'!L26</f>
        <v>0.39273999999977605</v>
      </c>
      <c r="C97" s="70" t="s">
        <v>185</v>
      </c>
    </row>
    <row r="98" spans="1:3" x14ac:dyDescent="0.35">
      <c r="A98" s="65" t="s">
        <v>325</v>
      </c>
      <c r="B98" s="51">
        <f>'11'!L15</f>
        <v>-26.911399999999958</v>
      </c>
      <c r="C98" s="70">
        <v>11</v>
      </c>
    </row>
    <row r="99" spans="1:3" x14ac:dyDescent="0.35">
      <c r="A99" s="65" t="s">
        <v>288</v>
      </c>
      <c r="B99" s="51">
        <f>'9'!L35+'11'!L6+'13'!L24+'25'!L8+'29'!L19</f>
        <v>235.05027000000041</v>
      </c>
      <c r="C99" s="70" t="s">
        <v>626</v>
      </c>
    </row>
    <row r="100" spans="1:3" x14ac:dyDescent="0.35">
      <c r="A100" s="65" t="s">
        <v>204</v>
      </c>
      <c r="B100" s="51">
        <f>'5'!L38</f>
        <v>-0.15830500000015491</v>
      </c>
      <c r="C100" s="70">
        <v>5</v>
      </c>
    </row>
    <row r="101" spans="1:3" x14ac:dyDescent="0.35">
      <c r="A101" s="65" t="s">
        <v>889</v>
      </c>
      <c r="B101" s="51">
        <f>'42'!L19</f>
        <v>-0.23391800000001695</v>
      </c>
      <c r="C101" s="70">
        <v>43</v>
      </c>
    </row>
    <row r="102" spans="1:3" x14ac:dyDescent="0.35">
      <c r="A102" s="239" t="s">
        <v>763</v>
      </c>
      <c r="B102" s="51">
        <f>'35'!L21+'37'!L36+'43'!L13+'45'!L20+'49'!L38</f>
        <v>60.982155999999577</v>
      </c>
      <c r="C102" s="70" t="s">
        <v>1003</v>
      </c>
    </row>
    <row r="103" spans="1:3" ht="29" x14ac:dyDescent="0.35">
      <c r="A103" s="239" t="s">
        <v>331</v>
      </c>
      <c r="B103" s="51">
        <f>'12'!L6+'13'!L6+'14'!L17+'16'!L21+'17'!L13+'20'!L24+'21'!L22+'22'!L27+'26'!L8+'28'!L10+'29'!L27+'30'!L17+'31'!L31+'33'!L20+'37'!L24+'39'!L6+'40'!L27+'42'!L23+'49'!L32</f>
        <v>1.59678333334341E-2</v>
      </c>
      <c r="C103" s="70" t="s">
        <v>1002</v>
      </c>
    </row>
    <row r="104" spans="1:3" x14ac:dyDescent="0.35">
      <c r="A104" s="240" t="s">
        <v>901</v>
      </c>
      <c r="B104" s="126">
        <f>'43'!L11</f>
        <v>-0.25829399999997804</v>
      </c>
      <c r="C104" s="127">
        <v>44</v>
      </c>
    </row>
    <row r="105" spans="1:3" x14ac:dyDescent="0.35">
      <c r="A105" s="240" t="s">
        <v>868</v>
      </c>
      <c r="B105" s="126">
        <f>'41'!L18+'49'!L46</f>
        <v>52.627929999999651</v>
      </c>
      <c r="C105" s="127" t="s">
        <v>1001</v>
      </c>
    </row>
    <row r="106" spans="1:3" x14ac:dyDescent="0.35">
      <c r="A106" s="244" t="s">
        <v>1008</v>
      </c>
      <c r="B106" s="126">
        <f>'50'!L6</f>
        <v>22.172085714285686</v>
      </c>
      <c r="C106" s="127">
        <v>50</v>
      </c>
    </row>
    <row r="107" spans="1:3" x14ac:dyDescent="0.35">
      <c r="A107" s="240" t="s">
        <v>709</v>
      </c>
      <c r="B107" s="126">
        <f>'33'!L10</f>
        <v>-0.37227999999993244</v>
      </c>
      <c r="C107" s="127">
        <v>34</v>
      </c>
    </row>
    <row r="108" spans="1:3" x14ac:dyDescent="0.35">
      <c r="A108" s="65" t="s">
        <v>466</v>
      </c>
      <c r="B108" s="51">
        <f>'19'!L15</f>
        <v>-0.17499999999995453</v>
      </c>
      <c r="C108" s="70">
        <v>20</v>
      </c>
    </row>
    <row r="109" spans="1:3" x14ac:dyDescent="0.35">
      <c r="A109" s="241" t="s">
        <v>29</v>
      </c>
      <c r="B109" s="110">
        <f>'2итог'!L61+'3'!L47+'4'!L70+'5'!L10+'7'!L25+'8'!L16+'9'!L45+'11'!L11+'19'!L9</f>
        <v>-0.18192700000054174</v>
      </c>
      <c r="C109" s="111" t="s">
        <v>468</v>
      </c>
    </row>
    <row r="110" spans="1:3" x14ac:dyDescent="0.35">
      <c r="A110" s="242" t="s">
        <v>520</v>
      </c>
      <c r="B110" s="110">
        <f>'22'!L41</f>
        <v>5.7899999999904139E-2</v>
      </c>
      <c r="C110" s="111">
        <v>23</v>
      </c>
    </row>
    <row r="111" spans="1:3" x14ac:dyDescent="0.35">
      <c r="A111" s="242" t="s">
        <v>757</v>
      </c>
      <c r="B111" s="110">
        <f>'35'!L12</f>
        <v>-1.0000000000331966E-3</v>
      </c>
      <c r="C111" s="111">
        <v>36</v>
      </c>
    </row>
    <row r="112" spans="1:3" x14ac:dyDescent="0.35">
      <c r="A112" s="236" t="s">
        <v>22</v>
      </c>
      <c r="B112" s="51">
        <f>'2итог'!L26+'14'!L37+'29'!L13+'44'!L10+'45'!L12+'50'!L16</f>
        <v>-55.077720000000198</v>
      </c>
      <c r="C112" s="70" t="s">
        <v>1019</v>
      </c>
    </row>
    <row r="113" spans="1:3" x14ac:dyDescent="0.35">
      <c r="A113" s="239" t="s">
        <v>661</v>
      </c>
      <c r="B113" s="51">
        <f>'31'!L16</f>
        <v>134.9849999999999</v>
      </c>
      <c r="C113" s="70">
        <v>32</v>
      </c>
    </row>
    <row r="114" spans="1:3" x14ac:dyDescent="0.35">
      <c r="A114" s="65" t="s">
        <v>680</v>
      </c>
      <c r="B114" s="51">
        <f>'32'!L8+'35'!L16+'37'!L28+'39'!L13+'42'!L11+'46'!L18+'49'!L18</f>
        <v>0.19355599999994411</v>
      </c>
      <c r="C114" s="70" t="s">
        <v>1005</v>
      </c>
    </row>
    <row r="115" spans="1:3" x14ac:dyDescent="0.35">
      <c r="A115" s="239" t="s">
        <v>766</v>
      </c>
      <c r="B115" s="51">
        <f>'36'!L6+'49'!L22</f>
        <v>27.784400000000005</v>
      </c>
      <c r="C115" s="70" t="s">
        <v>999</v>
      </c>
    </row>
    <row r="116" spans="1:3" x14ac:dyDescent="0.35">
      <c r="A116" s="65" t="s">
        <v>145</v>
      </c>
      <c r="B116" s="51">
        <f>'4'!L100</f>
        <v>7.1284999999999741</v>
      </c>
      <c r="C116" s="70">
        <v>4</v>
      </c>
    </row>
    <row r="117" spans="1:3" x14ac:dyDescent="0.35">
      <c r="A117" s="65" t="s">
        <v>460</v>
      </c>
      <c r="B117" s="51">
        <f>'19'!L6+'20'!L22</f>
        <v>0.45680000000004384</v>
      </c>
      <c r="C117" s="70" t="s">
        <v>486</v>
      </c>
    </row>
    <row r="118" spans="1:3" x14ac:dyDescent="0.35">
      <c r="A118" s="65" t="s">
        <v>825</v>
      </c>
      <c r="B118" s="51">
        <f>'39'!L18+'40'!L10+'41'!L37</f>
        <v>-13.193450000000041</v>
      </c>
      <c r="C118" s="70" t="s">
        <v>880</v>
      </c>
    </row>
    <row r="119" spans="1:3" x14ac:dyDescent="0.35">
      <c r="A119" s="65" t="s">
        <v>959</v>
      </c>
      <c r="B119" s="51">
        <f>'47'!L17+'49'!L10</f>
        <v>-0.30126000000018394</v>
      </c>
      <c r="C119" s="70" t="s">
        <v>1004</v>
      </c>
    </row>
    <row r="120" spans="1:3" x14ac:dyDescent="0.35">
      <c r="A120" s="65" t="s">
        <v>888</v>
      </c>
      <c r="B120" s="51">
        <f>'42'!L16</f>
        <v>158.62328600000001</v>
      </c>
      <c r="C120" s="70">
        <v>43</v>
      </c>
    </row>
    <row r="121" spans="1:3" x14ac:dyDescent="0.35">
      <c r="A121" s="239" t="s">
        <v>344</v>
      </c>
      <c r="B121" s="51">
        <f>'12'!L36+'16'!L14+'17'!L7+'24'!L14+'25'!L11+'27'!L8+'49'!L26</f>
        <v>3.7127519999999095</v>
      </c>
      <c r="C121" s="70" t="s">
        <v>1000</v>
      </c>
    </row>
    <row r="122" spans="1:3" x14ac:dyDescent="0.35">
      <c r="A122" s="65" t="s">
        <v>315</v>
      </c>
      <c r="B122" s="51">
        <f>'10'!L12</f>
        <v>-0.33226666666632809</v>
      </c>
      <c r="C122" s="70">
        <v>10</v>
      </c>
    </row>
    <row r="123" spans="1:3" x14ac:dyDescent="0.35">
      <c r="A123" s="65" t="s">
        <v>373</v>
      </c>
      <c r="B123" s="51">
        <f>'3'!L98+'7'!L12+'14'!L39+'34'!L8</f>
        <v>-3.236686666666742</v>
      </c>
      <c r="C123" s="70" t="s">
        <v>745</v>
      </c>
    </row>
    <row r="124" spans="1:3" x14ac:dyDescent="0.35">
      <c r="A124" s="65" t="s">
        <v>727</v>
      </c>
      <c r="B124" s="51">
        <f>'34'!L14</f>
        <v>-0.38751000000002023</v>
      </c>
      <c r="C124" s="70">
        <v>35</v>
      </c>
    </row>
    <row r="125" spans="1:3" x14ac:dyDescent="0.35">
      <c r="A125" s="65" t="s">
        <v>546</v>
      </c>
      <c r="B125" s="51">
        <f>'25'!L6+'29'!L23+'31'!L20+'34'!L6</f>
        <v>-2.8495100000000093</v>
      </c>
      <c r="C125" s="70" t="s">
        <v>744</v>
      </c>
    </row>
    <row r="126" spans="1:3" x14ac:dyDescent="0.35">
      <c r="A126" s="65" t="s">
        <v>412</v>
      </c>
      <c r="B126" s="51">
        <f>'15'!L16+'24'!L6</f>
        <v>-0.16707999999994172</v>
      </c>
      <c r="C126" s="70" t="s">
        <v>544</v>
      </c>
    </row>
    <row r="127" spans="1:3" x14ac:dyDescent="0.35">
      <c r="A127" s="65" t="s">
        <v>609</v>
      </c>
      <c r="B127" s="51">
        <f>'29'!L30</f>
        <v>-0.12299999999999045</v>
      </c>
      <c r="C127" s="70">
        <v>30</v>
      </c>
    </row>
    <row r="128" spans="1:3" x14ac:dyDescent="0.35">
      <c r="A128" s="65" t="s">
        <v>384</v>
      </c>
      <c r="B128" s="51">
        <f>'14'!L26</f>
        <v>0.30554000000006454</v>
      </c>
      <c r="C128" s="70">
        <v>14</v>
      </c>
    </row>
    <row r="129" spans="1:3" x14ac:dyDescent="0.35">
      <c r="A129" s="65" t="s">
        <v>778</v>
      </c>
      <c r="B129" s="51">
        <f>'37'!L6+'39'!L16</f>
        <v>-0.42564666666675066</v>
      </c>
      <c r="C129" s="70" t="s">
        <v>833</v>
      </c>
    </row>
    <row r="130" spans="1:3" x14ac:dyDescent="0.35">
      <c r="A130" s="65" t="s">
        <v>846</v>
      </c>
      <c r="B130" s="51">
        <f>'40'!L24</f>
        <v>-4.4399999999995998E-2</v>
      </c>
      <c r="C130" s="70">
        <v>41</v>
      </c>
    </row>
    <row r="131" spans="1:3" x14ac:dyDescent="0.35">
      <c r="A131" s="239" t="s">
        <v>513</v>
      </c>
      <c r="B131" s="51">
        <f>'22'!L29</f>
        <v>-0.1440000000000623</v>
      </c>
      <c r="C131" s="70">
        <v>23</v>
      </c>
    </row>
    <row r="132" spans="1:3" x14ac:dyDescent="0.35">
      <c r="A132" s="65" t="s">
        <v>492</v>
      </c>
      <c r="B132" s="51">
        <f>'21'!L14+'28'!L6</f>
        <v>-4.7300000000063847E-2</v>
      </c>
      <c r="C132" s="70" t="s">
        <v>587</v>
      </c>
    </row>
    <row r="133" spans="1:3" x14ac:dyDescent="0.35">
      <c r="A133" s="65" t="s">
        <v>399</v>
      </c>
      <c r="B133" s="51">
        <f>'7'!L18</f>
        <v>-1.4548666666666747</v>
      </c>
      <c r="C133" s="70">
        <v>7</v>
      </c>
    </row>
    <row r="134" spans="1:3" x14ac:dyDescent="0.35">
      <c r="A134" s="65" t="s">
        <v>119</v>
      </c>
      <c r="B134" s="51">
        <f>'3'!L86</f>
        <v>0.19479999999995812</v>
      </c>
      <c r="C134" s="70">
        <v>3</v>
      </c>
    </row>
    <row r="135" spans="1:3" x14ac:dyDescent="0.35">
      <c r="A135" s="239" t="s">
        <v>983</v>
      </c>
      <c r="B135" s="51">
        <f>'49'!L28</f>
        <v>7.8715999999998303</v>
      </c>
      <c r="C135" s="70">
        <v>50</v>
      </c>
    </row>
    <row r="136" spans="1:3" x14ac:dyDescent="0.35">
      <c r="A136" s="65" t="s">
        <v>294</v>
      </c>
      <c r="B136" s="51">
        <f>'9'!L30</f>
        <v>-464.01600000000002</v>
      </c>
      <c r="C136" s="70">
        <v>9</v>
      </c>
    </row>
    <row r="137" spans="1:3" x14ac:dyDescent="0.35">
      <c r="A137" s="236" t="s">
        <v>1012</v>
      </c>
      <c r="B137" s="51">
        <f>'50'!L14</f>
        <v>-3.4265200000000391</v>
      </c>
      <c r="C137" s="70">
        <v>50</v>
      </c>
    </row>
    <row r="138" spans="1:3" x14ac:dyDescent="0.35">
      <c r="A138" s="239" t="s">
        <v>364</v>
      </c>
      <c r="B138" s="51">
        <f>'13'!L26+'20'!L30+'22'!L47+'23'!L6+'25'!L13+'45'!L14+'46'!L27</f>
        <v>18.869788600000106</v>
      </c>
      <c r="C138" s="70" t="s">
        <v>948</v>
      </c>
    </row>
    <row r="139" spans="1:3" ht="29" x14ac:dyDescent="0.35">
      <c r="A139" s="239" t="s">
        <v>382</v>
      </c>
      <c r="B139" s="51">
        <f>'14'!L22+'15'!L24+'18'!L6+'21'!L18+'22'!L20+'23'!L12+'24'!L18+'27'!L17+'29'!L16+'31'!L22+'32'!L6+'33'!L16+'35'!L8+'40'!L18+'42'!L8</f>
        <v>0.3627319999993972</v>
      </c>
      <c r="C139" s="70" t="s">
        <v>897</v>
      </c>
    </row>
    <row r="140" spans="1:3" x14ac:dyDescent="0.35">
      <c r="A140" s="239" t="s">
        <v>131</v>
      </c>
      <c r="B140" s="51">
        <f>'3'!L80+'4'!L91+'9'!L32+'12'!L20+'13'!L10+'14'!L43+'22'!L22</f>
        <v>-0.45483333333339715</v>
      </c>
      <c r="C140" s="70" t="s">
        <v>526</v>
      </c>
    </row>
    <row r="141" spans="1:3" x14ac:dyDescent="0.35">
      <c r="A141" s="65" t="s">
        <v>177</v>
      </c>
      <c r="B141" s="51">
        <f>'4'!L27+'5'!L55</f>
        <v>-6.702649999999835</v>
      </c>
      <c r="C141" s="70" t="s">
        <v>212</v>
      </c>
    </row>
    <row r="142" spans="1:3" x14ac:dyDescent="0.35">
      <c r="A142" s="65" t="s">
        <v>260</v>
      </c>
      <c r="B142" s="51">
        <f>'7'!L33+'9'!L42+'21'!L26</f>
        <v>-1.8000000002302841E-3</v>
      </c>
      <c r="C142" s="70" t="s">
        <v>502</v>
      </c>
    </row>
    <row r="143" spans="1:3" x14ac:dyDescent="0.35">
      <c r="A143" s="65" t="s">
        <v>927</v>
      </c>
      <c r="B143" s="51">
        <f>'45'!L23</f>
        <v>0.32263499999999112</v>
      </c>
      <c r="C143" s="70">
        <v>46</v>
      </c>
    </row>
    <row r="144" spans="1:3" x14ac:dyDescent="0.35">
      <c r="A144" s="236" t="s">
        <v>1011</v>
      </c>
      <c r="B144" s="51">
        <f>'50'!L12</f>
        <v>-3.4265200000000391</v>
      </c>
      <c r="C144" s="70">
        <v>50</v>
      </c>
    </row>
    <row r="145" spans="1:3" x14ac:dyDescent="0.35">
      <c r="A145" s="65" t="s">
        <v>810</v>
      </c>
      <c r="B145" s="51">
        <f>'38'!L6</f>
        <v>0.24300000000005184</v>
      </c>
      <c r="C145" s="70">
        <v>39</v>
      </c>
    </row>
    <row r="146" spans="1:3" x14ac:dyDescent="0.35">
      <c r="A146" s="65" t="s">
        <v>311</v>
      </c>
      <c r="B146" s="51">
        <f>'9'!L26</f>
        <v>30.248000000000047</v>
      </c>
      <c r="C146" s="70">
        <v>9</v>
      </c>
    </row>
    <row r="147" spans="1:3" x14ac:dyDescent="0.35">
      <c r="A147" s="65" t="s">
        <v>26</v>
      </c>
      <c r="B147" s="51">
        <f>'2итог'!L42+'4'!L20+'5'!L24+'14'!L33</f>
        <v>1.8727999999999554</v>
      </c>
      <c r="C147" s="70" t="s">
        <v>400</v>
      </c>
    </row>
    <row r="148" spans="1:3" x14ac:dyDescent="0.35">
      <c r="A148" s="65" t="s">
        <v>613</v>
      </c>
      <c r="B148" s="51">
        <f>'29'!L34</f>
        <v>7.6499999999999773</v>
      </c>
      <c r="C148" s="70">
        <v>30</v>
      </c>
    </row>
    <row r="149" spans="1:3" x14ac:dyDescent="0.35">
      <c r="A149" s="239" t="s">
        <v>775</v>
      </c>
      <c r="B149" s="51">
        <f>'36'!L10+'46'!L21</f>
        <v>-2.2423786666666956</v>
      </c>
      <c r="C149" s="70" t="s">
        <v>947</v>
      </c>
    </row>
    <row r="150" spans="1:3" x14ac:dyDescent="0.35">
      <c r="A150" s="239" t="s">
        <v>516</v>
      </c>
      <c r="B150" s="51">
        <f>'22'!L33</f>
        <v>5.7899999999904139E-2</v>
      </c>
      <c r="C150" s="70">
        <v>23</v>
      </c>
    </row>
    <row r="151" spans="1:3" x14ac:dyDescent="0.35">
      <c r="A151" s="65" t="s">
        <v>500</v>
      </c>
      <c r="B151" s="51">
        <f>'21'!L28+'24'!L12+'27'!L6+'28'!L8+'31'!L28+'32'!L10+'33'!L27+'34'!L34+'37'!L21</f>
        <v>-129.20393700000136</v>
      </c>
      <c r="C151" s="70" t="s">
        <v>806</v>
      </c>
    </row>
    <row r="152" spans="1:3" x14ac:dyDescent="0.35">
      <c r="A152" s="65" t="s">
        <v>479</v>
      </c>
      <c r="B152" s="51">
        <f>'20'!L18+'30'!L12</f>
        <v>66.089624999999955</v>
      </c>
      <c r="C152" s="70" t="s">
        <v>650</v>
      </c>
    </row>
    <row r="153" spans="1:3" x14ac:dyDescent="0.35">
      <c r="A153" s="65" t="s">
        <v>627</v>
      </c>
      <c r="B153" s="51">
        <f>'29'!L36</f>
        <v>0.14750000000003638</v>
      </c>
      <c r="C153" s="70">
        <v>30</v>
      </c>
    </row>
    <row r="154" spans="1:3" x14ac:dyDescent="0.35">
      <c r="A154" s="236" t="s">
        <v>619</v>
      </c>
      <c r="B154" s="51">
        <f>'29'!L44+'41'!L27+'50'!L8</f>
        <v>22.501585714285653</v>
      </c>
      <c r="C154" s="70" t="s">
        <v>1020</v>
      </c>
    </row>
    <row r="155" spans="1:3" x14ac:dyDescent="0.35">
      <c r="A155" s="236" t="s">
        <v>1010</v>
      </c>
      <c r="B155" s="51">
        <f>'50'!L10</f>
        <v>-10.211700000000008</v>
      </c>
      <c r="C155" s="70">
        <v>50</v>
      </c>
    </row>
    <row r="156" spans="1:3" x14ac:dyDescent="0.35">
      <c r="A156" s="239" t="s">
        <v>458</v>
      </c>
      <c r="B156" s="51">
        <f>'6'!L12+'18'!L13+'22'!L17+'31'!L8+'34'!L40</f>
        <v>-0.73690000000016198</v>
      </c>
      <c r="C156" s="70" t="s">
        <v>747</v>
      </c>
    </row>
    <row r="157" spans="1:3" x14ac:dyDescent="0.35">
      <c r="A157" s="65" t="s">
        <v>268</v>
      </c>
      <c r="B157" s="51">
        <f>'7'!L8</f>
        <v>-5.2999999999883585E-2</v>
      </c>
      <c r="C157" s="70">
        <v>7</v>
      </c>
    </row>
    <row r="158" spans="1:3" x14ac:dyDescent="0.35">
      <c r="A158" s="65" t="s">
        <v>879</v>
      </c>
      <c r="B158" s="51">
        <f>'41'!L35</f>
        <v>1.0135500000000093</v>
      </c>
      <c r="C158" s="70">
        <v>42</v>
      </c>
    </row>
    <row r="159" spans="1:3" x14ac:dyDescent="0.35">
      <c r="A159" s="65" t="s">
        <v>588</v>
      </c>
      <c r="B159" s="51">
        <f>'28'!L14+'29'!L6</f>
        <v>0.3159899999998288</v>
      </c>
      <c r="C159" s="70" t="s">
        <v>625</v>
      </c>
    </row>
    <row r="160" spans="1:3" x14ac:dyDescent="0.35">
      <c r="A160" s="65" t="s">
        <v>132</v>
      </c>
      <c r="B160" s="51">
        <f>'3'!L74</f>
        <v>0.20140000000000668</v>
      </c>
      <c r="C160" s="70">
        <v>3</v>
      </c>
    </row>
    <row r="161" spans="1:3" x14ac:dyDescent="0.35">
      <c r="A161" s="65" t="s">
        <v>429</v>
      </c>
      <c r="B161" s="51">
        <f>'16'!L18+'17'!L31</f>
        <v>2.072428000000059</v>
      </c>
      <c r="C161" s="70" t="s">
        <v>451</v>
      </c>
    </row>
    <row r="162" spans="1:3" x14ac:dyDescent="0.35">
      <c r="A162" s="65" t="s">
        <v>955</v>
      </c>
      <c r="B162" s="51">
        <f>'47'!L10</f>
        <v>-9.4241599999999153</v>
      </c>
      <c r="C162" s="70">
        <v>48</v>
      </c>
    </row>
    <row r="163" spans="1:3" x14ac:dyDescent="0.35">
      <c r="A163" s="65" t="s">
        <v>447</v>
      </c>
      <c r="B163" s="51">
        <f>'17'!L25+'20'!L6+'41'!L39</f>
        <v>-0.36147500000004129</v>
      </c>
      <c r="C163" s="70" t="s">
        <v>881</v>
      </c>
    </row>
    <row r="164" spans="1:3" x14ac:dyDescent="0.35">
      <c r="A164" s="65" t="s">
        <v>731</v>
      </c>
      <c r="B164" s="51">
        <f>'34'!L26</f>
        <v>-48.345210000000066</v>
      </c>
      <c r="C164" s="70">
        <v>35</v>
      </c>
    </row>
    <row r="165" spans="1:3" x14ac:dyDescent="0.35">
      <c r="A165" s="65" t="s">
        <v>558</v>
      </c>
      <c r="B165" s="51">
        <f>'26'!L20+'46'!L15</f>
        <v>13.509439999999813</v>
      </c>
      <c r="C165" s="70" t="s">
        <v>946</v>
      </c>
    </row>
    <row r="166" spans="1:3" x14ac:dyDescent="0.35">
      <c r="A166" s="65" t="s">
        <v>346</v>
      </c>
      <c r="B166" s="51">
        <f>'12'!L41+'14'!L30+'15'!L21+'16'!L8</f>
        <v>1.9577440000000479</v>
      </c>
      <c r="C166" s="70" t="s">
        <v>436</v>
      </c>
    </row>
    <row r="167" spans="1:3" x14ac:dyDescent="0.35">
      <c r="A167" s="65" t="s">
        <v>314</v>
      </c>
      <c r="B167" s="51">
        <f>'10'!L6+'17'!L21</f>
        <v>-0.46703333333331898</v>
      </c>
      <c r="C167" s="70" t="s">
        <v>452</v>
      </c>
    </row>
    <row r="168" spans="1:3" x14ac:dyDescent="0.35">
      <c r="A168" s="65" t="s">
        <v>856</v>
      </c>
      <c r="B168" s="51">
        <f>'41'!L6</f>
        <v>0.49729999999999563</v>
      </c>
      <c r="C168" s="70">
        <v>42</v>
      </c>
    </row>
    <row r="169" spans="1:3" x14ac:dyDescent="0.35">
      <c r="A169" s="65" t="s">
        <v>841</v>
      </c>
      <c r="B169" s="51">
        <f>'40'!L14+'45'!L10+'47'!L12</f>
        <v>-6.6975949999998647</v>
      </c>
      <c r="C169" s="70" t="s">
        <v>965</v>
      </c>
    </row>
    <row r="170" spans="1:3" x14ac:dyDescent="0.35">
      <c r="A170" s="65" t="s">
        <v>158</v>
      </c>
      <c r="B170" s="51">
        <f>'4'!L67</f>
        <v>10.197400000000016</v>
      </c>
      <c r="C170" s="70">
        <v>4</v>
      </c>
    </row>
    <row r="171" spans="1:3" x14ac:dyDescent="0.35">
      <c r="A171" s="65" t="s">
        <v>870</v>
      </c>
      <c r="B171" s="51">
        <f>'41'!L29+'47'!L6</f>
        <v>41.753352000000177</v>
      </c>
      <c r="C171" s="70" t="s">
        <v>966</v>
      </c>
    </row>
    <row r="172" spans="1:3" x14ac:dyDescent="0.35">
      <c r="A172" s="65" t="s">
        <v>730</v>
      </c>
      <c r="B172" s="51">
        <f>'34'!L24</f>
        <v>-0.18632000000002336</v>
      </c>
      <c r="C172" s="70">
        <v>35</v>
      </c>
    </row>
    <row r="173" spans="1:3" x14ac:dyDescent="0.35">
      <c r="A173" s="65" t="s">
        <v>398</v>
      </c>
      <c r="B173" s="51">
        <f>'14'!L6+'39'!L26+'40'!L6</f>
        <v>1.3850766666666345</v>
      </c>
      <c r="C173" s="70" t="s">
        <v>852</v>
      </c>
    </row>
    <row r="174" spans="1:3" x14ac:dyDescent="0.35">
      <c r="A174" s="65" t="s">
        <v>443</v>
      </c>
      <c r="B174" s="51">
        <f>'17'!L29</f>
        <v>0.23699999999996635</v>
      </c>
      <c r="C174" s="70">
        <v>18</v>
      </c>
    </row>
    <row r="175" spans="1:3" x14ac:dyDescent="0.35">
      <c r="A175" s="65" t="s">
        <v>37</v>
      </c>
      <c r="B175" s="51">
        <f>'2итог'!L74</f>
        <v>3.6608099999999695</v>
      </c>
      <c r="C175" s="70">
        <v>2</v>
      </c>
    </row>
    <row r="176" spans="1:3" x14ac:dyDescent="0.35">
      <c r="A176" s="65" t="s">
        <v>786</v>
      </c>
      <c r="B176" s="51">
        <f>'37'!L16+'41'!L21</f>
        <v>126.37200333333328</v>
      </c>
      <c r="C176" s="70" t="s">
        <v>875</v>
      </c>
    </row>
    <row r="177" spans="1:3" x14ac:dyDescent="0.35">
      <c r="A177" s="65" t="s">
        <v>872</v>
      </c>
      <c r="B177" s="51">
        <f>'41'!L31</f>
        <v>-8.8054500000000644</v>
      </c>
      <c r="C177" s="70">
        <v>42</v>
      </c>
    </row>
    <row r="178" spans="1:3" x14ac:dyDescent="0.35">
      <c r="A178" s="65" t="s">
        <v>663</v>
      </c>
      <c r="B178" s="51">
        <f>'31'!L18</f>
        <v>73.960000000000036</v>
      </c>
      <c r="C178" s="70">
        <v>32</v>
      </c>
    </row>
    <row r="179" spans="1:3" x14ac:dyDescent="0.35">
      <c r="A179" s="65" t="s">
        <v>480</v>
      </c>
      <c r="B179" s="51">
        <f>'20'!L20</f>
        <v>-0.15755000000001473</v>
      </c>
      <c r="C179" s="70">
        <v>21</v>
      </c>
    </row>
    <row r="180" spans="1:3" x14ac:dyDescent="0.35">
      <c r="A180" s="65" t="s">
        <v>830</v>
      </c>
      <c r="B180" s="51">
        <f>'39'!L24+'40'!L8</f>
        <v>2.1206666666666365</v>
      </c>
      <c r="C180" s="70" t="s">
        <v>853</v>
      </c>
    </row>
    <row r="181" spans="1:3" x14ac:dyDescent="0.35">
      <c r="A181" s="65" t="s">
        <v>585</v>
      </c>
      <c r="B181" s="51">
        <f>'28'!L12</f>
        <v>-0.14359999999999218</v>
      </c>
      <c r="C181" s="70">
        <v>29</v>
      </c>
    </row>
    <row r="182" spans="1:3" x14ac:dyDescent="0.35">
      <c r="A182" s="65" t="s">
        <v>251</v>
      </c>
      <c r="B182" s="51">
        <f>'7'!L22</f>
        <v>0.30279999999993379</v>
      </c>
      <c r="C182" s="70">
        <v>7</v>
      </c>
    </row>
    <row r="183" spans="1:3" x14ac:dyDescent="0.35">
      <c r="A183" s="236" t="s">
        <v>1015</v>
      </c>
      <c r="B183" s="51">
        <f>'4'!L31+'5'!L22+'6'!L10+'14'!L35+'21'!L24+'40'!L16+'50'!L22</f>
        <v>6.8398573333333275</v>
      </c>
      <c r="C183" s="70" t="s">
        <v>1021</v>
      </c>
    </row>
    <row r="184" spans="1:3" x14ac:dyDescent="0.35">
      <c r="A184" s="65" t="s">
        <v>455</v>
      </c>
      <c r="B184" s="51">
        <f>'18'!L9</f>
        <v>0.20499999999992724</v>
      </c>
      <c r="C184" s="70">
        <v>19</v>
      </c>
    </row>
    <row r="185" spans="1:3" x14ac:dyDescent="0.35">
      <c r="A185" s="65" t="s">
        <v>641</v>
      </c>
      <c r="B185" s="51">
        <f>'30'!L25</f>
        <v>-0.40159999999991669</v>
      </c>
      <c r="C185" s="70">
        <v>31</v>
      </c>
    </row>
    <row r="186" spans="1:3" x14ac:dyDescent="0.35">
      <c r="A186" s="65" t="s">
        <v>728</v>
      </c>
      <c r="B186" s="51">
        <f>'34'!L18</f>
        <v>0.22497999999995955</v>
      </c>
      <c r="C186" s="70">
        <v>35</v>
      </c>
    </row>
    <row r="187" spans="1:3" x14ac:dyDescent="0.35">
      <c r="A187" s="65" t="s">
        <v>780</v>
      </c>
      <c r="B187" s="51">
        <f>'37'!L8</f>
        <v>-6.0313333333340324E-2</v>
      </c>
      <c r="C187" s="70">
        <v>38</v>
      </c>
    </row>
    <row r="188" spans="1:3" x14ac:dyDescent="0.35">
      <c r="A188" s="239" t="s">
        <v>707</v>
      </c>
      <c r="B188" s="51">
        <f>'33'!L8+'37'!L12+'40'!L21+'49'!L30</f>
        <v>188.54347666666672</v>
      </c>
      <c r="C188" s="70" t="s">
        <v>998</v>
      </c>
    </row>
    <row r="189" spans="1:3" x14ac:dyDescent="0.35">
      <c r="A189" s="65" t="s">
        <v>27</v>
      </c>
      <c r="B189" s="51">
        <f>'2итог'!L51+'3'!L18+'3'!L15+'4'!L65</f>
        <v>14.655219999999872</v>
      </c>
      <c r="C189" s="70" t="s">
        <v>184</v>
      </c>
    </row>
    <row r="190" spans="1:3" x14ac:dyDescent="0.35">
      <c r="A190" s="65" t="s">
        <v>36</v>
      </c>
      <c r="B190" s="51">
        <f>'2итог'!L72+'3'!L78</f>
        <v>6.7244199999999523</v>
      </c>
      <c r="C190" s="70" t="s">
        <v>185</v>
      </c>
    </row>
    <row r="191" spans="1:3" x14ac:dyDescent="0.35">
      <c r="A191" s="65" t="s">
        <v>104</v>
      </c>
      <c r="B191" s="51">
        <f>'3'!L41+'4'!L77+'5'!L14+'8'!L19+'9'!L8+'15'!L18+'21'!L20</f>
        <v>0.72930000000025075</v>
      </c>
      <c r="C191" s="70" t="s">
        <v>501</v>
      </c>
    </row>
    <row r="192" spans="1:3" x14ac:dyDescent="0.35">
      <c r="A192" s="65" t="s">
        <v>146</v>
      </c>
      <c r="B192" s="51">
        <f>'4'!L97</f>
        <v>0.31649999999990541</v>
      </c>
      <c r="C192" s="70">
        <v>4</v>
      </c>
    </row>
    <row r="193" spans="1:3" x14ac:dyDescent="0.35">
      <c r="A193" s="65" t="s">
        <v>931</v>
      </c>
      <c r="B193" s="51">
        <f>'46'!L6+'47'!L14</f>
        <v>-63.913825999999972</v>
      </c>
      <c r="C193" s="70" t="s">
        <v>968</v>
      </c>
    </row>
    <row r="194" spans="1:3" x14ac:dyDescent="0.35">
      <c r="A194" s="65" t="s">
        <v>385</v>
      </c>
      <c r="B194" s="51">
        <f>'14'!L12</f>
        <v>0.47583400000030451</v>
      </c>
      <c r="C194" s="70">
        <v>14</v>
      </c>
    </row>
    <row r="195" spans="1:3" x14ac:dyDescent="0.35">
      <c r="A195" s="65" t="s">
        <v>23</v>
      </c>
      <c r="B195" s="51">
        <f>'2итог'!L30+'3'!L94+'4'!L10+'20'!L28+'38'!L10</f>
        <v>-3.048000000006823E-2</v>
      </c>
      <c r="C195" s="70" t="s">
        <v>815</v>
      </c>
    </row>
    <row r="196" spans="1:3" x14ac:dyDescent="0.35">
      <c r="A196" s="239" t="s">
        <v>981</v>
      </c>
      <c r="B196" s="51">
        <f>'49'!L24</f>
        <v>-0.25070000000005166</v>
      </c>
      <c r="C196" s="70">
        <v>50</v>
      </c>
    </row>
    <row r="197" spans="1:3" x14ac:dyDescent="0.35">
      <c r="A197" s="65" t="s">
        <v>755</v>
      </c>
      <c r="B197" s="51">
        <f>'35'!L10</f>
        <v>1106.568</v>
      </c>
      <c r="C197" s="70">
        <v>36</v>
      </c>
    </row>
    <row r="198" spans="1:3" x14ac:dyDescent="0.35">
      <c r="A198" s="65" t="s">
        <v>863</v>
      </c>
      <c r="B198" s="51">
        <f>'41'!L23+'45'!L6</f>
        <v>42.93527000000006</v>
      </c>
      <c r="C198" s="70" t="s">
        <v>929</v>
      </c>
    </row>
    <row r="199" spans="1:3" x14ac:dyDescent="0.35">
      <c r="A199" s="65" t="s">
        <v>893</v>
      </c>
      <c r="B199" s="51">
        <f>'42'!L28</f>
        <v>3.5413959999996223</v>
      </c>
      <c r="C199" s="70">
        <v>43</v>
      </c>
    </row>
    <row r="200" spans="1:3" x14ac:dyDescent="0.35">
      <c r="A200" s="65" t="s">
        <v>195</v>
      </c>
      <c r="B200" s="51">
        <f>'5'!L16+'6'!L16+'14'!L41+'39'!L10</f>
        <v>84.023439999999937</v>
      </c>
      <c r="C200" s="70" t="s">
        <v>835</v>
      </c>
    </row>
    <row r="201" spans="1:3" x14ac:dyDescent="0.35">
      <c r="A201" s="65" t="s">
        <v>660</v>
      </c>
      <c r="B201" s="51">
        <f>'31'!L14</f>
        <v>2.6883333333333326</v>
      </c>
      <c r="C201" s="70">
        <v>32</v>
      </c>
    </row>
    <row r="202" spans="1:3" x14ac:dyDescent="0.35">
      <c r="A202" s="65" t="s">
        <v>935</v>
      </c>
      <c r="B202" s="51">
        <f>'46'!L10</f>
        <v>0.12015999999994165</v>
      </c>
      <c r="C202" s="70">
        <v>47</v>
      </c>
    </row>
    <row r="203" spans="1:3" x14ac:dyDescent="0.35">
      <c r="A203" s="65" t="s">
        <v>693</v>
      </c>
      <c r="B203" s="51">
        <f>'32'!L26</f>
        <v>-12.987500000000182</v>
      </c>
      <c r="C203" s="70">
        <v>33</v>
      </c>
    </row>
    <row r="204" spans="1:3" x14ac:dyDescent="0.35">
      <c r="A204" s="65" t="s">
        <v>732</v>
      </c>
      <c r="B204" s="51">
        <f>'34'!L28+'35'!L6</f>
        <v>27.733160000000225</v>
      </c>
      <c r="C204" s="70" t="s">
        <v>765</v>
      </c>
    </row>
    <row r="205" spans="1:3" x14ac:dyDescent="0.35">
      <c r="A205" s="65" t="s">
        <v>296</v>
      </c>
      <c r="B205" s="51">
        <f>'9'!L6</f>
        <v>0.37600000000000477</v>
      </c>
      <c r="C205" s="70">
        <v>9</v>
      </c>
    </row>
    <row r="206" spans="1:3" x14ac:dyDescent="0.35">
      <c r="A206" s="65" t="s">
        <v>180</v>
      </c>
      <c r="B206" s="51">
        <f>'4'!L18</f>
        <v>4.1119999999999948</v>
      </c>
      <c r="C206" s="70">
        <v>4</v>
      </c>
    </row>
    <row r="207" spans="1:3" x14ac:dyDescent="0.35">
      <c r="A207" s="65" t="s">
        <v>552</v>
      </c>
      <c r="B207" s="51">
        <f>'26'!L11</f>
        <v>0.17039999999997235</v>
      </c>
      <c r="C207" s="70">
        <v>27</v>
      </c>
    </row>
    <row r="208" spans="1:3" x14ac:dyDescent="0.35">
      <c r="A208" s="65" t="s">
        <v>914</v>
      </c>
      <c r="B208" s="51">
        <f>'44'!L8</f>
        <v>2.6502500000000282</v>
      </c>
      <c r="C208" s="70">
        <v>45</v>
      </c>
    </row>
    <row r="209" spans="1:3" x14ac:dyDescent="0.35">
      <c r="A209" s="65" t="s">
        <v>482</v>
      </c>
      <c r="B209" s="51">
        <f>'20'!L26+'37'!L18+'41'!L15+'47'!L8</f>
        <v>-17.608371333333594</v>
      </c>
      <c r="C209" s="70" t="s">
        <v>967</v>
      </c>
    </row>
    <row r="210" spans="1:3" x14ac:dyDescent="0.35">
      <c r="A210" s="65" t="s">
        <v>659</v>
      </c>
      <c r="B210" s="51">
        <f>'31'!L12</f>
        <v>2.6883333333333326</v>
      </c>
      <c r="C210" s="70">
        <v>32</v>
      </c>
    </row>
    <row r="211" spans="1:3" x14ac:dyDescent="0.35">
      <c r="A211" s="65" t="s">
        <v>117</v>
      </c>
      <c r="B211" s="51">
        <f>'3'!L84</f>
        <v>0.38571999999993523</v>
      </c>
      <c r="C211" s="70">
        <v>3</v>
      </c>
    </row>
    <row r="212" spans="1:3" x14ac:dyDescent="0.35">
      <c r="A212" s="239" t="s">
        <v>525</v>
      </c>
      <c r="B212" s="51">
        <f>'22'!L51</f>
        <v>0.36810000000002674</v>
      </c>
      <c r="C212" s="70">
        <v>23</v>
      </c>
    </row>
  </sheetData>
  <sortState ref="A2:D216">
    <sortCondition ref="A2:A216"/>
  </sortState>
  <hyperlinks>
    <hyperlink ref="A176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41623</v>
      </c>
      <c r="D1" s="30"/>
    </row>
    <row r="2" spans="1:12" ht="37.5" x14ac:dyDescent="0.5">
      <c r="A2" s="55" t="s">
        <v>239</v>
      </c>
      <c r="B2" s="4"/>
      <c r="C2" s="16">
        <v>6835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3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" x14ac:dyDescent="0.6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3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3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x14ac:dyDescent="0.3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x14ac:dyDescent="0.3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3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3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29" x14ac:dyDescent="0.3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" x14ac:dyDescent="0.6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3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3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3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3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3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" x14ac:dyDescent="0.6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3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3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" x14ac:dyDescent="0.6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3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3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29" x14ac:dyDescent="0.3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" x14ac:dyDescent="0.6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3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" x14ac:dyDescent="0.6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3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3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" x14ac:dyDescent="0.6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3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3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3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3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3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3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" x14ac:dyDescent="0.6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3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x14ac:dyDescent="0.3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" x14ac:dyDescent="0.6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3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3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3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3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3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3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3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41626</v>
      </c>
      <c r="D1" s="30"/>
    </row>
    <row r="2" spans="1:12" ht="37.5" x14ac:dyDescent="0.5">
      <c r="A2" s="55" t="s">
        <v>239</v>
      </c>
      <c r="B2" s="4"/>
      <c r="C2" s="16">
        <v>6910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3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" x14ac:dyDescent="0.6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3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3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" x14ac:dyDescent="0.6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3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3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3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3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" x14ac:dyDescent="0.6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3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3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3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" x14ac:dyDescent="0.6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3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3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4.5" x14ac:dyDescent="0.35"/>
  <cols>
    <col min="1" max="1" width="39.1796875" customWidth="1"/>
    <col min="3" max="3" width="11.26953125" customWidth="1"/>
    <col min="10" max="10" width="11.81640625" customWidth="1"/>
    <col min="11" max="11" width="12.1796875" customWidth="1"/>
    <col min="12" max="12" width="13.26953125" customWidth="1"/>
  </cols>
  <sheetData>
    <row r="1" spans="1:13" ht="21" x14ac:dyDescent="0.5">
      <c r="A1" s="55" t="s">
        <v>281</v>
      </c>
      <c r="B1" s="4"/>
      <c r="C1" s="15">
        <v>41669</v>
      </c>
      <c r="D1" s="30"/>
    </row>
    <row r="2" spans="1:13" ht="21" x14ac:dyDescent="0.5">
      <c r="A2" s="55" t="s">
        <v>239</v>
      </c>
      <c r="B2" s="4"/>
      <c r="C2" s="16">
        <v>7110</v>
      </c>
      <c r="D2" s="30"/>
    </row>
    <row r="3" spans="1:13" ht="21" x14ac:dyDescent="0.5">
      <c r="A3" s="55" t="s">
        <v>240</v>
      </c>
      <c r="B3" s="4"/>
      <c r="C3" s="16">
        <v>3.2500000000000001E-2</v>
      </c>
      <c r="D3" s="30"/>
    </row>
    <row r="5" spans="1:13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3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3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3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3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" x14ac:dyDescent="0.6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3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3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3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" x14ac:dyDescent="0.6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3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4.5" x14ac:dyDescent="0.35"/>
  <cols>
    <col min="1" max="1" width="36.453125" customWidth="1"/>
    <col min="2" max="2" width="18.81640625" customWidth="1"/>
    <col min="3" max="3" width="14.81640625" customWidth="1"/>
    <col min="10" max="10" width="10" customWidth="1"/>
    <col min="11" max="11" width="10.7265625" customWidth="1"/>
    <col min="12" max="12" width="12.26953125" customWidth="1"/>
  </cols>
  <sheetData>
    <row r="1" spans="1:13" ht="21" x14ac:dyDescent="0.5">
      <c r="A1" s="55" t="s">
        <v>281</v>
      </c>
      <c r="B1" s="4"/>
      <c r="C1" s="15">
        <v>41689</v>
      </c>
      <c r="D1" s="30"/>
    </row>
    <row r="2" spans="1:13" ht="21" x14ac:dyDescent="0.5">
      <c r="A2" s="55" t="s">
        <v>239</v>
      </c>
      <c r="B2" s="4"/>
      <c r="C2" s="16">
        <v>6645</v>
      </c>
      <c r="D2" s="30"/>
    </row>
    <row r="3" spans="1:13" ht="21" x14ac:dyDescent="0.5">
      <c r="A3" s="55" t="s">
        <v>217</v>
      </c>
      <c r="B3" s="4"/>
      <c r="C3" s="16">
        <v>3.4099999999999998E-2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3" t="s">
        <v>419</v>
      </c>
    </row>
    <row r="7" spans="1:13" x14ac:dyDescent="0.3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3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3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3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3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3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" x14ac:dyDescent="0.6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3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3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3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" x14ac:dyDescent="0.6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3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3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" x14ac:dyDescent="0.6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3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3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" x14ac:dyDescent="0.6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3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3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" x14ac:dyDescent="0.6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3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3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" x14ac:dyDescent="0.6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3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3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" x14ac:dyDescent="0.6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3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" x14ac:dyDescent="0.6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3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" x14ac:dyDescent="0.6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3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" x14ac:dyDescent="0.6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3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3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" x14ac:dyDescent="0.6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" thickBot="1" x14ac:dyDescent="0.4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2" ht="21" x14ac:dyDescent="0.5">
      <c r="A1" s="55" t="s">
        <v>281</v>
      </c>
      <c r="B1" s="4"/>
      <c r="C1" s="15">
        <v>41737</v>
      </c>
      <c r="D1" s="30"/>
    </row>
    <row r="2" spans="1:12" ht="21" x14ac:dyDescent="0.5">
      <c r="A2" s="55" t="s">
        <v>239</v>
      </c>
      <c r="B2" s="4"/>
      <c r="C2" s="16">
        <v>6320</v>
      </c>
      <c r="D2" s="30"/>
    </row>
    <row r="3" spans="1:12" ht="21" x14ac:dyDescent="0.5">
      <c r="A3" s="55" t="s">
        <v>240</v>
      </c>
      <c r="B3" s="4"/>
      <c r="C3" s="16">
        <v>3.4000000000000002E-2</v>
      </c>
      <c r="D3" s="30"/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35">
      <c r="A7" s="39" t="s">
        <v>57</v>
      </c>
      <c r="B7" s="114">
        <v>1</v>
      </c>
      <c r="C7" s="115">
        <v>15000</v>
      </c>
      <c r="D7" s="37">
        <f t="shared" ref="D7:D9" si="1"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35">
      <c r="A8" s="39" t="s">
        <v>366</v>
      </c>
      <c r="B8" s="114">
        <v>1</v>
      </c>
      <c r="C8" s="115">
        <v>12350</v>
      </c>
      <c r="D8" s="37">
        <f t="shared" si="1"/>
        <v>12350</v>
      </c>
      <c r="E8" s="39">
        <f t="shared" ref="E8:E9" si="2">D8*0.05</f>
        <v>617.5</v>
      </c>
      <c r="F8" s="114">
        <v>2500</v>
      </c>
      <c r="G8" s="115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35">
      <c r="A9" s="39" t="s">
        <v>358</v>
      </c>
      <c r="B9" s="114">
        <v>1</v>
      </c>
      <c r="C9" s="115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8">
        <v>0</v>
      </c>
      <c r="G9" s="115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" x14ac:dyDescent="0.6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35">
      <c r="A11" s="39" t="s">
        <v>358</v>
      </c>
      <c r="B11" s="114">
        <v>1</v>
      </c>
      <c r="C11" s="115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3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" x14ac:dyDescent="0.7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3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3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" x14ac:dyDescent="0.7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3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" x14ac:dyDescent="0.7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3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" x14ac:dyDescent="0.6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3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" x14ac:dyDescent="0.6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3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" x14ac:dyDescent="0.6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3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" x14ac:dyDescent="0.6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" thickBot="1" x14ac:dyDescent="0.4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3" ht="21" x14ac:dyDescent="0.5">
      <c r="A1" s="55" t="s">
        <v>281</v>
      </c>
      <c r="B1" s="4"/>
      <c r="C1" s="15">
        <v>41744</v>
      </c>
      <c r="D1" s="30"/>
    </row>
    <row r="2" spans="1:13" ht="21" x14ac:dyDescent="0.5">
      <c r="A2" s="55" t="s">
        <v>239</v>
      </c>
      <c r="B2" s="4"/>
      <c r="C2" s="16">
        <v>6640</v>
      </c>
      <c r="D2" s="30"/>
    </row>
    <row r="3" spans="1:13" ht="21" x14ac:dyDescent="0.5">
      <c r="A3" s="55" t="s">
        <v>240</v>
      </c>
      <c r="B3" s="4"/>
      <c r="C3" s="16">
        <v>3.533E-2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3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3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3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3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3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" x14ac:dyDescent="0.7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35">
      <c r="A13" s="121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35">
      <c r="A14" s="121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35">
      <c r="A15" s="121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35">
      <c r="A16" s="121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" x14ac:dyDescent="0.7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35">
      <c r="A18" s="121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35">
      <c r="A19" s="121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35">
      <c r="A20" s="121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35">
      <c r="A21" s="121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5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" x14ac:dyDescent="0.7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35">
      <c r="A23" s="121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35">
      <c r="A24" s="121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35">
      <c r="A25" s="121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5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" x14ac:dyDescent="0.7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35">
      <c r="A27" s="121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35">
      <c r="A28" s="121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35">
      <c r="A29" s="121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" x14ac:dyDescent="0.6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35">
      <c r="A31" s="121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35">
      <c r="A32" s="121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" x14ac:dyDescent="0.6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35">
      <c r="A34" s="121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" x14ac:dyDescent="0.6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35">
      <c r="A36" s="121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" x14ac:dyDescent="0.6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35">
      <c r="A38" s="121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" x14ac:dyDescent="0.7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35">
      <c r="A40" s="121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" x14ac:dyDescent="0.7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29" x14ac:dyDescent="0.35">
      <c r="A42" s="121" t="s">
        <v>375</v>
      </c>
      <c r="B42" s="114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" x14ac:dyDescent="0.6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35">
      <c r="A44" s="121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" x14ac:dyDescent="0.6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35">
      <c r="A46" s="122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" x14ac:dyDescent="0.7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" thickBot="1" x14ac:dyDescent="0.4">
      <c r="A48" s="121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4.5" x14ac:dyDescent="0.35"/>
  <cols>
    <col min="1" max="1" width="32" bestFit="1" customWidth="1"/>
    <col min="2" max="2" width="8.1796875" customWidth="1"/>
    <col min="3" max="3" width="11.26953125" bestFit="1" customWidth="1"/>
    <col min="6" max="6" width="11" customWidth="1"/>
    <col min="7" max="7" width="7.1796875" customWidth="1"/>
    <col min="10" max="10" width="11.26953125" customWidth="1"/>
    <col min="11" max="11" width="13.26953125" customWidth="1"/>
    <col min="12" max="12" width="11.7265625" customWidth="1"/>
  </cols>
  <sheetData>
    <row r="1" spans="1:13" ht="21" x14ac:dyDescent="0.5">
      <c r="A1" s="55" t="s">
        <v>281</v>
      </c>
      <c r="B1" s="4"/>
      <c r="C1" s="15">
        <v>41777</v>
      </c>
      <c r="D1" s="30"/>
    </row>
    <row r="2" spans="1:13" ht="21" x14ac:dyDescent="0.5">
      <c r="A2" s="55" t="s">
        <v>239</v>
      </c>
      <c r="B2" s="4"/>
      <c r="C2" s="16">
        <v>6780</v>
      </c>
      <c r="D2" s="30"/>
    </row>
    <row r="3" spans="1:13" ht="21" x14ac:dyDescent="0.5">
      <c r="A3" s="55" t="s">
        <v>240</v>
      </c>
      <c r="B3" s="4"/>
      <c r="C3" s="16">
        <v>3.4529999999999998E-2</v>
      </c>
      <c r="D3" s="30"/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35">
      <c r="A7" s="130" t="s">
        <v>406</v>
      </c>
      <c r="B7" s="114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" x14ac:dyDescent="0.7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3" t="s">
        <v>420</v>
      </c>
    </row>
    <row r="9" spans="1:13" x14ac:dyDescent="0.3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" x14ac:dyDescent="0.7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35">
      <c r="A11" s="130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" x14ac:dyDescent="0.7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35">
      <c r="A13" s="130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" x14ac:dyDescent="0.7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35">
      <c r="A15" s="130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" x14ac:dyDescent="0.7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35">
      <c r="A17" s="130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" x14ac:dyDescent="0.7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3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3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" x14ac:dyDescent="0.7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35">
      <c r="A22" s="130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3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" x14ac:dyDescent="0.7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35">
      <c r="A25" s="130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" thickBot="1" x14ac:dyDescent="0.4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4.5" x14ac:dyDescent="0.35"/>
  <cols>
    <col min="1" max="1" width="33" customWidth="1"/>
    <col min="3" max="3" width="17.7265625" customWidth="1"/>
    <col min="10" max="10" width="10.7265625" customWidth="1"/>
    <col min="11" max="11" width="9.54296875" bestFit="1" customWidth="1"/>
    <col min="12" max="12" width="11.453125" customWidth="1"/>
  </cols>
  <sheetData>
    <row r="1" spans="1:13" ht="21" x14ac:dyDescent="0.5">
      <c r="A1" s="55" t="s">
        <v>281</v>
      </c>
      <c r="B1" s="4"/>
      <c r="C1" s="15">
        <v>41817</v>
      </c>
      <c r="D1" s="30"/>
    </row>
    <row r="2" spans="1:13" ht="21" x14ac:dyDescent="0.5">
      <c r="A2" s="55" t="s">
        <v>239</v>
      </c>
      <c r="B2" s="4"/>
      <c r="C2" s="16">
        <v>7420</v>
      </c>
      <c r="D2" s="30"/>
    </row>
    <row r="3" spans="1:13" ht="21" x14ac:dyDescent="0.5">
      <c r="A3" s="55" t="s">
        <v>240</v>
      </c>
      <c r="B3" s="4"/>
      <c r="C3" s="16">
        <v>3.3779999999999998E-2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3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" x14ac:dyDescent="0.7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3"/>
    </row>
    <row r="9" spans="1:13" x14ac:dyDescent="0.35">
      <c r="A9" s="130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" x14ac:dyDescent="0.7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35">
      <c r="A11" s="39" t="s">
        <v>423</v>
      </c>
      <c r="B11" s="134">
        <v>1</v>
      </c>
      <c r="C11" s="135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" x14ac:dyDescent="0.7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35">
      <c r="A13" s="39" t="s">
        <v>424</v>
      </c>
      <c r="B13" s="134">
        <v>1</v>
      </c>
      <c r="C13" s="135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" x14ac:dyDescent="0.7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3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" x14ac:dyDescent="0.7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3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" x14ac:dyDescent="0.7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3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3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" x14ac:dyDescent="0.7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35">
      <c r="A22" s="130" t="s">
        <v>432</v>
      </c>
      <c r="B22" s="136">
        <v>1</v>
      </c>
      <c r="C22" s="137">
        <v>18400</v>
      </c>
      <c r="D22" s="37">
        <f t="shared" ref="D22" si="18">B22*C22</f>
        <v>18400</v>
      </c>
      <c r="E22" s="39">
        <f t="shared" ref="E22" si="19"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35">
      <c r="A23" s="130" t="s">
        <v>433</v>
      </c>
      <c r="B23" s="136">
        <v>1</v>
      </c>
      <c r="C23" s="137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4">
        <v>0</v>
      </c>
      <c r="G23" s="137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" thickBot="1" x14ac:dyDescent="0.4">
      <c r="A24" s="130" t="s">
        <v>434</v>
      </c>
      <c r="B24" s="138">
        <v>1</v>
      </c>
      <c r="C24" s="139">
        <v>22400</v>
      </c>
      <c r="D24" s="37">
        <f t="shared" si="20"/>
        <v>22400</v>
      </c>
      <c r="E24" s="39">
        <f t="shared" si="21"/>
        <v>2240</v>
      </c>
      <c r="F24" s="140">
        <v>0</v>
      </c>
      <c r="G24" s="139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4.5" x14ac:dyDescent="0.35"/>
  <cols>
    <col min="1" max="1" width="34.54296875" customWidth="1"/>
    <col min="3" max="3" width="18.453125" customWidth="1"/>
    <col min="10" max="10" width="10.1796875" customWidth="1"/>
    <col min="11" max="11" width="15.453125" customWidth="1"/>
    <col min="12" max="12" width="10.7265625" customWidth="1"/>
  </cols>
  <sheetData>
    <row r="1" spans="1:13" ht="21" x14ac:dyDescent="0.5">
      <c r="A1" s="55" t="s">
        <v>281</v>
      </c>
      <c r="B1" s="4"/>
      <c r="C1" s="15">
        <v>41834</v>
      </c>
      <c r="D1" s="30"/>
    </row>
    <row r="2" spans="1:13" ht="21" x14ac:dyDescent="0.5">
      <c r="A2" s="55" t="s">
        <v>239</v>
      </c>
      <c r="B2" s="4"/>
      <c r="C2" s="16">
        <v>7550</v>
      </c>
      <c r="D2" s="30"/>
    </row>
    <row r="3" spans="1:13" ht="21" x14ac:dyDescent="0.5">
      <c r="A3" s="55" t="s">
        <v>240</v>
      </c>
      <c r="B3" s="4"/>
      <c r="C3" s="16">
        <v>3.4200000000000001E-2</v>
      </c>
      <c r="D3" s="30"/>
    </row>
    <row r="5" spans="1:13" ht="15" thickBot="1" x14ac:dyDescent="0.4"/>
    <row r="6" spans="1:13" ht="58" x14ac:dyDescent="0.3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" x14ac:dyDescent="0.7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35">
      <c r="A8" s="130" t="s">
        <v>67</v>
      </c>
      <c r="B8" s="136">
        <v>1</v>
      </c>
      <c r="C8" s="137">
        <v>10900</v>
      </c>
      <c r="D8" s="37">
        <f t="shared" ref="D8:D12" si="0">B8*C8</f>
        <v>10900</v>
      </c>
      <c r="E8" s="39">
        <f t="shared" ref="E8:E12" si="1"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35">
      <c r="A9" s="130" t="s">
        <v>199</v>
      </c>
      <c r="B9" s="136">
        <v>1</v>
      </c>
      <c r="C9" s="137">
        <v>7200</v>
      </c>
      <c r="D9" s="37">
        <f t="shared" ref="D9:D10" si="2">B9*C9</f>
        <v>7200</v>
      </c>
      <c r="E9" s="39">
        <f t="shared" ref="E9:E10" si="3">D9*0.1</f>
        <v>720</v>
      </c>
      <c r="F9" s="114">
        <v>0</v>
      </c>
      <c r="G9" s="137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35">
      <c r="A10" s="130" t="s">
        <v>437</v>
      </c>
      <c r="B10" s="136">
        <v>1</v>
      </c>
      <c r="C10" s="137">
        <v>7900</v>
      </c>
      <c r="D10" s="37">
        <f t="shared" si="2"/>
        <v>7900</v>
      </c>
      <c r="E10" s="39">
        <f t="shared" si="3"/>
        <v>790</v>
      </c>
      <c r="F10" s="114">
        <v>2500</v>
      </c>
      <c r="G10" s="137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3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35">
      <c r="A12" s="130" t="s">
        <v>105</v>
      </c>
      <c r="B12" s="136">
        <v>1</v>
      </c>
      <c r="C12" s="137">
        <v>11800</v>
      </c>
      <c r="D12" s="37">
        <f t="shared" si="0"/>
        <v>11800</v>
      </c>
      <c r="E12" s="39">
        <f t="shared" si="1"/>
        <v>1180</v>
      </c>
      <c r="F12" s="114">
        <v>0</v>
      </c>
      <c r="G12" s="137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" x14ac:dyDescent="0.7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35">
      <c r="A14" s="130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35">
      <c r="A15" s="130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3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" x14ac:dyDescent="0.7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2" t="s">
        <v>453</v>
      </c>
    </row>
    <row r="18" spans="1:13" x14ac:dyDescent="0.35">
      <c r="A18" s="39" t="s">
        <v>450</v>
      </c>
      <c r="B18" s="114">
        <v>1</v>
      </c>
      <c r="C18" s="115">
        <v>11900</v>
      </c>
      <c r="D18" s="37">
        <f t="shared" ref="D18" si="16"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" x14ac:dyDescent="0.7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3"/>
    </row>
    <row r="20" spans="1:13" x14ac:dyDescent="0.35">
      <c r="A20" s="39" t="s">
        <v>442</v>
      </c>
      <c r="B20" s="125">
        <v>5</v>
      </c>
      <c r="C20" s="115">
        <v>5700</v>
      </c>
      <c r="D20" s="37">
        <f t="shared" ref="D20" si="18"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" x14ac:dyDescent="0.7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3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" x14ac:dyDescent="0.7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3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" x14ac:dyDescent="0.7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3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" x14ac:dyDescent="0.7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3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" x14ac:dyDescent="0.7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35">
      <c r="A30" s="39" t="s">
        <v>444</v>
      </c>
      <c r="B30" s="114">
        <v>3</v>
      </c>
      <c r="C30" s="115">
        <v>5900</v>
      </c>
      <c r="D30" s="37">
        <f t="shared" ref="D30" si="28"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" x14ac:dyDescent="0.7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" thickBot="1" x14ac:dyDescent="0.4">
      <c r="A32" s="39" t="s">
        <v>430</v>
      </c>
      <c r="B32" s="140">
        <v>1</v>
      </c>
      <c r="C32" s="148">
        <f>11900/3</f>
        <v>3966.6666666666665</v>
      </c>
      <c r="D32" s="141">
        <f t="shared" ref="D32" si="30"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4.5" x14ac:dyDescent="0.35"/>
  <cols>
    <col min="1" max="1" width="36.54296875" customWidth="1"/>
    <col min="3" max="3" width="19.54296875" customWidth="1"/>
    <col min="11" max="11" width="11.7265625" customWidth="1"/>
    <col min="12" max="12" width="11.54296875" customWidth="1"/>
  </cols>
  <sheetData>
    <row r="1" spans="1:13" ht="21" x14ac:dyDescent="0.5">
      <c r="A1" s="55" t="s">
        <v>281</v>
      </c>
      <c r="B1" s="4"/>
      <c r="C1" s="15">
        <v>41847</v>
      </c>
      <c r="D1" s="30"/>
    </row>
    <row r="2" spans="1:13" ht="21" x14ac:dyDescent="0.5">
      <c r="A2" s="55" t="s">
        <v>239</v>
      </c>
      <c r="B2" s="4"/>
      <c r="C2" s="16">
        <v>7470</v>
      </c>
      <c r="D2" s="30"/>
    </row>
    <row r="3" spans="1:13" ht="21" x14ac:dyDescent="0.5">
      <c r="A3" s="55" t="s">
        <v>240</v>
      </c>
      <c r="B3" s="4"/>
      <c r="C3" s="16">
        <v>3.5000000000000003E-2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3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3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" x14ac:dyDescent="0.7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2"/>
    </row>
    <row r="10" spans="1:13" x14ac:dyDescent="0.3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" x14ac:dyDescent="0.7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3"/>
    </row>
    <row r="12" spans="1:13" x14ac:dyDescent="0.3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" x14ac:dyDescent="0.7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3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7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f>30.3</f>
        <v>30.3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" x14ac:dyDescent="0.6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" x14ac:dyDescent="0.6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" x14ac:dyDescent="0.6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" x14ac:dyDescent="0.6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" x14ac:dyDescent="0.6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" x14ac:dyDescent="0.6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" x14ac:dyDescent="0.6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" x14ac:dyDescent="0.6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" x14ac:dyDescent="0.6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" x14ac:dyDescent="0.6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" x14ac:dyDescent="0.6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" x14ac:dyDescent="0.6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" x14ac:dyDescent="0.6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" x14ac:dyDescent="0.6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" x14ac:dyDescent="0.6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" x14ac:dyDescent="0.6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" x14ac:dyDescent="0.6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" x14ac:dyDescent="0.6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" x14ac:dyDescent="0.6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" x14ac:dyDescent="0.6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" x14ac:dyDescent="0.6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" x14ac:dyDescent="0.6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" x14ac:dyDescent="0.6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" x14ac:dyDescent="0.6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" x14ac:dyDescent="0.6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" x14ac:dyDescent="0.6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" x14ac:dyDescent="0.6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" x14ac:dyDescent="0.6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" x14ac:dyDescent="0.6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" x14ac:dyDescent="0.6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5" x14ac:dyDescent="0.45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9.54296875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41888</v>
      </c>
      <c r="D1" s="30"/>
    </row>
    <row r="2" spans="1:13" ht="21" x14ac:dyDescent="0.5">
      <c r="A2" s="55" t="s">
        <v>239</v>
      </c>
      <c r="B2" s="4"/>
      <c r="C2" s="16">
        <v>7500</v>
      </c>
      <c r="D2" s="30"/>
    </row>
    <row r="3" spans="1:13" ht="21" x14ac:dyDescent="0.5">
      <c r="A3" s="55" t="s">
        <v>240</v>
      </c>
      <c r="B3" s="4"/>
      <c r="C3" s="16">
        <v>3.5900000000000001E-2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35">
      <c r="A7" s="153" t="s">
        <v>461</v>
      </c>
      <c r="B7" s="153">
        <v>1</v>
      </c>
      <c r="C7" s="153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35">
      <c r="A8" s="153" t="s">
        <v>261</v>
      </c>
      <c r="B8" s="153">
        <v>1</v>
      </c>
      <c r="C8" s="153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3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" x14ac:dyDescent="0.7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3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3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" x14ac:dyDescent="0.7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3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3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" x14ac:dyDescent="0.7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2"/>
    </row>
    <row r="16" spans="1:13" x14ac:dyDescent="0.3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" x14ac:dyDescent="0.7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3"/>
    </row>
    <row r="18" spans="1:13" x14ac:dyDescent="0.3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" x14ac:dyDescent="0.7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3"/>
    </row>
    <row r="20" spans="1:13" x14ac:dyDescent="0.3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10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41898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3.7900000000000003E-2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3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3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3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3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" x14ac:dyDescent="0.7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3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3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3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" x14ac:dyDescent="0.7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3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3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" x14ac:dyDescent="0.7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2"/>
    </row>
    <row r="19" spans="1:13" x14ac:dyDescent="0.3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" x14ac:dyDescent="0.7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3"/>
    </row>
    <row r="21" spans="1:13" x14ac:dyDescent="0.3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" x14ac:dyDescent="0.7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3"/>
    </row>
    <row r="23" spans="1:13" x14ac:dyDescent="0.3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" x14ac:dyDescent="0.7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2"/>
    </row>
    <row r="25" spans="1:13" x14ac:dyDescent="0.3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" x14ac:dyDescent="0.7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3"/>
    </row>
    <row r="27" spans="1:13" x14ac:dyDescent="0.3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" x14ac:dyDescent="0.7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3"/>
    </row>
    <row r="29" spans="1:13" x14ac:dyDescent="0.3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" x14ac:dyDescent="0.7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3"/>
    </row>
    <row r="31" spans="1:13" x14ac:dyDescent="0.3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" x14ac:dyDescent="0.7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3"/>
    </row>
    <row r="33" spans="1:12" x14ac:dyDescent="0.3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4.5" x14ac:dyDescent="0.35"/>
  <cols>
    <col min="1" max="1" width="33.453125" customWidth="1"/>
    <col min="3" max="3" width="17.81640625" customWidth="1"/>
    <col min="10" max="10" width="13.453125" customWidth="1"/>
    <col min="11" max="11" width="13.26953125" customWidth="1"/>
    <col min="12" max="12" width="12.81640625" customWidth="1"/>
  </cols>
  <sheetData>
    <row r="1" spans="1:13" ht="21" x14ac:dyDescent="0.5">
      <c r="A1" s="55" t="s">
        <v>281</v>
      </c>
      <c r="B1" s="4"/>
      <c r="C1" s="15">
        <v>41919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3.8300000000000001E-2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3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3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3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" x14ac:dyDescent="0.7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2"/>
    </row>
    <row r="11" spans="1:13" x14ac:dyDescent="0.3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" x14ac:dyDescent="0.7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3"/>
    </row>
    <row r="13" spans="1:13" x14ac:dyDescent="0.3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" x14ac:dyDescent="0.7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3"/>
    </row>
    <row r="15" spans="1:13" x14ac:dyDescent="0.3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" x14ac:dyDescent="0.7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2"/>
    </row>
    <row r="17" spans="1:13" x14ac:dyDescent="0.3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" x14ac:dyDescent="0.7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3"/>
    </row>
    <row r="19" spans="1:13" x14ac:dyDescent="0.3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" x14ac:dyDescent="0.7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3"/>
    </row>
    <row r="21" spans="1:13" x14ac:dyDescent="0.3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" x14ac:dyDescent="0.7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3"/>
    </row>
    <row r="23" spans="1:13" x14ac:dyDescent="0.3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" x14ac:dyDescent="0.7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3" t="s">
        <v>503</v>
      </c>
    </row>
    <row r="25" spans="1:13" x14ac:dyDescent="0.3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" x14ac:dyDescent="0.7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3"/>
    </row>
    <row r="27" spans="1:13" x14ac:dyDescent="0.3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" x14ac:dyDescent="0.7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3"/>
    </row>
    <row r="29" spans="1:13" ht="15" thickBot="1" x14ac:dyDescent="0.4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41935</v>
      </c>
      <c r="D1" s="30"/>
    </row>
    <row r="2" spans="1:13" ht="21" x14ac:dyDescent="0.5">
      <c r="A2" s="55" t="s">
        <v>239</v>
      </c>
      <c r="B2" s="4"/>
      <c r="C2" s="16">
        <v>7100</v>
      </c>
      <c r="D2" s="30"/>
    </row>
    <row r="3" spans="1:13" ht="21" x14ac:dyDescent="0.5">
      <c r="A3" s="55" t="s">
        <v>240</v>
      </c>
      <c r="B3" s="4"/>
      <c r="C3" s="16">
        <v>4.0500000000000001E-2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3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3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3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3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2"/>
    </row>
    <row r="11" spans="1:13" ht="31" x14ac:dyDescent="0.7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3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3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3"/>
    </row>
    <row r="14" spans="1:13" ht="31" x14ac:dyDescent="0.7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3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3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" x14ac:dyDescent="0.7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3"/>
    </row>
    <row r="18" spans="1:13" x14ac:dyDescent="0.3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35">
      <c r="A19" s="158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" x14ac:dyDescent="0.7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3"/>
    </row>
    <row r="21" spans="1:13" x14ac:dyDescent="0.3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" x14ac:dyDescent="0.7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3"/>
    </row>
    <row r="23" spans="1:13" x14ac:dyDescent="0.3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" x14ac:dyDescent="0.7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3"/>
    </row>
    <row r="25" spans="1:13" x14ac:dyDescent="0.3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35">
      <c r="A26" s="158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" x14ac:dyDescent="0.7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3"/>
    </row>
    <row r="28" spans="1:13" x14ac:dyDescent="0.3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" x14ac:dyDescent="0.7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3"/>
    </row>
    <row r="30" spans="1:13" x14ac:dyDescent="0.3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" x14ac:dyDescent="0.7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35">
      <c r="A32" s="158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" x14ac:dyDescent="0.7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35">
      <c r="A34" s="158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" x14ac:dyDescent="0.7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35">
      <c r="A36" s="158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" x14ac:dyDescent="0.7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35">
      <c r="A38" s="158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" x14ac:dyDescent="0.7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35">
      <c r="A40" s="158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" x14ac:dyDescent="0.7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35">
      <c r="A42" s="158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" x14ac:dyDescent="0.7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35">
      <c r="A44" s="158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" x14ac:dyDescent="0.7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35">
      <c r="A46" s="159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" x14ac:dyDescent="0.7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35">
      <c r="A48" s="159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" x14ac:dyDescent="0.7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35">
      <c r="A50" s="159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" x14ac:dyDescent="0.7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35">
      <c r="A52" s="159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41962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4.2000000000000003E-2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3"/>
    </row>
    <row r="7" spans="1:13" x14ac:dyDescent="0.3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" x14ac:dyDescent="0.7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3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" x14ac:dyDescent="0.7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35">
      <c r="A11" s="4" t="s">
        <v>532</v>
      </c>
      <c r="B11" s="4">
        <v>5</v>
      </c>
      <c r="C11" s="161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" x14ac:dyDescent="0.7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3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" x14ac:dyDescent="0.7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3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5.0200000000000002E-2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3"/>
    </row>
    <row r="7" spans="1:13" x14ac:dyDescent="0.3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" x14ac:dyDescent="0.7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3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" x14ac:dyDescent="0.7">
      <c r="A10" s="142" t="s">
        <v>538</v>
      </c>
      <c r="B10" s="165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3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" x14ac:dyDescent="0.7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35">
      <c r="A13" s="39" t="s">
        <v>532</v>
      </c>
      <c r="B13" s="98">
        <v>5</v>
      </c>
      <c r="C13" s="162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2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" x14ac:dyDescent="0.7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35">
      <c r="A15" s="164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3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" x14ac:dyDescent="0.7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35">
      <c r="A17" s="164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" x14ac:dyDescent="0.7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35">
      <c r="A19" s="164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3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" thickBot="1" x14ac:dyDescent="0.4">
      <c r="A20" s="164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41999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6">
        <v>4.9000000000000002E-2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3"/>
    </row>
    <row r="7" spans="1:13" x14ac:dyDescent="0.3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" x14ac:dyDescent="0.7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3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3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" x14ac:dyDescent="0.7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3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" x14ac:dyDescent="0.7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3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42020</v>
      </c>
      <c r="D1" s="30"/>
    </row>
    <row r="2" spans="1:13" ht="21" x14ac:dyDescent="0.5">
      <c r="A2" s="55" t="s">
        <v>239</v>
      </c>
      <c r="B2" s="4"/>
      <c r="C2" s="16">
        <v>8220</v>
      </c>
      <c r="D2" s="30"/>
    </row>
    <row r="3" spans="1:13" ht="21" x14ac:dyDescent="0.5">
      <c r="A3" s="55" t="s">
        <v>240</v>
      </c>
      <c r="B3" s="4"/>
      <c r="C3" s="170">
        <v>6.1800000000000001E-2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1">
        <f t="shared" ref="L6" si="0">K6-J6</f>
        <v>-873.08860000000004</v>
      </c>
      <c r="M6" s="133"/>
    </row>
    <row r="7" spans="1:13" x14ac:dyDescent="0.35">
      <c r="A7" s="4" t="s">
        <v>550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67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" x14ac:dyDescent="0.7">
      <c r="A8" s="152" t="s">
        <v>331</v>
      </c>
      <c r="B8" s="151"/>
      <c r="C8" s="151"/>
      <c r="D8" s="2"/>
      <c r="E8" s="2"/>
      <c r="F8" s="166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568</v>
      </c>
    </row>
    <row r="9" spans="1:13" x14ac:dyDescent="0.35">
      <c r="A9" s="4" t="s">
        <v>551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68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35">
      <c r="A10" s="4" t="s">
        <v>565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68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" x14ac:dyDescent="0.7">
      <c r="A11" s="152" t="s">
        <v>552</v>
      </c>
      <c r="B11" s="151"/>
      <c r="C11" s="151"/>
      <c r="D11" s="2"/>
      <c r="E11" s="2"/>
      <c r="F11" s="166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35">
      <c r="A12" s="169" t="s">
        <v>566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67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35">
      <c r="A13" s="17" t="s">
        <v>553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68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35">
      <c r="A14" s="4" t="s">
        <v>554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68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" x14ac:dyDescent="0.7">
      <c r="A15" s="152" t="s">
        <v>364</v>
      </c>
      <c r="B15" s="151"/>
      <c r="C15" s="151"/>
      <c r="D15" s="2"/>
      <c r="E15" s="2"/>
      <c r="F15" s="166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35">
      <c r="A16" s="4" t="s">
        <v>555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68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35">
      <c r="A17" s="4" t="s">
        <v>565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68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35">
      <c r="A18" s="4" t="s">
        <v>556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68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35">
      <c r="A19" s="4" t="s">
        <v>557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68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" x14ac:dyDescent="0.7">
      <c r="A20" s="152" t="s">
        <v>558</v>
      </c>
      <c r="B20" s="151"/>
      <c r="C20" s="151"/>
      <c r="D20" s="2"/>
      <c r="E20" s="2"/>
      <c r="F20" s="166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567</v>
      </c>
    </row>
    <row r="21" spans="1:13" x14ac:dyDescent="0.35">
      <c r="A21" s="4" t="s">
        <v>559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68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" x14ac:dyDescent="0.7">
      <c r="A22" s="152" t="s">
        <v>560</v>
      </c>
      <c r="B22" s="151"/>
      <c r="C22" s="151"/>
      <c r="D22" s="2"/>
      <c r="E22" s="2"/>
      <c r="F22" s="166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35">
      <c r="A23" s="4" t="s">
        <v>561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68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" x14ac:dyDescent="0.7">
      <c r="A24" s="152" t="s">
        <v>562</v>
      </c>
      <c r="B24" s="151"/>
      <c r="C24" s="151"/>
      <c r="D24" s="2"/>
      <c r="E24" s="2"/>
      <c r="F24" s="166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35">
      <c r="A25" s="4" t="s">
        <v>563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68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35">
      <c r="A26" s="4" t="s">
        <v>564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68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42048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70">
        <v>6.0999999999999999E-2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3"/>
    </row>
    <row r="7" spans="1:13" x14ac:dyDescent="0.35">
      <c r="A7" s="5" t="s">
        <v>532</v>
      </c>
      <c r="B7" s="5">
        <v>5</v>
      </c>
      <c r="C7" s="161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" x14ac:dyDescent="0.7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3" t="s">
        <v>589</v>
      </c>
    </row>
    <row r="9" spans="1:13" x14ac:dyDescent="0.35">
      <c r="A9" s="5" t="s">
        <v>569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" x14ac:dyDescent="0.7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580</v>
      </c>
    </row>
    <row r="11" spans="1:13" x14ac:dyDescent="0.35">
      <c r="A11" s="4" t="s">
        <v>570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35">
      <c r="A12" s="4" t="s">
        <v>571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" x14ac:dyDescent="0.7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581</v>
      </c>
    </row>
    <row r="14" spans="1:13" x14ac:dyDescent="0.35">
      <c r="A14" s="4" t="s">
        <v>572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35">
      <c r="A15" s="4" t="s">
        <v>573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35">
      <c r="A16" s="4" t="s">
        <v>574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" x14ac:dyDescent="0.7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579</v>
      </c>
    </row>
    <row r="18" spans="1:13" x14ac:dyDescent="0.35">
      <c r="A18" s="17" t="s">
        <v>575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35">
      <c r="A19" s="17" t="s">
        <v>577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35">
      <c r="A20" s="17" t="s">
        <v>576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42076</v>
      </c>
      <c r="D1" s="30"/>
    </row>
    <row r="2" spans="1:13" ht="21" x14ac:dyDescent="0.5">
      <c r="A2" s="55" t="s">
        <v>239</v>
      </c>
      <c r="B2" s="4"/>
      <c r="C2" s="16">
        <v>8530</v>
      </c>
      <c r="D2" s="30"/>
    </row>
    <row r="3" spans="1:13" ht="21" x14ac:dyDescent="0.5">
      <c r="A3" s="55" t="s">
        <v>240</v>
      </c>
      <c r="B3" s="4"/>
      <c r="C3" s="170">
        <v>5.5100000000000003E-2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3"/>
    </row>
    <row r="7" spans="1:13" x14ac:dyDescent="0.35">
      <c r="A7" s="4" t="s">
        <v>582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" x14ac:dyDescent="0.7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3"/>
    </row>
    <row r="9" spans="1:13" x14ac:dyDescent="0.3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" x14ac:dyDescent="0.7">
      <c r="A10" s="152" t="s">
        <v>583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3"/>
    </row>
    <row r="11" spans="1:13" x14ac:dyDescent="0.35">
      <c r="A11" s="4" t="s">
        <v>584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" x14ac:dyDescent="0.7">
      <c r="A12" s="152" t="s">
        <v>585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3"/>
    </row>
    <row r="13" spans="1:13" x14ac:dyDescent="0.35">
      <c r="A13" s="4" t="s">
        <v>586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" x14ac:dyDescent="0.7">
      <c r="A14" s="152" t="s">
        <v>588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3"/>
    </row>
    <row r="15" spans="1:13" x14ac:dyDescent="0.3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6.26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v>30.12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" x14ac:dyDescent="0.6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" x14ac:dyDescent="0.6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" x14ac:dyDescent="0.6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" x14ac:dyDescent="0.6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" x14ac:dyDescent="0.6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" x14ac:dyDescent="0.6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" x14ac:dyDescent="0.6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" x14ac:dyDescent="0.6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" x14ac:dyDescent="0.6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" x14ac:dyDescent="0.6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" x14ac:dyDescent="0.6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" x14ac:dyDescent="0.6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" x14ac:dyDescent="0.6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" x14ac:dyDescent="0.6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" x14ac:dyDescent="0.6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" x14ac:dyDescent="0.6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" x14ac:dyDescent="0.6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" x14ac:dyDescent="0.6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" x14ac:dyDescent="0.6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" x14ac:dyDescent="0.6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" x14ac:dyDescent="0.6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" x14ac:dyDescent="0.6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" x14ac:dyDescent="0.6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" x14ac:dyDescent="0.6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" x14ac:dyDescent="0.6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" x14ac:dyDescent="0.6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" x14ac:dyDescent="0.6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" x14ac:dyDescent="0.6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" x14ac:dyDescent="0.6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" x14ac:dyDescent="0.6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" x14ac:dyDescent="0.6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" x14ac:dyDescent="0.6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" x14ac:dyDescent="0.6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219</v>
      </c>
      <c r="B1" s="4"/>
      <c r="C1" s="15">
        <v>42093</v>
      </c>
      <c r="D1" s="30"/>
    </row>
    <row r="2" spans="1:13" ht="21" x14ac:dyDescent="0.5">
      <c r="A2" s="55" t="s">
        <v>239</v>
      </c>
      <c r="B2" s="4"/>
      <c r="C2" s="16">
        <v>7650</v>
      </c>
      <c r="D2" s="30"/>
      <c r="E2" s="184" t="s">
        <v>647</v>
      </c>
    </row>
    <row r="3" spans="1:13" ht="21" x14ac:dyDescent="0.5">
      <c r="A3" s="55" t="s">
        <v>240</v>
      </c>
      <c r="B3" s="4"/>
      <c r="C3" s="185">
        <v>5.2999999999999999E-2</v>
      </c>
      <c r="D3" s="30"/>
      <c r="E3" s="184" t="s">
        <v>648</v>
      </c>
    </row>
    <row r="4" spans="1:13" ht="21.5" thickBot="1" x14ac:dyDescent="0.55000000000000004">
      <c r="F4" s="184"/>
    </row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588</v>
      </c>
      <c r="B6" s="123"/>
      <c r="C6" s="124"/>
      <c r="D6" s="32"/>
      <c r="E6" s="92"/>
      <c r="F6" s="177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654</v>
      </c>
    </row>
    <row r="7" spans="1:13" x14ac:dyDescent="0.35">
      <c r="A7" s="130" t="s">
        <v>590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35">
      <c r="A8" s="130" t="s">
        <v>591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35">
      <c r="A9" s="130" t="s">
        <v>592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35">
      <c r="A10" s="130" t="s">
        <v>593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35">
      <c r="A11" s="130" t="s">
        <v>594</v>
      </c>
      <c r="B11" s="186" t="s">
        <v>651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35">
      <c r="A12" s="130" t="s">
        <v>595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5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" x14ac:dyDescent="0.7">
      <c r="A13" s="142" t="s">
        <v>22</v>
      </c>
      <c r="B13" s="123"/>
      <c r="C13" s="124"/>
      <c r="D13" s="32"/>
      <c r="E13" s="92"/>
      <c r="F13" s="177"/>
      <c r="G13" s="124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35">
      <c r="A14" s="39" t="s">
        <v>596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35">
      <c r="A15" s="39" t="s">
        <v>597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" x14ac:dyDescent="0.7">
      <c r="A16" s="142" t="s">
        <v>382</v>
      </c>
      <c r="B16" s="123"/>
      <c r="C16" s="124"/>
      <c r="D16" s="32"/>
      <c r="E16" s="92"/>
      <c r="F16" s="177"/>
      <c r="G16" s="124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35">
      <c r="A17" s="39" t="s">
        <v>598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35">
      <c r="A18" s="130" t="s">
        <v>599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" x14ac:dyDescent="0.7">
      <c r="A19" s="142" t="s">
        <v>288</v>
      </c>
      <c r="B19" s="123"/>
      <c r="C19" s="124"/>
      <c r="D19" s="32"/>
      <c r="E19" s="92"/>
      <c r="F19" s="177"/>
      <c r="G19" s="124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35">
      <c r="A20" s="39" t="s">
        <v>600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2">
        <v>0</v>
      </c>
      <c r="G20" s="183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35">
      <c r="A21" s="39" t="s">
        <v>360</v>
      </c>
      <c r="B21" s="98">
        <v>1</v>
      </c>
      <c r="C21" s="137">
        <v>11900</v>
      </c>
      <c r="D21" s="37">
        <f t="shared" si="12"/>
        <v>11900</v>
      </c>
      <c r="E21" s="39">
        <f>D21*0.1</f>
        <v>1190</v>
      </c>
      <c r="F21" s="182">
        <v>0</v>
      </c>
      <c r="G21" s="183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35">
      <c r="A22" s="41" t="s">
        <v>601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2">
        <v>0</v>
      </c>
      <c r="G22" s="183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" x14ac:dyDescent="0.7">
      <c r="A23" s="142" t="s">
        <v>604</v>
      </c>
      <c r="B23" s="123"/>
      <c r="C23" s="124"/>
      <c r="D23" s="32"/>
      <c r="E23" s="92"/>
      <c r="F23" s="177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35">
      <c r="A24" s="178" t="s">
        <v>605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35">
      <c r="A25" s="178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35">
      <c r="A26" s="178" t="s">
        <v>606</v>
      </c>
      <c r="B26" s="186" t="s">
        <v>651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" x14ac:dyDescent="0.7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35">
      <c r="A28" s="130" t="s">
        <v>607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5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35">
      <c r="A29" s="130" t="s">
        <v>608</v>
      </c>
      <c r="B29" s="98">
        <v>1</v>
      </c>
      <c r="C29" s="115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" x14ac:dyDescent="0.7">
      <c r="A30" s="142" t="s">
        <v>609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35">
      <c r="A31" s="178" t="s">
        <v>610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" x14ac:dyDescent="0.7">
      <c r="A32" s="142" t="s">
        <v>611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35">
      <c r="A33" s="178" t="s">
        <v>612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" x14ac:dyDescent="0.7">
      <c r="A34" s="142" t="s">
        <v>613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3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" x14ac:dyDescent="0.7">
      <c r="A36" s="142" t="s">
        <v>614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35">
      <c r="A37" s="130" t="s">
        <v>615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" x14ac:dyDescent="0.7">
      <c r="A38" s="142" t="s">
        <v>616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35">
      <c r="A39" t="s">
        <v>467</v>
      </c>
      <c r="B39" s="179">
        <v>1</v>
      </c>
      <c r="C39" s="180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" x14ac:dyDescent="0.7">
      <c r="A40" s="142" t="s">
        <v>617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35">
      <c r="A41" t="s">
        <v>618</v>
      </c>
      <c r="B41" s="181">
        <v>1</v>
      </c>
      <c r="C41" s="180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" x14ac:dyDescent="0.7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35">
      <c r="A43" s="39" t="s">
        <v>360</v>
      </c>
      <c r="B43" s="98">
        <v>1</v>
      </c>
      <c r="C43" s="137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" x14ac:dyDescent="0.7">
      <c r="A44" s="142" t="s">
        <v>619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652</v>
      </c>
    </row>
    <row r="45" spans="1:13" ht="15" thickBot="1" x14ac:dyDescent="0.4">
      <c r="A45" s="39" t="s">
        <v>620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35">
      <c r="A46" s="172"/>
      <c r="B46" s="172"/>
      <c r="C46" s="172"/>
      <c r="D46" s="172"/>
      <c r="E46" s="172"/>
      <c r="F46" s="173"/>
      <c r="G46" s="173"/>
      <c r="H46" s="173"/>
      <c r="I46" s="172"/>
      <c r="J46" s="74"/>
      <c r="K46" s="174"/>
      <c r="L46" s="175"/>
    </row>
    <row r="50" spans="1:6" ht="26" x14ac:dyDescent="0.6">
      <c r="A50" s="176" t="s">
        <v>602</v>
      </c>
    </row>
    <row r="51" spans="1:6" ht="31" x14ac:dyDescent="0.7">
      <c r="A51" s="152" t="s">
        <v>588</v>
      </c>
    </row>
    <row r="52" spans="1:6" x14ac:dyDescent="0.35">
      <c r="A52" s="36" t="s">
        <v>603</v>
      </c>
    </row>
    <row r="53" spans="1:6" ht="31" x14ac:dyDescent="0.7">
      <c r="A53" s="152" t="s">
        <v>288</v>
      </c>
    </row>
    <row r="54" spans="1:6" x14ac:dyDescent="0.35">
      <c r="A54" t="s">
        <v>539</v>
      </c>
    </row>
    <row r="55" spans="1:6" ht="31" x14ac:dyDescent="0.7">
      <c r="A55" s="152" t="s">
        <v>616</v>
      </c>
    </row>
    <row r="56" spans="1:6" x14ac:dyDescent="0.35">
      <c r="A56" s="36" t="s">
        <v>621</v>
      </c>
      <c r="F56" s="133" t="s">
        <v>624</v>
      </c>
    </row>
    <row r="57" spans="1:6" ht="31" x14ac:dyDescent="0.7">
      <c r="A57" s="152" t="s">
        <v>619</v>
      </c>
      <c r="F57" s="133"/>
    </row>
    <row r="58" spans="1:6" x14ac:dyDescent="0.35">
      <c r="A58" s="36" t="s">
        <v>622</v>
      </c>
      <c r="F58" s="133" t="s">
        <v>623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2" ht="21" x14ac:dyDescent="0.5">
      <c r="A1" s="55" t="s">
        <v>281</v>
      </c>
      <c r="B1" s="4"/>
      <c r="C1" s="15">
        <v>42093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0">
        <v>4.8099999999999997E-2</v>
      </c>
      <c r="D3" s="30"/>
    </row>
    <row r="4" spans="1:12" ht="15" thickBot="1" x14ac:dyDescent="0.4"/>
    <row r="5" spans="1:12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2" t="s">
        <v>611</v>
      </c>
      <c r="B6" s="123"/>
      <c r="C6" s="124"/>
      <c r="D6" s="32"/>
      <c r="E6" s="92"/>
      <c r="F6" s="177"/>
      <c r="G6" s="124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35">
      <c r="A7" s="39" t="s">
        <v>631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35">
      <c r="A8" s="39" t="s">
        <v>632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35">
      <c r="A9" s="39" t="s">
        <v>632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35">
      <c r="A10" s="39" t="s">
        <v>632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3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" x14ac:dyDescent="0.7">
      <c r="A12" s="142" t="s">
        <v>479</v>
      </c>
      <c r="B12" s="123"/>
      <c r="C12" s="124"/>
      <c r="D12" s="32"/>
      <c r="E12" s="92"/>
      <c r="F12" s="177"/>
      <c r="G12" s="124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35">
      <c r="A13" s="39" t="s">
        <v>633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35">
      <c r="A14" s="39" t="s">
        <v>632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35">
      <c r="A15" s="39" t="s">
        <v>632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35">
      <c r="A16" s="39" t="s">
        <v>632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" x14ac:dyDescent="0.7">
      <c r="A17" s="142" t="s">
        <v>331</v>
      </c>
      <c r="B17" s="123"/>
      <c r="C17" s="124"/>
      <c r="D17" s="32"/>
      <c r="E17" s="92"/>
      <c r="F17" s="177"/>
      <c r="G17" s="124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35">
      <c r="A18" s="130" t="s">
        <v>634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35">
      <c r="A19" s="130" t="s">
        <v>635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35">
      <c r="A20" s="130" t="s">
        <v>636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" x14ac:dyDescent="0.7">
      <c r="A21" s="142" t="s">
        <v>637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855</v>
      </c>
    </row>
    <row r="22" spans="1:13" x14ac:dyDescent="0.35">
      <c r="A22" s="39" t="s">
        <v>638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35">
      <c r="A23" s="106" t="s">
        <v>639</v>
      </c>
      <c r="B23" s="114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35">
      <c r="A24" s="39" t="s">
        <v>640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" x14ac:dyDescent="0.7">
      <c r="A25" s="142" t="s">
        <v>641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2" t="s">
        <v>653</v>
      </c>
    </row>
    <row r="26" spans="1:13" x14ac:dyDescent="0.35">
      <c r="A26" s="39" t="s">
        <v>642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35">
      <c r="A27" s="39" t="s">
        <v>643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" x14ac:dyDescent="0.7">
      <c r="A28" s="142" t="s">
        <v>644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35">
      <c r="A29" s="39" t="s">
        <v>645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35">
      <c r="A30" s="39" t="s">
        <v>646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" x14ac:dyDescent="0.7">
      <c r="A31" s="142" t="s">
        <v>2</v>
      </c>
      <c r="B31" s="123"/>
      <c r="C31" s="124"/>
      <c r="D31" s="32"/>
      <c r="E31" s="92"/>
      <c r="F31" s="177"/>
      <c r="G31" s="124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3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" thickBot="1" x14ac:dyDescent="0.4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" x14ac:dyDescent="0.6">
      <c r="A35" s="176" t="s">
        <v>629</v>
      </c>
    </row>
    <row r="36" spans="1:12" ht="31" x14ac:dyDescent="0.7">
      <c r="A36" s="152" t="s">
        <v>611</v>
      </c>
    </row>
    <row r="37" spans="1:12" x14ac:dyDescent="0.35">
      <c r="A37" s="36" t="s">
        <v>630</v>
      </c>
    </row>
    <row r="38" spans="1:12" ht="31" x14ac:dyDescent="0.7">
      <c r="A38" s="152" t="s">
        <v>479</v>
      </c>
    </row>
    <row r="39" spans="1:12" x14ac:dyDescent="0.35">
      <c r="A39" s="36" t="s">
        <v>630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4.5" x14ac:dyDescent="0.35"/>
  <cols>
    <col min="1" max="1" width="38.4531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0" bestFit="1" customWidth="1"/>
    <col min="12" max="12" width="10.7265625" customWidth="1"/>
  </cols>
  <sheetData>
    <row r="1" spans="1:12" ht="21" x14ac:dyDescent="0.5">
      <c r="A1" s="55" t="s">
        <v>281</v>
      </c>
      <c r="B1" s="4"/>
      <c r="C1" s="189">
        <v>42148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0">
        <v>4.7500000000000001E-2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655</v>
      </c>
      <c r="B6" s="151"/>
      <c r="C6" s="151"/>
      <c r="D6" s="32"/>
      <c r="E6" s="92"/>
      <c r="F6" s="177"/>
      <c r="G6" s="124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3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" x14ac:dyDescent="0.7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35">
      <c r="A9" s="4" t="s">
        <v>656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" x14ac:dyDescent="0.7">
      <c r="A10" s="152" t="s">
        <v>657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35">
      <c r="A11" s="4" t="s">
        <v>658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" x14ac:dyDescent="0.7">
      <c r="A12" s="152" t="s">
        <v>659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35">
      <c r="A13" s="4" t="s">
        <v>658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" x14ac:dyDescent="0.7">
      <c r="A14" s="152" t="s">
        <v>660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35">
      <c r="A15" s="4" t="s">
        <v>658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" x14ac:dyDescent="0.7">
      <c r="A16" s="152" t="s">
        <v>661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35">
      <c r="A17" s="76" t="s">
        <v>662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" x14ac:dyDescent="0.7">
      <c r="A18" s="152" t="s">
        <v>663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35">
      <c r="A19" s="4" t="s">
        <v>664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" x14ac:dyDescent="0.7">
      <c r="A20" s="152" t="s">
        <v>604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3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" x14ac:dyDescent="0.7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35">
      <c r="A23" s="4" t="s">
        <v>665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35">
      <c r="A24" s="4" t="s">
        <v>666</v>
      </c>
      <c r="B24" s="188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" x14ac:dyDescent="0.7">
      <c r="A25" s="152" t="s">
        <v>667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3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35">
      <c r="A27" s="4" t="s">
        <v>658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" x14ac:dyDescent="0.7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35">
      <c r="A29" s="4" t="s">
        <v>668</v>
      </c>
      <c r="B29" s="188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35">
      <c r="A30" s="4" t="s">
        <v>669</v>
      </c>
      <c r="B30" s="188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" x14ac:dyDescent="0.7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35">
      <c r="A32" s="187" t="s">
        <v>670</v>
      </c>
      <c r="B32" s="188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35">
      <c r="A33" s="4" t="s">
        <v>671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" x14ac:dyDescent="0.7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35">
      <c r="A35" s="18" t="s">
        <v>702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35">
      <c r="A36" s="4" t="s">
        <v>672</v>
      </c>
      <c r="B36" s="188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" x14ac:dyDescent="0.7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35">
      <c r="A38" s="4" t="s">
        <v>673</v>
      </c>
      <c r="B38" s="188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35">
      <c r="A39" s="4" t="s">
        <v>674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35">
      <c r="A40" s="4" t="s">
        <v>671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" x14ac:dyDescent="0.7">
      <c r="A41" s="152" t="s">
        <v>675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35">
      <c r="A42" s="18" t="s">
        <v>703</v>
      </c>
      <c r="B42" s="188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35">
      <c r="A43" t="s">
        <v>676</v>
      </c>
      <c r="B43" s="188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35">
      <c r="A44" s="4" t="s">
        <v>677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89">
        <v>42167</v>
      </c>
      <c r="D1" s="30"/>
    </row>
    <row r="2" spans="1:12" ht="21" x14ac:dyDescent="0.5">
      <c r="A2" s="55" t="s">
        <v>239</v>
      </c>
      <c r="B2" s="4"/>
      <c r="C2" s="16">
        <v>7650</v>
      </c>
      <c r="D2" s="30"/>
    </row>
    <row r="3" spans="1:12" ht="21" x14ac:dyDescent="0.5">
      <c r="A3" s="55" t="s">
        <v>240</v>
      </c>
      <c r="B3" s="4"/>
      <c r="C3" s="170">
        <v>5.0500000000000003E-2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382</v>
      </c>
      <c r="B6" s="151"/>
      <c r="C6" s="151"/>
      <c r="D6" s="32"/>
      <c r="E6" s="92"/>
      <c r="F6" s="177"/>
      <c r="G6" s="124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" x14ac:dyDescent="0.7">
      <c r="A8" s="152" t="s">
        <v>680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35">
      <c r="A9" s="21" t="s">
        <v>681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" x14ac:dyDescent="0.7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35">
      <c r="A11" s="4" t="s">
        <v>668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" x14ac:dyDescent="0.7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35">
      <c r="A13" s="4" t="s">
        <v>683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35">
      <c r="A14" s="17" t="s">
        <v>700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" x14ac:dyDescent="0.7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35">
      <c r="A16" s="21" t="s">
        <v>684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35">
      <c r="A17" s="21" t="s">
        <v>685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" x14ac:dyDescent="0.7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701</v>
      </c>
    </row>
    <row r="19" spans="1:13" x14ac:dyDescent="0.35">
      <c r="A19" s="17" t="s">
        <v>686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35">
      <c r="A20" s="4" t="s">
        <v>687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" x14ac:dyDescent="0.7">
      <c r="A21" s="152" t="s">
        <v>688</v>
      </c>
      <c r="B21" s="190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35">
      <c r="A22" s="4" t="s">
        <v>689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35">
      <c r="A23" s="4" t="s">
        <v>690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35">
      <c r="A24" s="4" t="s">
        <v>691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35">
      <c r="A25" s="4" t="s">
        <v>692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" x14ac:dyDescent="0.7">
      <c r="A26" s="152" t="s">
        <v>693</v>
      </c>
      <c r="B26" s="190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35">
      <c r="A27" s="17" t="s">
        <v>694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35">
      <c r="A28" s="17" t="s">
        <v>695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35">
      <c r="A29" s="17" t="s">
        <v>696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35">
      <c r="A30" s="169" t="s">
        <v>697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35">
      <c r="A31" s="191" t="s">
        <v>698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89">
        <v>42198</v>
      </c>
      <c r="D1" s="30"/>
    </row>
    <row r="2" spans="1:12" ht="21" x14ac:dyDescent="0.5">
      <c r="A2" s="55" t="s">
        <v>239</v>
      </c>
      <c r="B2" s="4"/>
      <c r="C2" s="16">
        <v>7980</v>
      </c>
      <c r="D2" s="30" t="s">
        <v>723</v>
      </c>
    </row>
    <row r="3" spans="1:12" ht="21" x14ac:dyDescent="0.5">
      <c r="A3" s="55" t="s">
        <v>240</v>
      </c>
      <c r="B3" s="4"/>
      <c r="C3" s="170">
        <v>5.1819999999999998E-2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705</v>
      </c>
      <c r="B6" s="151"/>
      <c r="C6" s="151"/>
      <c r="D6" s="32"/>
      <c r="E6" s="92"/>
      <c r="F6" s="177"/>
      <c r="G6" s="124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35">
      <c r="A7" s="4" t="s">
        <v>706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" x14ac:dyDescent="0.7">
      <c r="A8" s="152" t="s">
        <v>707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35">
      <c r="A9" s="4" t="s">
        <v>708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" x14ac:dyDescent="0.7">
      <c r="A10" s="152" t="s">
        <v>709</v>
      </c>
      <c r="B10" s="190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35">
      <c r="A11" s="169" t="s">
        <v>636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" x14ac:dyDescent="0.7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35">
      <c r="A13" s="6" t="s">
        <v>710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" x14ac:dyDescent="0.7">
      <c r="A14" s="152" t="s">
        <v>711</v>
      </c>
      <c r="B14" s="190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35">
      <c r="A15" s="5" t="s">
        <v>720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" x14ac:dyDescent="0.7">
      <c r="A16" s="152" t="s">
        <v>382</v>
      </c>
      <c r="B16" s="190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35">
      <c r="A17" s="4" t="s">
        <v>712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" x14ac:dyDescent="0.7">
      <c r="A18" s="152" t="s">
        <v>181</v>
      </c>
      <c r="B18" s="190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35">
      <c r="A19" s="4" t="s">
        <v>199</v>
      </c>
      <c r="B19" s="18" t="s">
        <v>236</v>
      </c>
      <c r="C19" s="18"/>
      <c r="D19" s="192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" x14ac:dyDescent="0.7">
      <c r="A20" s="152" t="s">
        <v>331</v>
      </c>
      <c r="B20" s="190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35">
      <c r="A21" s="17" t="s">
        <v>713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35">
      <c r="A22" s="17" t="s">
        <v>714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35">
      <c r="A23" s="4" t="s">
        <v>715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" x14ac:dyDescent="0.7">
      <c r="A24" s="152" t="s">
        <v>675</v>
      </c>
      <c r="B24" s="190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35">
      <c r="A25" s="4" t="s">
        <v>716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35">
      <c r="A26" s="4" t="s">
        <v>717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" x14ac:dyDescent="0.7">
      <c r="A27" s="152" t="s">
        <v>718</v>
      </c>
      <c r="B27" s="190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35">
      <c r="A28" s="5" t="s">
        <v>722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35">
      <c r="A29" s="5" t="s">
        <v>719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35">
      <c r="A30" s="4" t="s">
        <v>668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89">
        <v>42249</v>
      </c>
      <c r="D1" s="30"/>
    </row>
    <row r="2" spans="1:12" ht="21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0">
        <v>6.0299999999999999E-2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2" t="s">
        <v>546</v>
      </c>
      <c r="B6" s="196"/>
      <c r="C6" s="124"/>
      <c r="D6" s="32"/>
      <c r="E6" s="92"/>
      <c r="F6" s="177"/>
      <c r="G6" s="124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35">
      <c r="A7" s="39" t="s">
        <v>725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" x14ac:dyDescent="0.7">
      <c r="A8" s="142" t="s">
        <v>373</v>
      </c>
      <c r="B8" s="196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35">
      <c r="A9" s="39" t="s">
        <v>725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" x14ac:dyDescent="0.7">
      <c r="A10" s="142" t="s">
        <v>726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35">
      <c r="A11" s="39" t="s">
        <v>725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" x14ac:dyDescent="0.7">
      <c r="A12" s="193">
        <v>51150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35">
      <c r="A13" s="39" t="s">
        <v>725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" x14ac:dyDescent="0.7">
      <c r="A14" s="142" t="s">
        <v>727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35">
      <c r="A15" s="39" t="s">
        <v>725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" x14ac:dyDescent="0.7">
      <c r="A16" s="142" t="s">
        <v>2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35">
      <c r="A17" s="39" t="s">
        <v>725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" x14ac:dyDescent="0.7">
      <c r="A18" s="142" t="s">
        <v>728</v>
      </c>
      <c r="B18" s="196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35">
      <c r="A19" s="39" t="s">
        <v>725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" x14ac:dyDescent="0.7">
      <c r="A20" s="142" t="s">
        <v>729</v>
      </c>
      <c r="B20" s="196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35">
      <c r="A21" s="39" t="s">
        <v>725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" x14ac:dyDescent="0.7">
      <c r="A22" s="142" t="s">
        <v>181</v>
      </c>
      <c r="B22" s="196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3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" x14ac:dyDescent="0.7">
      <c r="A24" s="142" t="s">
        <v>730</v>
      </c>
      <c r="B24" s="196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3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" x14ac:dyDescent="0.7">
      <c r="A26" s="142" t="s">
        <v>731</v>
      </c>
      <c r="B26" s="196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3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" x14ac:dyDescent="0.7">
      <c r="A28" s="142" t="s">
        <v>732</v>
      </c>
      <c r="B28" s="196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35">
      <c r="A29" s="194" t="s">
        <v>733</v>
      </c>
      <c r="B29" s="197">
        <v>1</v>
      </c>
      <c r="C29" s="162">
        <v>9900</v>
      </c>
      <c r="D29" s="37">
        <f t="shared" ref="D29:D31" si="34">B29*C29</f>
        <v>9900</v>
      </c>
      <c r="E29" s="39">
        <f>D29*0.1</f>
        <v>990</v>
      </c>
      <c r="F29" s="197">
        <v>0</v>
      </c>
      <c r="G29" s="115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35">
      <c r="A30" s="39" t="s">
        <v>734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3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" x14ac:dyDescent="0.7">
      <c r="A32" s="142" t="s">
        <v>750</v>
      </c>
      <c r="B32" s="196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35">
      <c r="A33" s="39" t="s">
        <v>668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" x14ac:dyDescent="0.7">
      <c r="A34" s="142" t="s">
        <v>500</v>
      </c>
      <c r="B34" s="196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35">
      <c r="A35" s="130" t="s">
        <v>735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" x14ac:dyDescent="0.7">
      <c r="A36" s="142" t="s">
        <v>736</v>
      </c>
      <c r="B36" s="196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3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" x14ac:dyDescent="0.7">
      <c r="A38" s="142" t="s">
        <v>737</v>
      </c>
      <c r="B38" s="196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752</v>
      </c>
    </row>
    <row r="39" spans="1:13" x14ac:dyDescent="0.3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" x14ac:dyDescent="0.7">
      <c r="A40" s="142" t="s">
        <v>458</v>
      </c>
      <c r="B40" s="196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3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" x14ac:dyDescent="0.7">
      <c r="A42" s="142" t="s">
        <v>748</v>
      </c>
      <c r="B42" s="196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35">
      <c r="A43" s="195" t="s">
        <v>749</v>
      </c>
      <c r="B43" s="181">
        <v>1</v>
      </c>
      <c r="C43" s="180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0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" x14ac:dyDescent="0.7">
      <c r="A44" s="142" t="s">
        <v>354</v>
      </c>
      <c r="B44" s="196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" thickBot="1" x14ac:dyDescent="0.4">
      <c r="A45" s="164" t="s">
        <v>733</v>
      </c>
      <c r="B45" s="198">
        <v>1</v>
      </c>
      <c r="C45" s="199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0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5">
      <c r="A47" s="30" t="s">
        <v>738</v>
      </c>
    </row>
    <row r="48" spans="1:13" ht="31" x14ac:dyDescent="0.7">
      <c r="A48" s="152" t="s">
        <v>731</v>
      </c>
      <c r="B48" s="36" t="s">
        <v>742</v>
      </c>
    </row>
    <row r="49" spans="1:2" x14ac:dyDescent="0.35">
      <c r="A49" t="s">
        <v>739</v>
      </c>
    </row>
    <row r="50" spans="1:2" ht="31" x14ac:dyDescent="0.7">
      <c r="A50" s="152" t="s">
        <v>730</v>
      </c>
    </row>
    <row r="51" spans="1:2" x14ac:dyDescent="0.35">
      <c r="A51" t="s">
        <v>743</v>
      </c>
      <c r="B51" s="36" t="s">
        <v>740</v>
      </c>
    </row>
    <row r="52" spans="1:2" x14ac:dyDescent="0.35">
      <c r="A52" t="s">
        <v>743</v>
      </c>
      <c r="B52" s="36" t="s">
        <v>741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4.5" x14ac:dyDescent="0.35"/>
  <cols>
    <col min="1" max="1" width="35.1796875" customWidth="1"/>
    <col min="3" max="3" width="17" customWidth="1"/>
    <col min="6" max="6" width="11.453125" customWidth="1"/>
    <col min="10" max="10" width="13.26953125" customWidth="1"/>
    <col min="11" max="11" width="10.54296875" customWidth="1"/>
    <col min="12" max="12" width="14.26953125" customWidth="1"/>
  </cols>
  <sheetData>
    <row r="1" spans="1:13" ht="21" x14ac:dyDescent="0.5">
      <c r="A1" s="55" t="s">
        <v>281</v>
      </c>
      <c r="B1" s="4"/>
      <c r="C1" s="189">
        <v>42263</v>
      </c>
      <c r="D1" s="30"/>
    </row>
    <row r="2" spans="1:13" ht="21" x14ac:dyDescent="0.5">
      <c r="A2" s="55" t="s">
        <v>239</v>
      </c>
      <c r="B2" s="4"/>
      <c r="C2" s="16">
        <v>8350</v>
      </c>
      <c r="D2" s="30" t="s">
        <v>724</v>
      </c>
    </row>
    <row r="3" spans="1:13" ht="21" x14ac:dyDescent="0.5">
      <c r="A3" s="55" t="s">
        <v>240</v>
      </c>
      <c r="B3" s="4"/>
      <c r="C3" s="170">
        <v>5.8000000000000003E-2</v>
      </c>
      <c r="D3" s="30" t="s">
        <v>704</v>
      </c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732</v>
      </c>
      <c r="B6" s="196"/>
      <c r="C6" s="124"/>
      <c r="D6" s="32"/>
      <c r="E6" s="92"/>
      <c r="F6" s="177"/>
      <c r="G6" s="124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35">
      <c r="A7" s="39" t="s">
        <v>753</v>
      </c>
      <c r="B7" s="201">
        <v>1</v>
      </c>
      <c r="C7" s="202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2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" x14ac:dyDescent="0.7">
      <c r="A8" s="142" t="s">
        <v>382</v>
      </c>
      <c r="B8" s="196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35">
      <c r="A9" s="130" t="s">
        <v>754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" x14ac:dyDescent="0.7">
      <c r="A10" s="142" t="s">
        <v>755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35">
      <c r="A11" s="39" t="s">
        <v>756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" x14ac:dyDescent="0.7">
      <c r="A12" s="142" t="s">
        <v>757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35">
      <c r="A13" s="39" t="s">
        <v>758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" x14ac:dyDescent="0.7">
      <c r="A14" s="142" t="s">
        <v>759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776</v>
      </c>
    </row>
    <row r="15" spans="1:13" x14ac:dyDescent="0.35">
      <c r="A15" s="39" t="s">
        <v>760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" x14ac:dyDescent="0.7">
      <c r="A16" s="142" t="s">
        <v>680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35">
      <c r="A17" s="39" t="s">
        <v>761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" x14ac:dyDescent="0.7">
      <c r="A18" s="142" t="s">
        <v>2</v>
      </c>
      <c r="B18" s="196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777</v>
      </c>
    </row>
    <row r="19" spans="1:13" x14ac:dyDescent="0.35">
      <c r="A19" s="39" t="s">
        <v>762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35">
      <c r="A20" s="39" t="s">
        <v>762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" x14ac:dyDescent="0.7">
      <c r="A21" s="142" t="s">
        <v>763</v>
      </c>
      <c r="B21" s="196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" thickBot="1" x14ac:dyDescent="0.4">
      <c r="A22" s="39" t="s">
        <v>764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4.5" x14ac:dyDescent="0.35"/>
  <cols>
    <col min="1" max="1" width="41" customWidth="1"/>
    <col min="3" max="3" width="12.81640625" customWidth="1"/>
    <col min="6" max="6" width="12" customWidth="1"/>
    <col min="10" max="10" width="13.453125" customWidth="1"/>
    <col min="11" max="11" width="12.1796875" customWidth="1"/>
    <col min="12" max="12" width="14" customWidth="1"/>
  </cols>
  <sheetData>
    <row r="1" spans="1:12" ht="21" x14ac:dyDescent="0.5">
      <c r="A1" s="55" t="s">
        <v>281</v>
      </c>
      <c r="B1" s="4"/>
      <c r="C1" s="189">
        <v>42286</v>
      </c>
      <c r="D1" s="30"/>
    </row>
    <row r="2" spans="1:12" ht="21" x14ac:dyDescent="0.5">
      <c r="A2" s="55" t="s">
        <v>239</v>
      </c>
      <c r="B2" s="4"/>
      <c r="C2" s="16">
        <v>8230</v>
      </c>
      <c r="D2" s="30" t="s">
        <v>724</v>
      </c>
    </row>
    <row r="3" spans="1:12" ht="21" x14ac:dyDescent="0.5">
      <c r="A3" s="55" t="s">
        <v>240</v>
      </c>
      <c r="B3" s="4"/>
      <c r="C3" s="170">
        <v>5.6000000000000001E-2</v>
      </c>
      <c r="D3" s="30" t="s">
        <v>704</v>
      </c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203" t="s">
        <v>766</v>
      </c>
      <c r="B6" s="204"/>
      <c r="C6" s="204"/>
      <c r="D6" s="32"/>
      <c r="E6" s="92"/>
      <c r="F6" s="177"/>
      <c r="G6" s="124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" x14ac:dyDescent="0.7">
      <c r="A8" s="152" t="s">
        <v>711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35">
      <c r="A9" s="4" t="s">
        <v>773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" x14ac:dyDescent="0.7">
      <c r="A10" s="152" t="s">
        <v>767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35">
      <c r="A11" s="4" t="s">
        <v>768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" x14ac:dyDescent="0.7">
      <c r="A12" s="152" t="s">
        <v>769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35">
      <c r="A13" s="17" t="s">
        <v>770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3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" x14ac:dyDescent="0.7">
      <c r="A15" s="152" t="s">
        <v>750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35">
      <c r="A16" s="4" t="s">
        <v>771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35">
      <c r="A17" s="5" t="s">
        <v>772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4.5" x14ac:dyDescent="0.35"/>
  <cols>
    <col min="1" max="1" width="60.81640625" customWidth="1"/>
    <col min="3" max="3" width="14.81640625" customWidth="1"/>
    <col min="10" max="10" width="10.453125" customWidth="1"/>
    <col min="11" max="11" width="11.81640625" customWidth="1"/>
    <col min="12" max="12" width="11.453125" customWidth="1"/>
  </cols>
  <sheetData>
    <row r="1" spans="1:13" ht="21" x14ac:dyDescent="0.5">
      <c r="A1" s="55" t="s">
        <v>281</v>
      </c>
      <c r="B1" s="4"/>
      <c r="C1" s="189">
        <v>42322</v>
      </c>
      <c r="D1" s="30"/>
    </row>
    <row r="2" spans="1:13" ht="21" x14ac:dyDescent="0.5">
      <c r="A2" s="55" t="s">
        <v>239</v>
      </c>
      <c r="B2" s="4"/>
      <c r="C2" s="16">
        <v>8390</v>
      </c>
      <c r="D2" s="30"/>
    </row>
    <row r="3" spans="1:13" ht="21" x14ac:dyDescent="0.5">
      <c r="A3" s="55" t="s">
        <v>240</v>
      </c>
      <c r="B3" s="4"/>
      <c r="C3" s="170">
        <v>5.7410000000000003E-2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778</v>
      </c>
      <c r="B6" s="151"/>
      <c r="C6" s="151"/>
      <c r="D6" s="32"/>
      <c r="E6" s="92"/>
      <c r="F6" s="177"/>
      <c r="G6" s="124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35">
      <c r="A7" s="4" t="s">
        <v>779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" x14ac:dyDescent="0.7">
      <c r="A8" s="152" t="s">
        <v>780</v>
      </c>
      <c r="B8" s="151"/>
      <c r="C8" s="151"/>
      <c r="D8" s="32"/>
      <c r="E8" s="92"/>
      <c r="F8" s="206"/>
      <c r="G8" s="151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35">
      <c r="A9" s="4" t="s">
        <v>779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" x14ac:dyDescent="0.7">
      <c r="A10" s="152" t="s">
        <v>781</v>
      </c>
      <c r="B10" s="151"/>
      <c r="C10" s="151"/>
      <c r="D10" s="32"/>
      <c r="E10" s="92"/>
      <c r="F10" s="206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35">
      <c r="A11" s="4" t="s">
        <v>782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" x14ac:dyDescent="0.7">
      <c r="A12" s="152" t="s">
        <v>783</v>
      </c>
      <c r="B12" s="151"/>
      <c r="C12" s="151"/>
      <c r="D12" s="32"/>
      <c r="E12" s="92"/>
      <c r="F12" s="206"/>
      <c r="G12" s="151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35">
      <c r="A13" s="18" t="s">
        <v>784</v>
      </c>
      <c r="B13" s="18">
        <v>2</v>
      </c>
      <c r="C13" s="18">
        <v>2200</v>
      </c>
      <c r="D13" s="192">
        <f t="shared" ref="D13" si="10">B13*C13</f>
        <v>4400</v>
      </c>
      <c r="E13" s="112">
        <f>D13*0.1</f>
        <v>440</v>
      </c>
      <c r="F13" s="208">
        <f>2500/9*2</f>
        <v>555.55555555555554</v>
      </c>
      <c r="G13" s="18">
        <v>7.0000000000000007E-2</v>
      </c>
      <c r="H13" s="192">
        <f t="shared" ref="H13" si="11">G13*B13</f>
        <v>0.14000000000000001</v>
      </c>
      <c r="I13" s="18">
        <f>H13*$C$2</f>
        <v>1174.6000000000001</v>
      </c>
      <c r="J13" s="78"/>
      <c r="K13" s="209"/>
      <c r="L13" s="210"/>
      <c r="M13" t="s">
        <v>809</v>
      </c>
    </row>
    <row r="14" spans="1:13" ht="31" x14ac:dyDescent="0.7">
      <c r="A14" s="152" t="s">
        <v>682</v>
      </c>
      <c r="B14" s="151"/>
      <c r="C14" s="151"/>
      <c r="D14" s="32"/>
      <c r="E14" s="92"/>
      <c r="F14" s="206"/>
      <c r="G14" s="151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35">
      <c r="A15" s="18" t="s">
        <v>785</v>
      </c>
      <c r="B15" s="18">
        <v>1</v>
      </c>
      <c r="C15" s="18">
        <v>11210</v>
      </c>
      <c r="D15" s="192">
        <f t="shared" ref="D15" si="13">B15*C15</f>
        <v>11210</v>
      </c>
      <c r="E15" s="112">
        <f>D15*0.1</f>
        <v>1121</v>
      </c>
      <c r="F15" s="208">
        <v>2500</v>
      </c>
      <c r="G15" s="18">
        <v>0.4</v>
      </c>
      <c r="H15" s="192">
        <f t="shared" ref="H15" si="14">G15*B15</f>
        <v>0.4</v>
      </c>
      <c r="I15" s="18">
        <f>H15*$C$2</f>
        <v>3356</v>
      </c>
      <c r="J15" s="78"/>
      <c r="K15" s="209"/>
      <c r="L15" s="210"/>
      <c r="M15" t="s">
        <v>817</v>
      </c>
    </row>
    <row r="16" spans="1:13" ht="31" x14ac:dyDescent="0.7">
      <c r="A16" s="152" t="s">
        <v>786</v>
      </c>
      <c r="B16" s="151"/>
      <c r="C16" s="151"/>
      <c r="D16" s="32"/>
      <c r="E16" s="92"/>
      <c r="F16" s="206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35">
      <c r="A17" s="4" t="s">
        <v>787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" x14ac:dyDescent="0.7">
      <c r="A18" s="152" t="s">
        <v>482</v>
      </c>
      <c r="B18" s="151"/>
      <c r="C18" s="151"/>
      <c r="D18" s="32"/>
      <c r="E18" s="92"/>
      <c r="F18" s="206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5" x14ac:dyDescent="0.55000000000000004">
      <c r="A19" s="4" t="s">
        <v>779</v>
      </c>
      <c r="B19" s="205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35">
      <c r="A20" s="4" t="s">
        <v>788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" x14ac:dyDescent="0.7">
      <c r="A21" s="152" t="s">
        <v>500</v>
      </c>
      <c r="B21" s="151"/>
      <c r="C21" s="151"/>
      <c r="D21" s="32"/>
      <c r="E21" s="92"/>
      <c r="F21" s="206"/>
      <c r="G21" s="151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35">
      <c r="A22" s="4" t="s">
        <v>668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35">
      <c r="A23" s="4" t="s">
        <v>789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" x14ac:dyDescent="0.7">
      <c r="A24" s="152" t="s">
        <v>331</v>
      </c>
      <c r="B24" s="151"/>
      <c r="C24" s="151"/>
      <c r="D24" s="32"/>
      <c r="E24" s="92"/>
      <c r="F24" s="206"/>
      <c r="G24" s="151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35">
      <c r="A25" s="18" t="s">
        <v>790</v>
      </c>
      <c r="B25" s="18">
        <v>1</v>
      </c>
      <c r="C25" s="18">
        <v>12600</v>
      </c>
      <c r="D25" s="192">
        <f t="shared" ref="D25:D27" si="25">B25*C25</f>
        <v>12600</v>
      </c>
      <c r="E25" s="112">
        <f>D25*0.1</f>
        <v>1260</v>
      </c>
      <c r="F25" s="208">
        <v>0</v>
      </c>
      <c r="G25" s="18">
        <v>0.4</v>
      </c>
      <c r="H25" s="192">
        <f t="shared" ref="H25:H27" si="26">G25*B25</f>
        <v>0.4</v>
      </c>
      <c r="I25" s="18">
        <f>H25*$C$2</f>
        <v>3356</v>
      </c>
      <c r="J25" s="78"/>
      <c r="K25" s="209"/>
      <c r="L25" s="210"/>
    </row>
    <row r="26" spans="1:12" x14ac:dyDescent="0.35">
      <c r="A26" s="41" t="s">
        <v>791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35">
      <c r="A27" s="4" t="s">
        <v>792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" x14ac:dyDescent="0.7">
      <c r="A28" s="203" t="s">
        <v>680</v>
      </c>
      <c r="B28" s="151"/>
      <c r="C28" s="151"/>
      <c r="D28" s="32"/>
      <c r="E28" s="92"/>
      <c r="F28" s="206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35">
      <c r="A29" s="17" t="s">
        <v>793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35">
      <c r="A30" s="17" t="s">
        <v>794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35">
      <c r="A31" s="17" t="s">
        <v>795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" x14ac:dyDescent="0.7">
      <c r="A32" s="152" t="s">
        <v>769</v>
      </c>
      <c r="B32" s="151"/>
      <c r="C32" s="151"/>
      <c r="D32" s="32"/>
      <c r="E32" s="92"/>
      <c r="F32" s="206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35">
      <c r="A33" s="17" t="s">
        <v>796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35">
      <c r="A34" s="4" t="s">
        <v>779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35">
      <c r="A35" s="191" t="s">
        <v>797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" x14ac:dyDescent="0.7">
      <c r="A36" s="152" t="s">
        <v>763</v>
      </c>
      <c r="B36" s="151"/>
      <c r="C36" s="151"/>
      <c r="D36" s="32"/>
      <c r="E36" s="92"/>
      <c r="F36" s="206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35">
      <c r="A37" s="4" t="s">
        <v>798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35">
      <c r="A38" s="4" t="s">
        <v>799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35">
      <c r="A39" s="4" t="s">
        <v>800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" x14ac:dyDescent="0.7">
      <c r="A40" s="152" t="s">
        <v>688</v>
      </c>
      <c r="B40" s="196"/>
      <c r="C40" s="124"/>
      <c r="D40" s="32"/>
      <c r="E40" s="92"/>
      <c r="F40" s="207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35">
      <c r="A41" s="17" t="s">
        <v>801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35">
      <c r="A42" s="17" t="s">
        <v>802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35">
      <c r="A43" s="17" t="s">
        <v>803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35">
      <c r="A44" s="17" t="s">
        <v>804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4.5" x14ac:dyDescent="0.35"/>
  <cols>
    <col min="1" max="1" width="53.7265625" customWidth="1"/>
    <col min="3" max="3" width="12" customWidth="1"/>
    <col min="11" max="11" width="9.54296875" bestFit="1" customWidth="1"/>
    <col min="12" max="12" width="11.26953125" customWidth="1"/>
  </cols>
  <sheetData>
    <row r="1" spans="1:12" ht="21" x14ac:dyDescent="0.5">
      <c r="A1" s="55" t="s">
        <v>281</v>
      </c>
      <c r="B1" s="4"/>
      <c r="C1" s="189">
        <v>42348</v>
      </c>
      <c r="D1" s="30"/>
    </row>
    <row r="2" spans="1:12" ht="21" x14ac:dyDescent="0.5">
      <c r="A2" s="55" t="s">
        <v>239</v>
      </c>
      <c r="B2" s="4"/>
      <c r="C2" s="16">
        <v>7920</v>
      </c>
      <c r="D2" s="30" t="s">
        <v>724</v>
      </c>
    </row>
    <row r="3" spans="1:12" ht="21" x14ac:dyDescent="0.5">
      <c r="A3" s="55" t="s">
        <v>240</v>
      </c>
      <c r="B3" s="4"/>
      <c r="C3" s="170">
        <v>6.0499999999999998E-2</v>
      </c>
      <c r="D3" s="30" t="s">
        <v>704</v>
      </c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810</v>
      </c>
      <c r="B6" s="151"/>
      <c r="C6" s="151"/>
      <c r="D6" s="32"/>
      <c r="E6" s="92"/>
      <c r="F6" s="177"/>
      <c r="G6" s="124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35">
      <c r="A7" s="5" t="s">
        <v>811</v>
      </c>
      <c r="B7" s="211">
        <v>1</v>
      </c>
      <c r="C7" s="211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1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" x14ac:dyDescent="0.7">
      <c r="A8" s="152" t="s">
        <v>812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35">
      <c r="A9" s="41" t="s">
        <v>813</v>
      </c>
      <c r="B9" s="211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1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" x14ac:dyDescent="0.7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35">
      <c r="A11" s="5" t="s">
        <v>814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41387</v>
      </c>
      <c r="D1" s="30"/>
    </row>
    <row r="2" spans="1:12" ht="28.5" x14ac:dyDescent="0.65">
      <c r="A2" s="13" t="s">
        <v>14</v>
      </c>
      <c r="B2" s="4"/>
      <c r="C2" s="16">
        <v>6.58</v>
      </c>
    </row>
    <row r="3" spans="1:12" ht="28.5" x14ac:dyDescent="0.65">
      <c r="A3" s="13" t="s">
        <v>12</v>
      </c>
      <c r="B3" s="4"/>
      <c r="C3" s="16">
        <v>31.6</v>
      </c>
    </row>
    <row r="4" spans="1:12" ht="18.5" x14ac:dyDescent="0.45">
      <c r="A4" s="14" t="s">
        <v>18</v>
      </c>
      <c r="C4" s="19"/>
    </row>
    <row r="5" spans="1:12" x14ac:dyDescent="0.35">
      <c r="C5" s="19"/>
    </row>
    <row r="6" spans="1:12" x14ac:dyDescent="0.35">
      <c r="C6" s="19"/>
    </row>
    <row r="7" spans="1:12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" x14ac:dyDescent="0.6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3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3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3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" x14ac:dyDescent="0.6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3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3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" x14ac:dyDescent="0.6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3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3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" x14ac:dyDescent="0.6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3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" x14ac:dyDescent="0.6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3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3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" x14ac:dyDescent="0.6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3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3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" x14ac:dyDescent="0.6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3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3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3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" x14ac:dyDescent="0.6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3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3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" x14ac:dyDescent="0.6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3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3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3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3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3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3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3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" x14ac:dyDescent="0.6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3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3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3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3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3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" x14ac:dyDescent="0.6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3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3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3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3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3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3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3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3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3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" x14ac:dyDescent="0.6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3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3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3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3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3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3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3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3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3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" x14ac:dyDescent="0.6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3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3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3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" x14ac:dyDescent="0.6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3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3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" x14ac:dyDescent="0.6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3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" x14ac:dyDescent="0.6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3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" x14ac:dyDescent="0.6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3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" x14ac:dyDescent="0.6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3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" x14ac:dyDescent="0.6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3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" x14ac:dyDescent="0.6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3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" x14ac:dyDescent="0.6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3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" x14ac:dyDescent="0.6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3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" x14ac:dyDescent="0.6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3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" x14ac:dyDescent="0.6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3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" x14ac:dyDescent="0.6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3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" x14ac:dyDescent="0.6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3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" x14ac:dyDescent="0.6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3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4.5" x14ac:dyDescent="0.35"/>
  <cols>
    <col min="1" max="1" width="25" customWidth="1"/>
    <col min="3" max="3" width="16.7265625" customWidth="1"/>
    <col min="6" max="6" width="11.453125" customWidth="1"/>
    <col min="8" max="8" width="10.7265625" customWidth="1"/>
    <col min="11" max="11" width="9.54296875" bestFit="1" customWidth="1"/>
    <col min="12" max="12" width="11.1796875" customWidth="1"/>
  </cols>
  <sheetData>
    <row r="1" spans="1:12" ht="21" x14ac:dyDescent="0.5">
      <c r="A1" s="55" t="s">
        <v>281</v>
      </c>
      <c r="B1" s="4"/>
      <c r="C1" s="189">
        <v>42403</v>
      </c>
      <c r="D1" s="30"/>
    </row>
    <row r="2" spans="1:12" ht="37.5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0">
        <v>6.7000000000000004E-2</v>
      </c>
      <c r="D3" s="30"/>
    </row>
    <row r="4" spans="1:12" ht="15" thickBot="1" x14ac:dyDescent="0.4"/>
    <row r="5" spans="1:12" ht="43.5" x14ac:dyDescent="0.3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331</v>
      </c>
      <c r="B6" s="151"/>
      <c r="C6" s="151"/>
      <c r="D6" s="2"/>
      <c r="E6" s="92"/>
      <c r="F6" s="207"/>
      <c r="G6" s="124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35">
      <c r="A7" s="214" t="s">
        <v>818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35">
      <c r="A8" s="214" t="s">
        <v>819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35">
      <c r="A9" s="214" t="s">
        <v>820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" x14ac:dyDescent="0.7">
      <c r="A10" s="152" t="s">
        <v>195</v>
      </c>
      <c r="B10" s="151"/>
      <c r="C10" s="151"/>
      <c r="D10" s="2"/>
      <c r="E10" s="92"/>
      <c r="F10" s="207"/>
      <c r="G10" s="124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35">
      <c r="A11" s="4" t="s">
        <v>821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35">
      <c r="A12" s="4" t="s">
        <v>822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" x14ac:dyDescent="0.7">
      <c r="A13" s="152" t="s">
        <v>680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35">
      <c r="A14" s="17" t="s">
        <v>823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35">
      <c r="A15" s="4" t="s">
        <v>824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" x14ac:dyDescent="0.7">
      <c r="A16" s="152" t="s">
        <v>778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35">
      <c r="A17" s="4" t="s">
        <v>779</v>
      </c>
      <c r="B17" s="213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15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" x14ac:dyDescent="0.7">
      <c r="A18" s="152" t="s">
        <v>825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35">
      <c r="A19" s="4" t="s">
        <v>826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" x14ac:dyDescent="0.7">
      <c r="A20" s="152" t="s">
        <v>827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35">
      <c r="A21" s="4" t="s">
        <v>828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" x14ac:dyDescent="0.7">
      <c r="A22" s="152" t="s">
        <v>829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836</v>
      </c>
    </row>
    <row r="23" spans="1:13" x14ac:dyDescent="0.35">
      <c r="A23" s="4" t="s">
        <v>821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" x14ac:dyDescent="0.7">
      <c r="A24" s="152" t="s">
        <v>830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35">
      <c r="A25" s="6" t="s">
        <v>831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" x14ac:dyDescent="0.7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837</v>
      </c>
    </row>
    <row r="27" spans="1:13" ht="15" thickBot="1" x14ac:dyDescent="0.4">
      <c r="A27" s="17" t="s">
        <v>832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70" zoomScaleNormal="70" workbookViewId="0">
      <selection activeCell="K17" sqref="K17"/>
    </sheetView>
  </sheetViews>
  <sheetFormatPr defaultRowHeight="14.5" x14ac:dyDescent="0.35"/>
  <cols>
    <col min="1" max="1" width="62.54296875" customWidth="1"/>
    <col min="3" max="3" width="21.453125" customWidth="1"/>
    <col min="6" max="6" width="12.1796875" customWidth="1"/>
    <col min="10" max="10" width="9.54296875" bestFit="1" customWidth="1"/>
    <col min="11" max="11" width="11.453125" customWidth="1"/>
    <col min="12" max="12" width="11.26953125" customWidth="1"/>
  </cols>
  <sheetData>
    <row r="1" spans="1:12" ht="21" x14ac:dyDescent="0.5">
      <c r="A1" s="55" t="s">
        <v>281</v>
      </c>
      <c r="B1" s="4"/>
      <c r="C1" s="189">
        <v>42432</v>
      </c>
      <c r="D1" s="30"/>
    </row>
    <row r="2" spans="1:12" ht="21" x14ac:dyDescent="0.5">
      <c r="A2" s="55" t="s">
        <v>239</v>
      </c>
      <c r="B2" s="4"/>
      <c r="C2" s="16">
        <v>7980</v>
      </c>
      <c r="D2" s="30"/>
    </row>
    <row r="3" spans="1:12" ht="21" x14ac:dyDescent="0.5">
      <c r="A3" s="55" t="s">
        <v>240</v>
      </c>
      <c r="B3" s="4"/>
      <c r="C3" s="170">
        <v>6.0999999999999999E-2</v>
      </c>
      <c r="D3" s="30"/>
    </row>
    <row r="4" spans="1:12" ht="15" thickBot="1" x14ac:dyDescent="0.4"/>
    <row r="5" spans="1:12" ht="43.5" x14ac:dyDescent="0.35">
      <c r="A5" s="94"/>
      <c r="B5" s="216" t="s">
        <v>3</v>
      </c>
      <c r="C5" s="216" t="s">
        <v>348</v>
      </c>
      <c r="D5" s="216" t="s">
        <v>5</v>
      </c>
      <c r="E5" s="217" t="s">
        <v>401</v>
      </c>
      <c r="F5" s="94" t="s">
        <v>350</v>
      </c>
      <c r="G5" s="95" t="s">
        <v>7</v>
      </c>
      <c r="H5" s="218" t="s">
        <v>10</v>
      </c>
      <c r="I5" s="216" t="s">
        <v>351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220" t="s">
        <v>391</v>
      </c>
      <c r="B6" s="151"/>
      <c r="C6" s="151"/>
      <c r="D6" s="2"/>
      <c r="E6" s="92"/>
      <c r="F6" s="177"/>
      <c r="G6" s="124"/>
      <c r="H6" s="32"/>
      <c r="I6" s="2"/>
      <c r="J6" s="52">
        <f>J7</f>
        <v>320.33133333333336</v>
      </c>
      <c r="K6" s="10">
        <v>322</v>
      </c>
      <c r="L6" s="221">
        <f t="shared" ref="L6" si="0">K6-J6</f>
        <v>1.6686666666666383</v>
      </c>
    </row>
    <row r="7" spans="1:12" x14ac:dyDescent="0.35">
      <c r="A7" s="136" t="s">
        <v>838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15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" x14ac:dyDescent="0.7">
      <c r="A8" s="220" t="s">
        <v>830</v>
      </c>
      <c r="B8" s="151"/>
      <c r="C8" s="151"/>
      <c r="D8" s="2"/>
      <c r="E8" s="92"/>
      <c r="F8" s="177"/>
      <c r="G8" s="124"/>
      <c r="H8" s="32"/>
      <c r="I8" s="2"/>
      <c r="J8" s="52">
        <f>J9</f>
        <v>320.33133333333336</v>
      </c>
      <c r="K8" s="10">
        <v>363</v>
      </c>
      <c r="L8" s="221">
        <f t="shared" ref="L8" si="2">K8-J8</f>
        <v>42.668666666666638</v>
      </c>
    </row>
    <row r="9" spans="1:12" x14ac:dyDescent="0.35">
      <c r="A9" s="136" t="s">
        <v>838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15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" x14ac:dyDescent="0.7">
      <c r="A10" s="220" t="s">
        <v>825</v>
      </c>
      <c r="B10" s="151"/>
      <c r="C10" s="151"/>
      <c r="D10" s="2"/>
      <c r="E10" s="92"/>
      <c r="F10" s="177"/>
      <c r="G10" s="124"/>
      <c r="H10" s="32"/>
      <c r="I10" s="2"/>
      <c r="J10" s="52">
        <f>J11</f>
        <v>442.738</v>
      </c>
      <c r="K10" s="10">
        <v>520</v>
      </c>
      <c r="L10" s="221">
        <f t="shared" ref="L10" si="5">K10-J10</f>
        <v>77.262</v>
      </c>
    </row>
    <row r="11" spans="1:12" x14ac:dyDescent="0.35">
      <c r="A11" s="98" t="s">
        <v>839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15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" x14ac:dyDescent="0.7">
      <c r="A12" s="220" t="s">
        <v>31</v>
      </c>
      <c r="B12" s="151"/>
      <c r="C12" s="151"/>
      <c r="D12" s="2"/>
      <c r="E12" s="92"/>
      <c r="F12" s="177"/>
      <c r="G12" s="124"/>
      <c r="H12" s="32"/>
      <c r="I12" s="2"/>
      <c r="J12" s="52">
        <f>J13</f>
        <v>806.77379999999994</v>
      </c>
      <c r="K12" s="10">
        <f>791+13</f>
        <v>804</v>
      </c>
      <c r="L12" s="221">
        <f t="shared" ref="L12" si="8">K12-J12</f>
        <v>-2.7737999999999374</v>
      </c>
    </row>
    <row r="13" spans="1:12" x14ac:dyDescent="0.35">
      <c r="A13" s="136" t="s">
        <v>840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15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" x14ac:dyDescent="0.7">
      <c r="A14" s="220" t="s">
        <v>841</v>
      </c>
      <c r="B14" s="151"/>
      <c r="C14" s="151"/>
      <c r="D14" s="2"/>
      <c r="E14" s="92"/>
      <c r="F14" s="177"/>
      <c r="G14" s="124"/>
      <c r="H14" s="32"/>
      <c r="I14" s="2"/>
      <c r="J14" s="52">
        <f>J15</f>
        <v>1097.146</v>
      </c>
      <c r="K14" s="10">
        <v>1097</v>
      </c>
      <c r="L14" s="221">
        <f t="shared" ref="L14" si="11">K14-J14</f>
        <v>-0.14599999999995816</v>
      </c>
    </row>
    <row r="15" spans="1:12" x14ac:dyDescent="0.35">
      <c r="A15" s="98" t="s">
        <v>842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15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" x14ac:dyDescent="0.7">
      <c r="A16" s="220" t="s">
        <v>230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511.52566666666672</v>
      </c>
      <c r="K16" s="10">
        <v>511</v>
      </c>
      <c r="L16" s="221">
        <f t="shared" ref="L16" si="14">K16-J16</f>
        <v>-0.5256666666667229</v>
      </c>
    </row>
    <row r="17" spans="1:12" x14ac:dyDescent="0.35">
      <c r="A17" s="98" t="s">
        <v>851</v>
      </c>
      <c r="B17" s="4">
        <v>1</v>
      </c>
      <c r="C17" s="168">
        <f>10900/3</f>
        <v>3633.3333333333335</v>
      </c>
      <c r="D17" s="168">
        <f t="shared" ref="D17" si="15">B17*C17</f>
        <v>3633.3333333333335</v>
      </c>
      <c r="E17" s="227">
        <f>D17*0.1</f>
        <v>363.33333333333337</v>
      </c>
      <c r="F17" s="215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" x14ac:dyDescent="0.7">
      <c r="A18" s="220" t="s">
        <v>382</v>
      </c>
      <c r="B18" s="151"/>
      <c r="C18" s="151"/>
      <c r="D18" s="2"/>
      <c r="E18" s="92"/>
      <c r="F18" s="177"/>
      <c r="G18" s="124"/>
      <c r="H18" s="32"/>
      <c r="I18" s="2"/>
      <c r="J18" s="52">
        <f>SUM(J19:J20)</f>
        <v>1915.4854</v>
      </c>
      <c r="K18" s="10">
        <f>1798+157</f>
        <v>1955</v>
      </c>
      <c r="L18" s="221">
        <f t="shared" ref="L18" si="17">K18-J18</f>
        <v>39.514599999999973</v>
      </c>
    </row>
    <row r="19" spans="1:12" x14ac:dyDescent="0.35">
      <c r="A19" s="136" t="s">
        <v>843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15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35">
      <c r="A20" s="136" t="s">
        <v>844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15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" x14ac:dyDescent="0.7">
      <c r="A21" s="220" t="s">
        <v>707</v>
      </c>
      <c r="B21" s="151"/>
      <c r="C21" s="151"/>
      <c r="D21" s="2"/>
      <c r="E21" s="92"/>
      <c r="F21" s="177"/>
      <c r="G21" s="124"/>
      <c r="H21" s="32"/>
      <c r="I21" s="2"/>
      <c r="J21" s="52">
        <f>SUM(J22:J23)</f>
        <v>1368.1283333333333</v>
      </c>
      <c r="K21" s="10">
        <v>983</v>
      </c>
      <c r="L21" s="221">
        <f t="shared" ref="L21" si="20">K21-J21</f>
        <v>-385.12833333333333</v>
      </c>
    </row>
    <row r="22" spans="1:12" x14ac:dyDescent="0.35">
      <c r="A22" s="136" t="s">
        <v>838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15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35">
      <c r="A23" s="136" t="s">
        <v>845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" x14ac:dyDescent="0.7">
      <c r="A24" s="220" t="s">
        <v>846</v>
      </c>
      <c r="B24" s="151"/>
      <c r="C24" s="151"/>
      <c r="D24" s="2"/>
      <c r="E24" s="92"/>
      <c r="F24" s="207"/>
      <c r="G24" s="124"/>
      <c r="H24" s="32"/>
      <c r="I24" s="2"/>
      <c r="J24" s="52">
        <f>SUM(J25:J26)</f>
        <v>1453.0444</v>
      </c>
      <c r="K24" s="10">
        <f>1451+2</f>
        <v>1453</v>
      </c>
      <c r="L24" s="221">
        <f t="shared" ref="L24" si="23">K24-J24</f>
        <v>-4.4399999999995998E-2</v>
      </c>
    </row>
    <row r="25" spans="1:12" x14ac:dyDescent="0.35">
      <c r="A25" s="134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35">
      <c r="A26" s="134" t="s">
        <v>847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5" customHeight="1" x14ac:dyDescent="0.7">
      <c r="A27" s="220" t="s">
        <v>331</v>
      </c>
      <c r="B27" s="151"/>
      <c r="C27" s="151"/>
      <c r="D27" s="2"/>
      <c r="E27" s="92"/>
      <c r="F27" s="207"/>
      <c r="G27" s="124"/>
      <c r="H27" s="32"/>
      <c r="I27" s="2"/>
      <c r="J27" s="52">
        <f>SUM(J28:J30)</f>
        <v>1601.9942000000001</v>
      </c>
      <c r="K27" s="10">
        <v>1658</v>
      </c>
      <c r="L27" s="221">
        <f t="shared" ref="L27" si="26">K27-J27</f>
        <v>56.005799999999908</v>
      </c>
    </row>
    <row r="28" spans="1:12" x14ac:dyDescent="0.35">
      <c r="A28" s="136" t="s">
        <v>848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35">
      <c r="A29" s="136" t="s">
        <v>849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35">
      <c r="A30" s="136" t="s">
        <v>791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" x14ac:dyDescent="0.7">
      <c r="A31" s="220" t="s">
        <v>616</v>
      </c>
      <c r="B31" s="151"/>
      <c r="C31" s="151"/>
      <c r="D31" s="2"/>
      <c r="E31" s="92"/>
      <c r="F31" s="207"/>
      <c r="G31" s="124"/>
      <c r="H31" s="32"/>
      <c r="I31" s="2"/>
      <c r="J31" s="52">
        <f>SUM(J32:J35)</f>
        <v>8451.2937999999995</v>
      </c>
      <c r="K31" s="10">
        <v>8490</v>
      </c>
      <c r="L31" s="221">
        <f t="shared" ref="L31" si="29">K31-J31</f>
        <v>38.706200000000536</v>
      </c>
    </row>
    <row r="32" spans="1:12" x14ac:dyDescent="0.35">
      <c r="A32" s="98" t="s">
        <v>850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3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3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" thickBot="1" x14ac:dyDescent="0.4">
      <c r="A35" s="102" t="s">
        <v>57</v>
      </c>
      <c r="B35" s="222">
        <v>1</v>
      </c>
      <c r="C35" s="222">
        <v>19600</v>
      </c>
      <c r="D35" s="222">
        <f t="shared" si="30"/>
        <v>19600</v>
      </c>
      <c r="E35" s="223">
        <f>D35*0.1</f>
        <v>1960</v>
      </c>
      <c r="F35" s="102">
        <v>2500</v>
      </c>
      <c r="G35" s="103">
        <v>0.34</v>
      </c>
      <c r="H35" s="224">
        <f t="shared" si="31"/>
        <v>0.34</v>
      </c>
      <c r="I35" s="222">
        <f>H35*$C$2</f>
        <v>2713.2000000000003</v>
      </c>
      <c r="J35" s="225">
        <f>(D35+E35+F35+I35)*$C$3</f>
        <v>1633.1651999999999</v>
      </c>
      <c r="K35" s="226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4" zoomScale="60" zoomScaleNormal="60" workbookViewId="0">
      <selection activeCell="A5" sqref="A5:L40"/>
    </sheetView>
  </sheetViews>
  <sheetFormatPr defaultRowHeight="14.5" x14ac:dyDescent="0.35"/>
  <cols>
    <col min="1" max="1" width="48.54296875" customWidth="1"/>
    <col min="3" max="3" width="15.54296875" customWidth="1"/>
    <col min="6" max="6" width="10.54296875" customWidth="1"/>
    <col min="9" max="9" width="11.7265625" customWidth="1"/>
    <col min="10" max="10" width="10.7265625" customWidth="1"/>
    <col min="11" max="11" width="12.453125" customWidth="1"/>
    <col min="12" max="12" width="11.81640625" customWidth="1"/>
    <col min="13" max="13" width="28.81640625" customWidth="1"/>
  </cols>
  <sheetData>
    <row r="1" spans="1:12" ht="21" x14ac:dyDescent="0.5">
      <c r="A1" s="55" t="s">
        <v>281</v>
      </c>
      <c r="B1" s="4"/>
      <c r="C1" s="189">
        <v>42470</v>
      </c>
      <c r="D1" s="30"/>
    </row>
    <row r="2" spans="1:12" ht="21" x14ac:dyDescent="0.5">
      <c r="A2" s="55" t="s">
        <v>239</v>
      </c>
      <c r="B2" s="4"/>
      <c r="C2" s="16">
        <v>8430</v>
      </c>
      <c r="D2" s="30" t="s">
        <v>724</v>
      </c>
    </row>
    <row r="3" spans="1:12" ht="21" x14ac:dyDescent="0.5">
      <c r="A3" s="55" t="s">
        <v>240</v>
      </c>
      <c r="B3" s="4"/>
      <c r="C3" s="170">
        <v>6.0100000000000001E-2</v>
      </c>
      <c r="D3" s="30" t="s">
        <v>704</v>
      </c>
    </row>
    <row r="4" spans="1:12" ht="15" thickBot="1" x14ac:dyDescent="0.4"/>
    <row r="5" spans="1:12" ht="43.5" x14ac:dyDescent="0.35">
      <c r="A5" s="94">
        <v>30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3.65" customHeight="1" x14ac:dyDescent="0.7">
      <c r="A6" s="220" t="s">
        <v>856</v>
      </c>
      <c r="B6" s="151"/>
      <c r="C6" s="151"/>
      <c r="D6" s="2"/>
      <c r="E6" s="97"/>
      <c r="F6" s="228"/>
      <c r="G6" s="231"/>
      <c r="H6" s="96"/>
      <c r="I6" s="2"/>
      <c r="J6" s="52">
        <f>SUM(J7:J11)</f>
        <v>4737.5027</v>
      </c>
      <c r="K6" s="10">
        <f>4276+64+386+12</f>
        <v>4738</v>
      </c>
      <c r="L6" s="221">
        <f t="shared" ref="L6" si="0">K6-J6</f>
        <v>0.49729999999999563</v>
      </c>
    </row>
    <row r="7" spans="1:12" x14ac:dyDescent="0.35">
      <c r="A7" s="230" t="s">
        <v>857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35">
      <c r="A8" s="230" t="s">
        <v>858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7"/>
    </row>
    <row r="9" spans="1:12" x14ac:dyDescent="0.35">
      <c r="A9" s="98" t="s">
        <v>859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7"/>
    </row>
    <row r="10" spans="1:12" x14ac:dyDescent="0.35">
      <c r="A10" s="98" t="s">
        <v>860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35">
      <c r="A11" s="230" t="s">
        <v>576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5" customHeight="1" x14ac:dyDescent="0.7">
      <c r="A12" s="220" t="s">
        <v>861</v>
      </c>
      <c r="B12" s="151"/>
      <c r="C12" s="151"/>
      <c r="D12" s="2"/>
      <c r="E12" s="97"/>
      <c r="F12" s="228"/>
      <c r="G12" s="231"/>
      <c r="H12" s="96"/>
      <c r="I12" s="2"/>
      <c r="J12" s="52">
        <f>SUM(J13:J14)</f>
        <v>1519.7306699999999</v>
      </c>
      <c r="K12" s="10">
        <f>1501+19</f>
        <v>1520</v>
      </c>
      <c r="L12" s="221">
        <f t="shared" ref="L12" si="8">K12-J12</f>
        <v>0.26933000000008178</v>
      </c>
    </row>
    <row r="13" spans="1:12" x14ac:dyDescent="0.35">
      <c r="A13" s="98" t="s">
        <v>862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3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5" customHeight="1" x14ac:dyDescent="0.7">
      <c r="A15" s="220" t="s">
        <v>482</v>
      </c>
      <c r="B15" s="151"/>
      <c r="C15" s="151"/>
      <c r="D15" s="2"/>
      <c r="E15" s="97"/>
      <c r="F15" s="156"/>
      <c r="G15" s="231"/>
      <c r="H15" s="96"/>
      <c r="I15" s="2"/>
      <c r="J15" s="52">
        <f>SUM(J16:J17)</f>
        <v>3032.7301400000001</v>
      </c>
      <c r="K15" s="10">
        <f>2499+534</f>
        <v>3033</v>
      </c>
      <c r="L15" s="221">
        <f t="shared" ref="L15" si="13">K15-J15</f>
        <v>0.26985999999988053</v>
      </c>
    </row>
    <row r="16" spans="1:12" x14ac:dyDescent="0.3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35">
      <c r="A17" s="98" t="s">
        <v>882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5" customHeight="1" x14ac:dyDescent="0.7">
      <c r="A18" s="220" t="s">
        <v>868</v>
      </c>
      <c r="B18" s="151"/>
      <c r="C18" s="151"/>
      <c r="D18" s="2"/>
      <c r="E18" s="97"/>
      <c r="F18" s="156"/>
      <c r="G18" s="231"/>
      <c r="H18" s="96"/>
      <c r="I18" s="2"/>
      <c r="J18" s="52">
        <f>SUM(J19:J20)</f>
        <v>2492.6595200000002</v>
      </c>
      <c r="K18" s="10">
        <f>2475+18</f>
        <v>2493</v>
      </c>
      <c r="L18" s="221">
        <f t="shared" ref="L18" si="17">K18-J18</f>
        <v>0.34047999999984313</v>
      </c>
    </row>
    <row r="19" spans="1:13" x14ac:dyDescent="0.35">
      <c r="A19" s="98" t="s">
        <v>869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3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" x14ac:dyDescent="0.7">
      <c r="A21" s="220" t="s">
        <v>786</v>
      </c>
      <c r="B21" s="151"/>
      <c r="C21" s="151"/>
      <c r="D21" s="2"/>
      <c r="E21" s="97"/>
      <c r="F21" s="229"/>
      <c r="G21" s="231"/>
      <c r="H21" s="96"/>
      <c r="I21" s="2"/>
      <c r="J21" s="52">
        <f>J22</f>
        <v>1173.53664</v>
      </c>
      <c r="K21" s="10">
        <v>1300</v>
      </c>
      <c r="L21" s="221">
        <f t="shared" ref="L21" si="22">K21-J21</f>
        <v>126.46335999999997</v>
      </c>
    </row>
    <row r="22" spans="1:13" x14ac:dyDescent="0.35">
      <c r="A22" s="98" t="s">
        <v>864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" x14ac:dyDescent="0.7">
      <c r="A23" s="220" t="s">
        <v>863</v>
      </c>
      <c r="B23" s="151"/>
      <c r="C23" s="151"/>
      <c r="D23" s="2"/>
      <c r="E23" s="97"/>
      <c r="F23" s="229"/>
      <c r="G23" s="231"/>
      <c r="H23" s="96"/>
      <c r="I23" s="2"/>
      <c r="J23" s="52">
        <f>J24</f>
        <v>1377.1914999999999</v>
      </c>
      <c r="K23" s="10">
        <f>1364+13</f>
        <v>1377</v>
      </c>
      <c r="L23" s="221">
        <f t="shared" ref="L23" si="24">K23-J23</f>
        <v>-0.19149999999990541</v>
      </c>
    </row>
    <row r="24" spans="1:13" x14ac:dyDescent="0.3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" x14ac:dyDescent="0.7">
      <c r="A25" s="220" t="s">
        <v>865</v>
      </c>
      <c r="B25" s="151"/>
      <c r="C25" s="151"/>
      <c r="D25" s="2"/>
      <c r="E25" s="97"/>
      <c r="F25" s="156"/>
      <c r="G25" s="231"/>
      <c r="H25" s="96"/>
      <c r="I25" s="2"/>
      <c r="J25" s="52">
        <f>J26</f>
        <v>1055.4762000000001</v>
      </c>
      <c r="K25" s="10">
        <v>1045</v>
      </c>
      <c r="L25" s="221">
        <f t="shared" ref="L25" si="27">K25-J25</f>
        <v>-10.476200000000063</v>
      </c>
    </row>
    <row r="26" spans="1:13" x14ac:dyDescent="0.35">
      <c r="A26" s="98" t="s">
        <v>866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" x14ac:dyDescent="0.7">
      <c r="A27" s="220" t="s">
        <v>619</v>
      </c>
      <c r="B27" s="151"/>
      <c r="C27" s="151"/>
      <c r="D27" s="2"/>
      <c r="E27" s="97"/>
      <c r="F27" s="156"/>
      <c r="G27" s="231"/>
      <c r="H27" s="96"/>
      <c r="I27" s="2"/>
      <c r="J27" s="52">
        <f>J28</f>
        <v>509.64800000000002</v>
      </c>
      <c r="K27" s="10">
        <f>600-90</f>
        <v>510</v>
      </c>
      <c r="L27" s="221">
        <f t="shared" ref="L27" si="30">K27-J27</f>
        <v>0.35199999999997544</v>
      </c>
      <c r="M27" t="s">
        <v>883</v>
      </c>
    </row>
    <row r="28" spans="1:13" x14ac:dyDescent="0.35">
      <c r="A28" s="98" t="s">
        <v>867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" x14ac:dyDescent="0.7">
      <c r="A29" s="220" t="s">
        <v>870</v>
      </c>
      <c r="B29" s="151"/>
      <c r="C29" s="151"/>
      <c r="D29" s="2"/>
      <c r="E29" s="97"/>
      <c r="F29" s="229"/>
      <c r="G29" s="231"/>
      <c r="H29" s="96"/>
      <c r="I29" s="2"/>
      <c r="J29" s="52">
        <f>J30</f>
        <v>2115.8806</v>
      </c>
      <c r="K29" s="10">
        <f>2110+6</f>
        <v>2116</v>
      </c>
      <c r="L29" s="221">
        <f t="shared" ref="L29" si="33">K29-J29</f>
        <v>0.11940000000004147</v>
      </c>
    </row>
    <row r="30" spans="1:13" x14ac:dyDescent="0.35">
      <c r="A30" s="98" t="s">
        <v>871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" x14ac:dyDescent="0.7">
      <c r="A31" s="220" t="s">
        <v>872</v>
      </c>
      <c r="B31" s="151"/>
      <c r="C31" s="151"/>
      <c r="D31" s="2"/>
      <c r="E31" s="97"/>
      <c r="F31" s="156"/>
      <c r="G31" s="231"/>
      <c r="H31" s="96"/>
      <c r="I31" s="2"/>
      <c r="J31" s="52">
        <f>J32</f>
        <v>1523.8054500000001</v>
      </c>
      <c r="K31" s="10">
        <v>1515</v>
      </c>
      <c r="L31" s="221">
        <f t="shared" ref="L31" si="36">K31-J31</f>
        <v>-8.8054500000000644</v>
      </c>
    </row>
    <row r="32" spans="1:13" ht="15" thickBot="1" x14ac:dyDescent="0.4">
      <c r="A32" s="138" t="s">
        <v>873</v>
      </c>
      <c r="B32" s="222">
        <v>1</v>
      </c>
      <c r="C32" s="222">
        <v>21900</v>
      </c>
      <c r="D32" s="222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" si="38">G32*B32</f>
        <v>0.15</v>
      </c>
      <c r="I32" s="222">
        <f>H32*$C$2</f>
        <v>1264.5</v>
      </c>
      <c r="J32" s="225">
        <f>(D32+E32+F32+I32)*$C$3</f>
        <v>1523.8054500000001</v>
      </c>
      <c r="K32" s="226"/>
      <c r="L32" s="139"/>
    </row>
    <row r="33" spans="1:12" ht="31" x14ac:dyDescent="0.7">
      <c r="A33" s="220" t="s">
        <v>878</v>
      </c>
      <c r="B33" s="151"/>
      <c r="C33" s="151"/>
      <c r="D33" s="2"/>
      <c r="E33" s="97"/>
      <c r="F33" s="156"/>
      <c r="G33" s="231"/>
      <c r="H33" s="96"/>
      <c r="I33" s="2"/>
      <c r="J33" s="52">
        <f>J34</f>
        <v>670.98644999999999</v>
      </c>
      <c r="K33" s="10">
        <f>657+14</f>
        <v>671</v>
      </c>
      <c r="L33" s="221">
        <f t="shared" ref="L33" si="39">K33-J33</f>
        <v>1.3550000000009277E-2</v>
      </c>
    </row>
    <row r="34" spans="1:12" ht="15" thickBot="1" x14ac:dyDescent="0.4">
      <c r="A34" s="4" t="s">
        <v>725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ref="H34" si="40">G34*B34</f>
        <v>0.15</v>
      </c>
      <c r="I34" s="222">
        <f>H34*$C$2</f>
        <v>1264.5</v>
      </c>
      <c r="J34" s="225">
        <f>(D34+E34+F34+I34)*$C$3</f>
        <v>670.98644999999999</v>
      </c>
      <c r="K34" s="226"/>
      <c r="L34" s="139"/>
    </row>
    <row r="35" spans="1:12" ht="31" x14ac:dyDescent="0.7">
      <c r="A35" s="220" t="s">
        <v>879</v>
      </c>
      <c r="B35" s="151"/>
      <c r="C35" s="151"/>
      <c r="D35" s="2"/>
      <c r="E35" s="97"/>
      <c r="F35" s="156"/>
      <c r="G35" s="231"/>
      <c r="H35" s="96"/>
      <c r="I35" s="2"/>
      <c r="J35" s="52">
        <f>J36</f>
        <v>670.98644999999999</v>
      </c>
      <c r="K35" s="10">
        <f>657+15</f>
        <v>672</v>
      </c>
      <c r="L35" s="221">
        <f t="shared" ref="L35" si="41">K35-J35</f>
        <v>1.0135500000000093</v>
      </c>
    </row>
    <row r="36" spans="1:12" ht="15" thickBot="1" x14ac:dyDescent="0.4">
      <c r="A36" s="4" t="s">
        <v>725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2">G36*B36</f>
        <v>0.15</v>
      </c>
      <c r="I36" s="222">
        <f>H36*$C$2</f>
        <v>1264.5</v>
      </c>
      <c r="J36" s="225">
        <f>(D36+E36+F36+I36)*$C$3</f>
        <v>670.98644999999999</v>
      </c>
      <c r="K36" s="226"/>
      <c r="L36" s="139"/>
    </row>
    <row r="37" spans="1:12" ht="31" x14ac:dyDescent="0.7">
      <c r="A37" s="220" t="s">
        <v>825</v>
      </c>
      <c r="B37" s="151"/>
      <c r="C37" s="151"/>
      <c r="D37" s="2"/>
      <c r="E37" s="97"/>
      <c r="F37" s="156"/>
      <c r="G37" s="231"/>
      <c r="H37" s="96"/>
      <c r="I37" s="2"/>
      <c r="J37" s="52">
        <f>J38</f>
        <v>670.98644999999999</v>
      </c>
      <c r="K37" s="10">
        <v>657</v>
      </c>
      <c r="L37" s="221">
        <f t="shared" ref="L37" si="43">K37-J37</f>
        <v>-13.986449999999991</v>
      </c>
    </row>
    <row r="38" spans="1:12" ht="15" thickBot="1" x14ac:dyDescent="0.4">
      <c r="A38" s="4" t="s">
        <v>725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4">G38*B38</f>
        <v>0.15</v>
      </c>
      <c r="I38" s="222">
        <f>H38*$C$2</f>
        <v>1264.5</v>
      </c>
      <c r="J38" s="225">
        <f>(D38+E38+F38+I38)*$C$3</f>
        <v>670.98644999999999</v>
      </c>
      <c r="K38" s="226"/>
      <c r="L38" s="139"/>
    </row>
    <row r="39" spans="1:12" ht="31" x14ac:dyDescent="0.7">
      <c r="A39" s="220" t="s">
        <v>447</v>
      </c>
      <c r="B39" s="151"/>
      <c r="C39" s="151"/>
      <c r="D39" s="2"/>
      <c r="E39" s="97"/>
      <c r="F39" s="156"/>
      <c r="G39" s="231"/>
      <c r="H39" s="96"/>
      <c r="I39" s="2"/>
      <c r="J39" s="52">
        <f>J40</f>
        <v>670.98644999999999</v>
      </c>
      <c r="K39" s="10">
        <f>657+14</f>
        <v>671</v>
      </c>
      <c r="L39" s="221">
        <f t="shared" ref="L39" si="45">K39-J39</f>
        <v>1.3550000000009277E-2</v>
      </c>
    </row>
    <row r="40" spans="1:12" ht="15" thickBot="1" x14ac:dyDescent="0.4">
      <c r="A40" s="4" t="s">
        <v>725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6">G40*B40</f>
        <v>0.15</v>
      </c>
      <c r="I40" s="222">
        <f>H40*$C$2</f>
        <v>1264.5</v>
      </c>
      <c r="J40" s="225">
        <f>(D40+E40+F40+I40)*$C$3</f>
        <v>670.98644999999999</v>
      </c>
      <c r="K40" s="226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4.5" x14ac:dyDescent="0.35"/>
  <cols>
    <col min="1" max="1" width="33.7265625" customWidth="1"/>
    <col min="3" max="3" width="11.7265625" customWidth="1"/>
    <col min="10" max="10" width="11" customWidth="1"/>
    <col min="11" max="11" width="12.1796875" customWidth="1"/>
    <col min="12" max="12" width="11.453125" customWidth="1"/>
  </cols>
  <sheetData>
    <row r="1" spans="1:12" ht="21" x14ac:dyDescent="0.5">
      <c r="A1" s="55" t="s">
        <v>281</v>
      </c>
      <c r="B1" s="4"/>
      <c r="C1" s="189">
        <v>42500</v>
      </c>
      <c r="D1" s="30"/>
    </row>
    <row r="2" spans="1:12" ht="21" x14ac:dyDescent="0.5">
      <c r="A2" s="55" t="s">
        <v>239</v>
      </c>
      <c r="B2" s="4"/>
      <c r="C2" s="16">
        <v>8655</v>
      </c>
      <c r="D2" s="30"/>
    </row>
    <row r="3" spans="1:12" ht="21" x14ac:dyDescent="0.5">
      <c r="A3" s="55" t="s">
        <v>240</v>
      </c>
      <c r="B3" s="4"/>
      <c r="C3" s="170">
        <v>5.7410000000000003E-2</v>
      </c>
      <c r="D3" s="30"/>
    </row>
    <row r="4" spans="1:12" ht="15" thickBot="1" x14ac:dyDescent="0.4"/>
    <row r="5" spans="1:12" ht="58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203" t="s">
        <v>2</v>
      </c>
      <c r="B6" s="204"/>
      <c r="C6" s="204"/>
      <c r="D6" s="2"/>
      <c r="E6" s="97"/>
      <c r="F6" s="156"/>
      <c r="G6" s="231"/>
      <c r="H6" s="96"/>
      <c r="I6" s="2"/>
      <c r="J6" s="52">
        <f>J7</f>
        <v>612.38385850000009</v>
      </c>
      <c r="K6" s="10">
        <v>624</v>
      </c>
      <c r="L6" s="221">
        <f t="shared" ref="L6" si="0">K6-J6</f>
        <v>11.616141499999912</v>
      </c>
    </row>
    <row r="7" spans="1:12" x14ac:dyDescent="0.35">
      <c r="A7" s="4" t="s">
        <v>261</v>
      </c>
      <c r="B7" s="4">
        <v>1</v>
      </c>
      <c r="C7" s="4">
        <v>5300</v>
      </c>
      <c r="D7" s="4">
        <f t="shared" ref="D7" si="1">B7*C7</f>
        <v>5300</v>
      </c>
      <c r="E7" s="99">
        <f>D7*0.1</f>
        <v>530</v>
      </c>
      <c r="F7" s="4">
        <v>2500</v>
      </c>
      <c r="G7" s="4">
        <v>0.27</v>
      </c>
      <c r="H7" s="98">
        <f t="shared" ref="H7" si="2"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" x14ac:dyDescent="0.7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1">
        <f t="shared" ref="L8" si="3">K8-J8</f>
        <v>8.39269999996759E-2</v>
      </c>
    </row>
    <row r="9" spans="1:12" ht="29" x14ac:dyDescent="0.35">
      <c r="A9" s="7" t="s">
        <v>884</v>
      </c>
      <c r="B9" s="4">
        <v>1</v>
      </c>
      <c r="C9" s="4">
        <v>11900</v>
      </c>
      <c r="D9" s="4">
        <f t="shared" ref="D9:D10" si="4"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29" x14ac:dyDescent="0.35">
      <c r="A10" s="7" t="s">
        <v>885</v>
      </c>
      <c r="B10" s="4">
        <v>1</v>
      </c>
      <c r="C10" s="4">
        <v>10900</v>
      </c>
      <c r="D10" s="4">
        <f t="shared" si="4"/>
        <v>10900</v>
      </c>
      <c r="E10" s="99">
        <f t="shared" ref="E10" si="5">D10*0.1</f>
        <v>1090</v>
      </c>
      <c r="F10" s="4">
        <v>0</v>
      </c>
      <c r="G10" s="4">
        <v>0.63</v>
      </c>
      <c r="H10" s="98">
        <f t="shared" ref="H10" si="6">G10*B10</f>
        <v>0.63</v>
      </c>
      <c r="I10" s="4">
        <f t="shared" ref="I10" si="7">H10*$C$2</f>
        <v>5452.65</v>
      </c>
      <c r="J10" s="51">
        <f t="shared" ref="J10" si="8">(D10+E10+F10+I10)*$C$3</f>
        <v>1001.3825365000001</v>
      </c>
      <c r="K10" s="6"/>
      <c r="L10" s="137"/>
    </row>
    <row r="11" spans="1:12" ht="31" x14ac:dyDescent="0.7">
      <c r="A11" s="152" t="s">
        <v>680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1">
        <f t="shared" ref="L11" si="9">K11-J11</f>
        <v>5.9755059999999958</v>
      </c>
    </row>
    <row r="12" spans="1:12" x14ac:dyDescent="0.35">
      <c r="A12" s="17" t="s">
        <v>886</v>
      </c>
      <c r="B12" s="4">
        <v>1</v>
      </c>
      <c r="C12" s="4">
        <v>7100</v>
      </c>
      <c r="D12" s="4">
        <f t="shared" ref="D12" si="10"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 t="shared" ref="H12" si="11"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" x14ac:dyDescent="0.7">
      <c r="A13" s="152" t="s">
        <v>887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1">
        <f t="shared" ref="L13" si="12">K13-J13</f>
        <v>0.45487199999979566</v>
      </c>
    </row>
    <row r="14" spans="1:12" x14ac:dyDescent="0.35">
      <c r="A14" s="4" t="s">
        <v>57</v>
      </c>
      <c r="B14" s="4">
        <v>1</v>
      </c>
      <c r="C14" s="4">
        <v>6300</v>
      </c>
      <c r="D14" s="4">
        <f t="shared" ref="D14:D15" si="13"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 t="shared" ref="H14:H15" si="14"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35">
      <c r="A15" s="4" t="s">
        <v>57</v>
      </c>
      <c r="B15" s="4">
        <v>1</v>
      </c>
      <c r="C15" s="4">
        <v>9500</v>
      </c>
      <c r="D15" s="4">
        <f t="shared" si="13"/>
        <v>9500</v>
      </c>
      <c r="E15" s="99">
        <f>D15*0.1</f>
        <v>950</v>
      </c>
      <c r="F15" s="4">
        <v>0</v>
      </c>
      <c r="G15" s="4">
        <v>0.2</v>
      </c>
      <c r="H15" s="98">
        <f t="shared" si="14"/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" x14ac:dyDescent="0.7">
      <c r="A16" s="152" t="s">
        <v>888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1">
        <f t="shared" ref="L16" si="15">K16-J16</f>
        <v>158.62328600000001</v>
      </c>
    </row>
    <row r="17" spans="1:12" x14ac:dyDescent="0.35">
      <c r="A17" s="4" t="s">
        <v>57</v>
      </c>
      <c r="B17" s="232">
        <v>2</v>
      </c>
      <c r="C17" s="4">
        <v>6300</v>
      </c>
      <c r="D17" s="4">
        <f t="shared" ref="D17:D18" si="16"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 t="shared" ref="H17:H18" si="17"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35">
      <c r="A18" s="17" t="s">
        <v>895</v>
      </c>
      <c r="B18" s="4">
        <v>4</v>
      </c>
      <c r="C18" s="4">
        <v>2700</v>
      </c>
      <c r="D18" s="4">
        <f t="shared" si="16"/>
        <v>10800</v>
      </c>
      <c r="E18" s="99">
        <f>D18*0.1</f>
        <v>1080</v>
      </c>
      <c r="F18" s="5">
        <v>0</v>
      </c>
      <c r="G18" s="4">
        <v>0.09</v>
      </c>
      <c r="H18" s="98">
        <f t="shared" si="17"/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" x14ac:dyDescent="0.7">
      <c r="A19" s="152" t="s">
        <v>889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1">
        <f t="shared" ref="L19" si="18">K19-J19</f>
        <v>-0.23391800000001695</v>
      </c>
    </row>
    <row r="20" spans="1:12" x14ac:dyDescent="0.35">
      <c r="A20" s="4" t="s">
        <v>57</v>
      </c>
      <c r="B20" s="4">
        <v>1</v>
      </c>
      <c r="C20" s="4">
        <v>6300</v>
      </c>
      <c r="D20" s="4">
        <f t="shared" ref="D20" si="19"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" x14ac:dyDescent="0.7">
      <c r="A21" s="152" t="s">
        <v>750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1">
        <f t="shared" ref="L21" si="20">K21-J21</f>
        <v>-12.144445499999961</v>
      </c>
    </row>
    <row r="22" spans="1:12" x14ac:dyDescent="0.35">
      <c r="A22" s="4" t="s">
        <v>761</v>
      </c>
      <c r="B22" s="4">
        <v>1</v>
      </c>
      <c r="C22" s="4">
        <v>13900</v>
      </c>
      <c r="D22" s="4">
        <f t="shared" ref="D22" si="21">B22*C22</f>
        <v>13900</v>
      </c>
      <c r="E22" s="99">
        <f>D22*0.1</f>
        <v>1390</v>
      </c>
      <c r="F22" s="4">
        <v>0</v>
      </c>
      <c r="G22" s="4">
        <v>0.21</v>
      </c>
      <c r="H22" s="98">
        <f t="shared" ref="H22" si="22"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" x14ac:dyDescent="0.7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1">
        <f t="shared" ref="L23" si="23">K23-J23</f>
        <v>-131.13995249999994</v>
      </c>
    </row>
    <row r="24" spans="1:12" x14ac:dyDescent="0.35">
      <c r="A24" s="17" t="s">
        <v>890</v>
      </c>
      <c r="B24" s="4">
        <v>1</v>
      </c>
      <c r="C24" s="4">
        <v>8000</v>
      </c>
      <c r="D24" s="4">
        <f t="shared" ref="D24:D25" si="24">B24*C24</f>
        <v>8000</v>
      </c>
      <c r="E24" s="99">
        <f>D24*0.1</f>
        <v>800</v>
      </c>
      <c r="F24" s="4">
        <v>3000</v>
      </c>
      <c r="G24" s="4">
        <v>0.15</v>
      </c>
      <c r="H24" s="98">
        <f t="shared" ref="H24:H25" si="25"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35">
      <c r="A25" s="17" t="s">
        <v>891</v>
      </c>
      <c r="B25" s="4">
        <v>2</v>
      </c>
      <c r="C25" s="4">
        <v>8000</v>
      </c>
      <c r="D25" s="4">
        <f t="shared" si="24"/>
        <v>16000</v>
      </c>
      <c r="E25" s="99">
        <f>D25*0.1</f>
        <v>1600</v>
      </c>
      <c r="F25" s="4"/>
      <c r="G25" s="4">
        <v>0.2</v>
      </c>
      <c r="H25" s="98">
        <f t="shared" si="25"/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" x14ac:dyDescent="0.7">
      <c r="A26" s="152" t="s">
        <v>892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1">
        <f t="shared" ref="L26" si="26">K26-J26</f>
        <v>-0.23391800000001695</v>
      </c>
    </row>
    <row r="27" spans="1:12" x14ac:dyDescent="0.35">
      <c r="A27" s="4" t="s">
        <v>57</v>
      </c>
      <c r="B27" s="4">
        <v>1</v>
      </c>
      <c r="C27" s="4">
        <v>6300</v>
      </c>
      <c r="D27" s="4">
        <f t="shared" ref="D27" si="27"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 t="shared" ref="H27" si="28"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" x14ac:dyDescent="0.7">
      <c r="A28" s="152" t="s">
        <v>893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1">
        <f t="shared" ref="L28" si="29">K28-J28</f>
        <v>3.5413959999996223</v>
      </c>
    </row>
    <row r="29" spans="1:12" x14ac:dyDescent="0.35">
      <c r="A29" s="4" t="s">
        <v>894</v>
      </c>
      <c r="B29" s="4">
        <v>1</v>
      </c>
      <c r="C29" s="4">
        <v>29500</v>
      </c>
      <c r="D29" s="4">
        <f t="shared" ref="D29" si="30">B29*C29</f>
        <v>29500</v>
      </c>
      <c r="E29" s="99">
        <f>D29*0.1</f>
        <v>2950</v>
      </c>
      <c r="F29" s="4">
        <v>0</v>
      </c>
      <c r="G29" s="4">
        <v>0.48</v>
      </c>
      <c r="H29" s="98">
        <f t="shared" ref="H29" si="31"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35">
      <c r="B50" s="233">
        <f>'2итог'!L45+'3'!L30+'4'!L55+'5'!L44+'6'!L14+'8'!L12+'10'!L21+'12'!L34+'15'!L8+'16'!L10+'20'!L11+'22'!L6+'23'!L8+'27'!L13+'30'!L31+'31'!L37+'32'!L18+'34'!L16+'35'!L18+'42'!L6</f>
        <v>11.22031416666573</v>
      </c>
      <c r="C50" t="s">
        <v>896</v>
      </c>
    </row>
    <row r="64" spans="2:3" x14ac:dyDescent="0.35">
      <c r="B64" s="233">
        <f>'34'!L32+'36'!L15+'42'!L21</f>
        <v>-12.330452166666532</v>
      </c>
      <c r="C64" t="s">
        <v>900</v>
      </c>
    </row>
    <row r="65" spans="1:3" x14ac:dyDescent="0.35">
      <c r="A65" t="s">
        <v>887</v>
      </c>
      <c r="B65" s="233">
        <f>'42'!L13</f>
        <v>0.45487199999979566</v>
      </c>
      <c r="C65">
        <v>43</v>
      </c>
    </row>
    <row r="84" spans="1:3" x14ac:dyDescent="0.35">
      <c r="A84" t="s">
        <v>892</v>
      </c>
      <c r="B84" s="233">
        <f>'42'!L26</f>
        <v>-0.23391800000001695</v>
      </c>
      <c r="C84">
        <v>43</v>
      </c>
    </row>
    <row r="94" spans="1:3" x14ac:dyDescent="0.35">
      <c r="A94" t="s">
        <v>889</v>
      </c>
      <c r="B94" s="233">
        <f>'42'!L19</f>
        <v>-0.23391800000001695</v>
      </c>
      <c r="C94">
        <v>43</v>
      </c>
    </row>
    <row r="96" spans="1:3" x14ac:dyDescent="0.35">
      <c r="B96" s="233">
        <f>'12'!L6+'13'!L6+'14'!L17+'16'!L21+'17'!L13+'20'!L24+'21'!L22+'22'!L27+'26'!L8+'28'!L10+'29'!L27+'30'!L17+'31'!L31+'33'!L20+'37'!L24+'39'!L6+'40'!L27+'42'!L23</f>
        <v>-128.02903216666641</v>
      </c>
      <c r="C96" t="s">
        <v>899</v>
      </c>
    </row>
    <row r="105" spans="1:3" x14ac:dyDescent="0.35">
      <c r="B105" s="233">
        <f>'32'!L8+'35'!L16+'37'!L28+'39'!L13+'42'!L11</f>
        <v>6.0097999999998137</v>
      </c>
      <c r="C105" t="s">
        <v>898</v>
      </c>
    </row>
    <row r="110" spans="1:3" x14ac:dyDescent="0.35">
      <c r="A110" t="s">
        <v>888</v>
      </c>
      <c r="B110" s="233">
        <f>'42'!L16</f>
        <v>158.62328600000001</v>
      </c>
      <c r="C110">
        <v>43</v>
      </c>
    </row>
    <row r="127" spans="2:3" ht="43.5" customHeight="1" x14ac:dyDescent="0.35">
      <c r="B127" s="233">
        <f>'14'!L22+'15'!L24+'18'!L6+'21'!L18+'22'!L20+'23'!L12+'24'!L18+'27'!L17+'29'!L16+'31'!L22+'32'!L6+'33'!L16+'35'!L8+'40'!L18+'42'!L8</f>
        <v>0.3627319999993972</v>
      </c>
      <c r="C127" t="s">
        <v>897</v>
      </c>
    </row>
    <row r="181" spans="1:3" x14ac:dyDescent="0.35">
      <c r="A181" t="s">
        <v>893</v>
      </c>
      <c r="B181" s="233">
        <f>'42'!L28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4.5" x14ac:dyDescent="0.35"/>
  <cols>
    <col min="1" max="1" width="34.7265625" customWidth="1"/>
    <col min="3" max="3" width="16.26953125" customWidth="1"/>
    <col min="11" max="12" width="11.54296875" customWidth="1"/>
  </cols>
  <sheetData>
    <row r="1" spans="1:12" ht="21" x14ac:dyDescent="0.5">
      <c r="A1" s="55" t="s">
        <v>281</v>
      </c>
      <c r="B1" s="4"/>
      <c r="C1" s="189">
        <v>42569</v>
      </c>
      <c r="D1" s="30"/>
    </row>
    <row r="2" spans="1:12" ht="21" x14ac:dyDescent="0.5">
      <c r="A2" s="55" t="s">
        <v>239</v>
      </c>
      <c r="B2" s="4"/>
      <c r="C2" s="16">
        <v>8610</v>
      </c>
      <c r="D2" s="30"/>
    </row>
    <row r="3" spans="1:12" ht="21" x14ac:dyDescent="0.5">
      <c r="A3" s="55" t="s">
        <v>240</v>
      </c>
      <c r="B3" s="4"/>
      <c r="C3" s="170">
        <v>5.629E-2</v>
      </c>
      <c r="D3" s="30"/>
    </row>
    <row r="4" spans="1:12" ht="15" thickBot="1" x14ac:dyDescent="0.4"/>
    <row r="5" spans="1:12" ht="58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152" t="s">
        <v>644</v>
      </c>
      <c r="B6" s="151"/>
      <c r="C6" s="151"/>
      <c r="D6" s="2"/>
      <c r="E6" s="97"/>
      <c r="F6" s="156"/>
      <c r="G6" s="231"/>
      <c r="H6" s="96"/>
      <c r="I6" s="2"/>
      <c r="J6" s="52">
        <f>J7</f>
        <v>1133.9057600000001</v>
      </c>
      <c r="K6" s="10">
        <f>989+146</f>
        <v>1135</v>
      </c>
      <c r="L6" s="221">
        <f t="shared" ref="L6" si="0">K6-J6</f>
        <v>1.0942399999998997</v>
      </c>
    </row>
    <row r="7" spans="1:12" x14ac:dyDescent="0.35">
      <c r="A7" s="4" t="s">
        <v>489</v>
      </c>
      <c r="B7" s="4">
        <v>1</v>
      </c>
      <c r="C7" s="4">
        <v>6900</v>
      </c>
      <c r="D7" s="4">
        <f t="shared" ref="D7" si="1">B7*C7</f>
        <v>6900</v>
      </c>
      <c r="E7" s="99">
        <f>D7*0.1</f>
        <v>690</v>
      </c>
      <c r="F7" s="4">
        <v>500</v>
      </c>
      <c r="G7" s="4">
        <v>1.4</v>
      </c>
      <c r="H7" s="98">
        <f t="shared" ref="H7" si="2"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" x14ac:dyDescent="0.7">
      <c r="A8" s="152" t="s">
        <v>892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1">
        <f t="shared" ref="L8" si="3">K8-J8</f>
        <v>0.23258299999997689</v>
      </c>
    </row>
    <row r="9" spans="1:12" x14ac:dyDescent="0.35">
      <c r="A9" s="4" t="s">
        <v>437</v>
      </c>
      <c r="B9" s="4">
        <v>1</v>
      </c>
      <c r="C9" s="4">
        <f>10900/2</f>
        <v>5450</v>
      </c>
      <c r="D9" s="4">
        <f t="shared" ref="D9:D10" si="4"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35">
      <c r="A10" s="4" t="s">
        <v>57</v>
      </c>
      <c r="B10" s="4">
        <v>1</v>
      </c>
      <c r="C10" s="4">
        <v>8100</v>
      </c>
      <c r="D10" s="4">
        <f t="shared" si="4"/>
        <v>8100</v>
      </c>
      <c r="E10" s="99">
        <f t="shared" ref="E10" si="5">D10*0.1</f>
        <v>810</v>
      </c>
      <c r="F10" s="4">
        <f>2500/4</f>
        <v>625</v>
      </c>
      <c r="G10" s="4">
        <v>0.2</v>
      </c>
      <c r="H10" s="98">
        <f t="shared" ref="H10" si="6">G10*B10</f>
        <v>0.2</v>
      </c>
      <c r="I10" s="4">
        <f t="shared" ref="I10" si="7">H10*$C$2</f>
        <v>1722</v>
      </c>
      <c r="J10" s="51">
        <f t="shared" ref="J10" si="8">(D10+E10+F10+I10)*$C$3</f>
        <v>633.65652999999998</v>
      </c>
      <c r="K10" s="6"/>
      <c r="L10" s="137"/>
    </row>
    <row r="11" spans="1:12" ht="31" x14ac:dyDescent="0.7">
      <c r="A11" s="152" t="s">
        <v>901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1">
        <f t="shared" ref="L11" si="9">K11-J11</f>
        <v>-0.25829399999997804</v>
      </c>
    </row>
    <row r="12" spans="1:12" x14ac:dyDescent="0.35">
      <c r="A12" s="4" t="s">
        <v>437</v>
      </c>
      <c r="B12" s="4">
        <v>1</v>
      </c>
      <c r="C12" s="21">
        <v>6500</v>
      </c>
      <c r="D12" s="4">
        <f t="shared" ref="D12" si="10">B12*C12</f>
        <v>6500</v>
      </c>
      <c r="E12" s="99">
        <f>D12*0.1</f>
        <v>650</v>
      </c>
      <c r="F12" s="4">
        <v>600</v>
      </c>
      <c r="G12" s="4">
        <v>0.26</v>
      </c>
      <c r="H12" s="98">
        <f t="shared" ref="H12" si="11"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" x14ac:dyDescent="0.7">
      <c r="A13" s="152" t="s">
        <v>763</v>
      </c>
      <c r="B13" s="151"/>
      <c r="C13" s="151"/>
      <c r="D13" s="32"/>
      <c r="E13" s="92"/>
      <c r="F13" s="206"/>
      <c r="G13" s="151"/>
      <c r="H13" s="32"/>
      <c r="I13" s="2"/>
      <c r="J13" s="52">
        <f>SUM(J14:J23)</f>
        <v>2679.0381150000003</v>
      </c>
      <c r="K13" s="10">
        <v>3447</v>
      </c>
      <c r="L13" s="10">
        <f t="shared" ref="L13" si="12">K13-J13</f>
        <v>767.96188499999971</v>
      </c>
    </row>
    <row r="14" spans="1:12" x14ac:dyDescent="0.35">
      <c r="A14" s="4" t="s">
        <v>170</v>
      </c>
      <c r="B14" s="4">
        <v>1</v>
      </c>
      <c r="C14" s="4">
        <v>4900</v>
      </c>
      <c r="D14" s="37">
        <f t="shared" ref="D14:D16" si="13">B14*C14</f>
        <v>4900</v>
      </c>
      <c r="E14" s="39">
        <f t="shared" ref="E14:E22" si="14">D14*0.1</f>
        <v>490</v>
      </c>
      <c r="F14" s="60"/>
      <c r="G14" s="4">
        <v>0.1</v>
      </c>
      <c r="H14" s="37">
        <f t="shared" ref="H14:H16" si="15">G14*B14</f>
        <v>0.1</v>
      </c>
      <c r="I14" s="4">
        <f t="shared" ref="I14:I22" si="16">H14*$C$2</f>
        <v>861</v>
      </c>
      <c r="J14" s="51">
        <f t="shared" ref="J14:J22" si="17">(D14+E14+F14+I14)*$C$3</f>
        <v>351.86878999999999</v>
      </c>
      <c r="K14" s="6"/>
      <c r="L14" s="17"/>
    </row>
    <row r="15" spans="1:12" x14ac:dyDescent="0.35">
      <c r="A15" s="4" t="s">
        <v>902</v>
      </c>
      <c r="B15" s="4">
        <v>1</v>
      </c>
      <c r="C15" s="4">
        <v>2000</v>
      </c>
      <c r="D15" s="37">
        <f t="shared" si="13"/>
        <v>2000</v>
      </c>
      <c r="E15" s="39">
        <f t="shared" si="14"/>
        <v>200</v>
      </c>
      <c r="F15" s="60"/>
      <c r="G15" s="4">
        <v>0.1</v>
      </c>
      <c r="H15" s="37">
        <f t="shared" si="15"/>
        <v>0.1</v>
      </c>
      <c r="I15" s="4">
        <f t="shared" si="16"/>
        <v>861</v>
      </c>
      <c r="J15" s="51">
        <f t="shared" si="17"/>
        <v>172.30368999999999</v>
      </c>
      <c r="K15" s="6"/>
      <c r="L15" s="17"/>
    </row>
    <row r="16" spans="1:12" x14ac:dyDescent="0.35">
      <c r="A16" s="4" t="s">
        <v>902</v>
      </c>
      <c r="B16" s="4">
        <v>1</v>
      </c>
      <c r="C16" s="4">
        <v>2000</v>
      </c>
      <c r="D16" s="37">
        <f t="shared" si="13"/>
        <v>2000</v>
      </c>
      <c r="E16" s="39">
        <f t="shared" si="14"/>
        <v>200</v>
      </c>
      <c r="F16" s="60"/>
      <c r="G16" s="4">
        <v>0.1</v>
      </c>
      <c r="H16" s="37">
        <f t="shared" si="15"/>
        <v>0.1</v>
      </c>
      <c r="I16" s="4">
        <f t="shared" si="16"/>
        <v>861</v>
      </c>
      <c r="J16" s="51">
        <f t="shared" si="17"/>
        <v>172.30368999999999</v>
      </c>
      <c r="K16" s="6"/>
      <c r="L16" s="17"/>
    </row>
    <row r="17" spans="1:12" x14ac:dyDescent="0.35">
      <c r="A17" s="4" t="s">
        <v>199</v>
      </c>
      <c r="B17" s="4">
        <v>1</v>
      </c>
      <c r="C17" s="4">
        <v>6500</v>
      </c>
      <c r="D17" s="37">
        <f t="shared" ref="D17:D21" si="18">B17*C17</f>
        <v>6500</v>
      </c>
      <c r="E17" s="39">
        <f t="shared" si="14"/>
        <v>650</v>
      </c>
      <c r="F17" s="60"/>
      <c r="G17" s="4">
        <v>0.1</v>
      </c>
      <c r="H17" s="37">
        <f t="shared" ref="H17:H21" si="19">G17*B17</f>
        <v>0.1</v>
      </c>
      <c r="I17" s="4">
        <f t="shared" si="16"/>
        <v>861</v>
      </c>
      <c r="J17" s="51">
        <f t="shared" si="17"/>
        <v>450.93919</v>
      </c>
      <c r="K17" s="6"/>
      <c r="L17" s="17"/>
    </row>
    <row r="18" spans="1:12" x14ac:dyDescent="0.35">
      <c r="A18" s="18" t="s">
        <v>903</v>
      </c>
      <c r="B18" s="4">
        <v>1</v>
      </c>
      <c r="C18" s="4">
        <v>0</v>
      </c>
      <c r="D18" s="37">
        <f t="shared" si="18"/>
        <v>0</v>
      </c>
      <c r="E18" s="39">
        <f t="shared" si="14"/>
        <v>0</v>
      </c>
      <c r="F18" s="60"/>
      <c r="G18" s="4"/>
      <c r="H18" s="37">
        <f t="shared" si="19"/>
        <v>0</v>
      </c>
      <c r="I18" s="4">
        <f t="shared" si="16"/>
        <v>0</v>
      </c>
      <c r="J18" s="51">
        <f t="shared" si="17"/>
        <v>0</v>
      </c>
      <c r="K18" s="6"/>
      <c r="L18" s="17"/>
    </row>
    <row r="19" spans="1:12" x14ac:dyDescent="0.35">
      <c r="A19" s="4" t="s">
        <v>112</v>
      </c>
      <c r="B19" s="4">
        <v>1</v>
      </c>
      <c r="C19" s="4">
        <v>2500</v>
      </c>
      <c r="D19" s="37">
        <f t="shared" ref="D19" si="20">B19*C19</f>
        <v>2500</v>
      </c>
      <c r="E19" s="39">
        <f t="shared" si="14"/>
        <v>250</v>
      </c>
      <c r="F19" s="60"/>
      <c r="G19" s="4">
        <v>0.1</v>
      </c>
      <c r="H19" s="37">
        <f t="shared" ref="H19" si="21">G19*B19</f>
        <v>0.1</v>
      </c>
      <c r="I19" s="4">
        <f t="shared" si="16"/>
        <v>861</v>
      </c>
      <c r="J19" s="51">
        <f t="shared" si="17"/>
        <v>203.26319000000001</v>
      </c>
      <c r="K19" s="6"/>
      <c r="L19" s="17"/>
    </row>
    <row r="20" spans="1:12" x14ac:dyDescent="0.35">
      <c r="A20" s="18" t="s">
        <v>904</v>
      </c>
      <c r="B20" s="4">
        <v>1</v>
      </c>
      <c r="C20" s="4">
        <v>0</v>
      </c>
      <c r="D20" s="37">
        <f t="shared" si="18"/>
        <v>0</v>
      </c>
      <c r="E20" s="39">
        <f t="shared" si="14"/>
        <v>0</v>
      </c>
      <c r="F20" s="60"/>
      <c r="G20" s="4"/>
      <c r="H20" s="37">
        <f t="shared" si="19"/>
        <v>0</v>
      </c>
      <c r="I20" s="4">
        <f t="shared" si="16"/>
        <v>0</v>
      </c>
      <c r="J20" s="51">
        <f t="shared" si="17"/>
        <v>0</v>
      </c>
      <c r="K20" s="6"/>
      <c r="L20" s="17"/>
    </row>
    <row r="21" spans="1:12" x14ac:dyDescent="0.35">
      <c r="A21" s="4" t="s">
        <v>905</v>
      </c>
      <c r="B21" s="4">
        <v>2</v>
      </c>
      <c r="C21" s="4">
        <v>3000</v>
      </c>
      <c r="D21" s="37">
        <f t="shared" si="18"/>
        <v>6000</v>
      </c>
      <c r="E21" s="39">
        <f t="shared" si="14"/>
        <v>600</v>
      </c>
      <c r="F21" s="60"/>
      <c r="G21" s="4">
        <v>0.31</v>
      </c>
      <c r="H21" s="37">
        <f t="shared" si="19"/>
        <v>0.62</v>
      </c>
      <c r="I21" s="4">
        <f t="shared" si="16"/>
        <v>5338.2</v>
      </c>
      <c r="J21" s="51">
        <f t="shared" si="17"/>
        <v>672.00127800000007</v>
      </c>
      <c r="K21" s="6"/>
      <c r="L21" s="17"/>
    </row>
    <row r="22" spans="1:12" x14ac:dyDescent="0.35">
      <c r="A22" s="4" t="s">
        <v>53</v>
      </c>
      <c r="B22" s="4">
        <v>1</v>
      </c>
      <c r="C22" s="4">
        <v>8800</v>
      </c>
      <c r="D22" s="37">
        <f t="shared" ref="D22" si="22">B22*C22</f>
        <v>8800</v>
      </c>
      <c r="E22" s="39">
        <f t="shared" si="14"/>
        <v>880</v>
      </c>
      <c r="F22" s="60"/>
      <c r="G22" s="4">
        <v>0.23</v>
      </c>
      <c r="H22" s="37">
        <f t="shared" ref="H22" si="23">G22*B22</f>
        <v>0.23</v>
      </c>
      <c r="I22" s="4">
        <f t="shared" si="16"/>
        <v>1980.3000000000002</v>
      </c>
      <c r="J22" s="51">
        <f t="shared" si="17"/>
        <v>656.3582869999999</v>
      </c>
      <c r="K22" s="6"/>
      <c r="L22" s="17"/>
    </row>
    <row r="23" spans="1:12" x14ac:dyDescent="0.3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A5" sqref="A5:XFD16"/>
    </sheetView>
  </sheetViews>
  <sheetFormatPr defaultRowHeight="14.5" x14ac:dyDescent="0.35"/>
  <cols>
    <col min="1" max="1" width="40.7265625" customWidth="1"/>
    <col min="3" max="3" width="16.26953125" customWidth="1"/>
    <col min="6" max="6" width="10.90625" customWidth="1"/>
    <col min="11" max="12" width="11.54296875" customWidth="1"/>
  </cols>
  <sheetData>
    <row r="1" spans="1:12" ht="21" x14ac:dyDescent="0.5">
      <c r="A1" s="55" t="s">
        <v>281</v>
      </c>
      <c r="B1" s="4"/>
      <c r="C1" s="189">
        <v>42585</v>
      </c>
      <c r="D1" s="30"/>
    </row>
    <row r="2" spans="1:12" ht="21" x14ac:dyDescent="0.5">
      <c r="A2" s="55" t="s">
        <v>239</v>
      </c>
      <c r="B2" s="4"/>
      <c r="C2" s="16">
        <v>8350</v>
      </c>
      <c r="D2" s="30"/>
    </row>
    <row r="3" spans="1:12" ht="21" x14ac:dyDescent="0.5">
      <c r="A3" s="55" t="s">
        <v>240</v>
      </c>
      <c r="B3" s="4"/>
      <c r="C3" s="170">
        <v>6.0749999999999998E-2</v>
      </c>
      <c r="D3" s="30"/>
    </row>
    <row r="4" spans="1:12" ht="15" thickBot="1" x14ac:dyDescent="0.4"/>
    <row r="5" spans="1:12" ht="43.5" x14ac:dyDescent="0.35">
      <c r="A5" s="94">
        <v>44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152" t="s">
        <v>907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 t="shared" ref="L6" si="0">K6-J6</f>
        <v>1.6312500000000227</v>
      </c>
    </row>
    <row r="7" spans="1:12" x14ac:dyDescent="0.35">
      <c r="A7" s="4" t="s">
        <v>908</v>
      </c>
      <c r="B7" s="4">
        <v>1</v>
      </c>
      <c r="C7" s="4">
        <v>5900</v>
      </c>
      <c r="D7" s="4">
        <f t="shared" ref="D7" si="1">B7*C7</f>
        <v>5900</v>
      </c>
      <c r="E7" s="4">
        <f>D7*0.1</f>
        <v>590</v>
      </c>
      <c r="F7" s="4">
        <v>500</v>
      </c>
      <c r="G7" s="4">
        <v>0.1</v>
      </c>
      <c r="H7" s="4">
        <f t="shared" ref="H7" si="2"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" x14ac:dyDescent="0.7">
      <c r="A8" s="152" t="s">
        <v>914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 t="shared" ref="L8" si="3">K8-J8</f>
        <v>2.6502500000000282</v>
      </c>
    </row>
    <row r="9" spans="1:12" x14ac:dyDescent="0.35">
      <c r="A9" s="4" t="s">
        <v>915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" x14ac:dyDescent="0.7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 t="shared" ref="L10" si="5">K10-J10</f>
        <v>-58.225999999999999</v>
      </c>
    </row>
    <row r="11" spans="1:12" x14ac:dyDescent="0.35">
      <c r="A11" s="4" t="s">
        <v>437</v>
      </c>
      <c r="B11" s="4">
        <v>1</v>
      </c>
      <c r="C11" s="4">
        <v>5280</v>
      </c>
      <c r="D11" s="4">
        <f t="shared" ref="D11" si="6">B11*C11</f>
        <v>5280</v>
      </c>
      <c r="E11" s="4">
        <f>D11*0.1</f>
        <v>528</v>
      </c>
      <c r="F11" s="4">
        <v>1250</v>
      </c>
      <c r="G11" s="4">
        <v>0.2</v>
      </c>
      <c r="H11" s="4">
        <f t="shared" ref="H11" si="7"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" x14ac:dyDescent="0.7">
      <c r="A12" s="152" t="s">
        <v>616</v>
      </c>
      <c r="B12" s="151"/>
      <c r="C12" s="151"/>
      <c r="D12" s="2"/>
      <c r="E12" s="2"/>
      <c r="F12" s="206"/>
      <c r="G12" s="151"/>
      <c r="H12" s="2"/>
      <c r="I12" s="2"/>
      <c r="J12" s="52">
        <f>SUM(J13:J19)</f>
        <v>5041.8247500000007</v>
      </c>
      <c r="K12" s="10"/>
      <c r="L12" s="10">
        <f t="shared" ref="L12" si="8">K12-J12</f>
        <v>-5041.8247500000007</v>
      </c>
    </row>
    <row r="13" spans="1:12" x14ac:dyDescent="0.35">
      <c r="A13" s="4" t="s">
        <v>916</v>
      </c>
      <c r="B13" s="4">
        <v>1</v>
      </c>
      <c r="C13" s="4">
        <v>12000</v>
      </c>
      <c r="D13" s="4">
        <f t="shared" ref="D13:D19" si="9">B13*C13</f>
        <v>12000</v>
      </c>
      <c r="E13" s="4">
        <f t="shared" ref="E13:E19" si="10">D13*0.1</f>
        <v>1200</v>
      </c>
      <c r="F13" s="4">
        <v>0</v>
      </c>
      <c r="G13" s="4">
        <v>0.1</v>
      </c>
      <c r="H13" s="4">
        <f t="shared" ref="H13:H19" si="11">G13*B13</f>
        <v>0.1</v>
      </c>
      <c r="I13" s="4">
        <f t="shared" ref="I13:I19" si="12">H13*$C$2</f>
        <v>835</v>
      </c>
      <c r="J13" s="51">
        <f t="shared" ref="J13:J19" si="13">(D13+E13+F13+I13)*$C$3</f>
        <v>852.62625000000003</v>
      </c>
      <c r="K13" s="6"/>
      <c r="L13" s="17"/>
    </row>
    <row r="14" spans="1:12" x14ac:dyDescent="0.35">
      <c r="A14" s="4" t="s">
        <v>909</v>
      </c>
      <c r="B14" s="4">
        <v>1</v>
      </c>
      <c r="C14" s="4">
        <v>9800</v>
      </c>
      <c r="D14" s="4">
        <f t="shared" si="9"/>
        <v>9800</v>
      </c>
      <c r="E14" s="4">
        <f t="shared" si="10"/>
        <v>980</v>
      </c>
      <c r="F14" s="4">
        <v>500</v>
      </c>
      <c r="G14" s="4">
        <v>0.38</v>
      </c>
      <c r="H14" s="4">
        <f t="shared" si="11"/>
        <v>0.38</v>
      </c>
      <c r="I14" s="4">
        <f t="shared" si="12"/>
        <v>3173</v>
      </c>
      <c r="J14" s="51">
        <f t="shared" si="13"/>
        <v>878.01974999999993</v>
      </c>
      <c r="K14" s="6"/>
      <c r="L14" s="17"/>
    </row>
    <row r="15" spans="1:12" x14ac:dyDescent="0.35">
      <c r="A15" s="4" t="s">
        <v>910</v>
      </c>
      <c r="B15" s="4">
        <v>1</v>
      </c>
      <c r="C15" s="4">
        <v>4900</v>
      </c>
      <c r="D15" s="4">
        <f t="shared" si="9"/>
        <v>4900</v>
      </c>
      <c r="E15" s="4">
        <f t="shared" si="10"/>
        <v>490</v>
      </c>
      <c r="F15" s="4">
        <v>500</v>
      </c>
      <c r="G15" s="4">
        <v>0.2</v>
      </c>
      <c r="H15" s="4">
        <f t="shared" si="11"/>
        <v>0.2</v>
      </c>
      <c r="I15" s="4">
        <f t="shared" si="12"/>
        <v>1670</v>
      </c>
      <c r="J15" s="51">
        <f t="shared" si="13"/>
        <v>459.27</v>
      </c>
      <c r="K15" s="6"/>
      <c r="L15" s="17"/>
    </row>
    <row r="16" spans="1:12" x14ac:dyDescent="0.35">
      <c r="A16" s="4" t="s">
        <v>911</v>
      </c>
      <c r="B16" s="4">
        <v>1</v>
      </c>
      <c r="C16" s="4">
        <v>10900</v>
      </c>
      <c r="D16" s="4">
        <f t="shared" si="9"/>
        <v>10900</v>
      </c>
      <c r="E16" s="4">
        <f t="shared" si="10"/>
        <v>1090</v>
      </c>
      <c r="F16" s="4">
        <v>0</v>
      </c>
      <c r="G16" s="4">
        <v>0.6</v>
      </c>
      <c r="H16" s="4">
        <f t="shared" si="11"/>
        <v>0.6</v>
      </c>
      <c r="I16" s="4">
        <f t="shared" si="12"/>
        <v>5010</v>
      </c>
      <c r="J16" s="51">
        <f t="shared" si="13"/>
        <v>1032.75</v>
      </c>
      <c r="K16" s="6"/>
      <c r="L16" s="17"/>
    </row>
    <row r="17" spans="1:12" x14ac:dyDescent="0.35">
      <c r="A17" s="4" t="s">
        <v>912</v>
      </c>
      <c r="B17" s="4">
        <v>3</v>
      </c>
      <c r="C17" s="234">
        <v>3000</v>
      </c>
      <c r="D17" s="4">
        <f t="shared" si="9"/>
        <v>9000</v>
      </c>
      <c r="E17" s="4">
        <f t="shared" si="10"/>
        <v>900</v>
      </c>
      <c r="F17" s="4">
        <v>0</v>
      </c>
      <c r="G17" s="4">
        <v>0.1</v>
      </c>
      <c r="H17" s="4">
        <f t="shared" si="11"/>
        <v>0.30000000000000004</v>
      </c>
      <c r="I17" s="4">
        <f t="shared" si="12"/>
        <v>2505.0000000000005</v>
      </c>
      <c r="J17" s="51">
        <f t="shared" si="13"/>
        <v>753.60374999999999</v>
      </c>
      <c r="K17" s="6"/>
      <c r="L17" s="17"/>
    </row>
    <row r="18" spans="1:12" x14ac:dyDescent="0.35">
      <c r="A18" s="18" t="s">
        <v>918</v>
      </c>
      <c r="B18" s="18">
        <v>0</v>
      </c>
      <c r="C18" s="18"/>
      <c r="D18" s="18"/>
      <c r="E18" s="18"/>
      <c r="F18" s="18"/>
      <c r="G18" s="4"/>
      <c r="H18" s="4"/>
      <c r="I18" s="4">
        <f t="shared" si="12"/>
        <v>0</v>
      </c>
      <c r="J18" s="51">
        <f t="shared" si="13"/>
        <v>0</v>
      </c>
      <c r="K18" s="6"/>
      <c r="L18" s="17"/>
    </row>
    <row r="19" spans="1:12" x14ac:dyDescent="0.35">
      <c r="A19" s="4" t="s">
        <v>913</v>
      </c>
      <c r="B19" s="4">
        <v>1</v>
      </c>
      <c r="C19" s="4">
        <v>12000</v>
      </c>
      <c r="D19" s="4">
        <f t="shared" si="9"/>
        <v>12000</v>
      </c>
      <c r="E19" s="4">
        <f t="shared" si="10"/>
        <v>1200</v>
      </c>
      <c r="F19" s="4">
        <v>1000</v>
      </c>
      <c r="G19" s="4">
        <v>0.4</v>
      </c>
      <c r="H19" s="4">
        <f t="shared" si="11"/>
        <v>0.4</v>
      </c>
      <c r="I19" s="4">
        <f t="shared" si="12"/>
        <v>3340</v>
      </c>
      <c r="J19" s="51">
        <f t="shared" si="13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activeCell="M17" sqref="M17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89">
        <v>42653</v>
      </c>
      <c r="D1" s="30"/>
    </row>
    <row r="2" spans="1:12" ht="21" x14ac:dyDescent="0.5">
      <c r="A2" s="55" t="s">
        <v>239</v>
      </c>
      <c r="B2" s="4"/>
      <c r="C2" s="16">
        <v>10050</v>
      </c>
      <c r="D2" s="30"/>
    </row>
    <row r="3" spans="1:12" ht="21" x14ac:dyDescent="0.5">
      <c r="A3" s="55" t="s">
        <v>240</v>
      </c>
      <c r="B3" s="4"/>
      <c r="C3" s="170">
        <v>5.6390000000000003E-2</v>
      </c>
      <c r="D3" s="30"/>
    </row>
    <row r="4" spans="1:12" ht="15" thickBot="1" x14ac:dyDescent="0.4"/>
    <row r="5" spans="1:12" ht="43.5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152" t="s">
        <v>919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 t="shared" ref="L6" si="0">K6-J6</f>
        <v>43.126769999999965</v>
      </c>
    </row>
    <row r="7" spans="1:12" x14ac:dyDescent="0.35">
      <c r="A7" s="4" t="s">
        <v>920</v>
      </c>
      <c r="B7" s="4">
        <v>1</v>
      </c>
      <c r="C7" s="4">
        <v>13400</v>
      </c>
      <c r="D7" s="4">
        <f t="shared" ref="D7" si="1">B7*C7</f>
        <v>13400</v>
      </c>
      <c r="E7" s="4">
        <f>D7*0.1</f>
        <v>1340</v>
      </c>
      <c r="F7" s="4"/>
      <c r="G7" s="4">
        <v>0.34</v>
      </c>
      <c r="H7" s="4">
        <f t="shared" ref="H7" si="2"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" x14ac:dyDescent="0.7">
      <c r="A8" s="152" t="s">
        <v>827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 t="shared" ref="L8" si="3">K8-J8</f>
        <v>5.3597580000000562</v>
      </c>
    </row>
    <row r="9" spans="1:12" x14ac:dyDescent="0.35">
      <c r="A9" s="4" t="s">
        <v>921</v>
      </c>
      <c r="B9" s="4">
        <v>1</v>
      </c>
      <c r="C9" s="4">
        <v>8000</v>
      </c>
      <c r="D9" s="4">
        <f t="shared" ref="D9" si="4"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" x14ac:dyDescent="0.7">
      <c r="A10" s="152" t="s">
        <v>841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 t="shared" ref="L10" si="5">K10-J10</f>
        <v>8.5737550000000056</v>
      </c>
    </row>
    <row r="11" spans="1:12" x14ac:dyDescent="0.35">
      <c r="A11" s="4" t="s">
        <v>922</v>
      </c>
      <c r="B11" s="4">
        <v>1</v>
      </c>
      <c r="C11" s="4">
        <v>9900</v>
      </c>
      <c r="D11" s="4">
        <f t="shared" ref="D11" si="6">B11*C11</f>
        <v>9900</v>
      </c>
      <c r="E11" s="4">
        <f>D11*0.1</f>
        <v>990</v>
      </c>
      <c r="F11" s="4"/>
      <c r="G11" s="4">
        <v>0.11</v>
      </c>
      <c r="H11" s="4">
        <f t="shared" ref="H11" si="7"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" x14ac:dyDescent="0.7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 t="shared" ref="L12" si="8">K12-J12</f>
        <v>-3.5540000000082728E-2</v>
      </c>
    </row>
    <row r="13" spans="1:12" x14ac:dyDescent="0.35">
      <c r="A13" s="21" t="s">
        <v>67</v>
      </c>
      <c r="B13" s="4">
        <v>1</v>
      </c>
      <c r="C13" s="21">
        <v>14800</v>
      </c>
      <c r="D13" s="4">
        <f t="shared" ref="D13" si="9">B13*C13</f>
        <v>14800</v>
      </c>
      <c r="E13" s="4">
        <f>D13*0.1</f>
        <v>1480</v>
      </c>
      <c r="F13" s="4"/>
      <c r="G13" s="21">
        <v>0.12</v>
      </c>
      <c r="H13" s="4">
        <f t="shared" ref="H13" si="10"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" x14ac:dyDescent="0.7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 t="shared" ref="L14" si="11">K14-J14</f>
        <v>2.8224049999998897</v>
      </c>
    </row>
    <row r="15" spans="1:12" x14ac:dyDescent="0.35">
      <c r="A15" s="4" t="s">
        <v>923</v>
      </c>
      <c r="B15" s="4">
        <v>1</v>
      </c>
      <c r="C15" s="4">
        <v>9900</v>
      </c>
      <c r="D15" s="4">
        <f t="shared" ref="D15:D19" si="12">B15*C15</f>
        <v>9900</v>
      </c>
      <c r="E15" s="4">
        <f t="shared" ref="E15:E19" si="13">D15*0.1</f>
        <v>990</v>
      </c>
      <c r="F15" s="4"/>
      <c r="G15" s="4">
        <v>0.14000000000000001</v>
      </c>
      <c r="H15" s="4">
        <f t="shared" ref="H15:H19" si="14">G15*B15</f>
        <v>0.14000000000000001</v>
      </c>
      <c r="I15" s="4">
        <f t="shared" ref="I15:I19" si="15">H15*$C$2</f>
        <v>1407.0000000000002</v>
      </c>
      <c r="J15" s="51">
        <f t="shared" ref="J15:J19" si="16">(D15+E15+F15+I15)*$C$3</f>
        <v>693.42783000000009</v>
      </c>
      <c r="K15" s="6"/>
      <c r="L15" s="17"/>
    </row>
    <row r="16" spans="1:12" x14ac:dyDescent="0.35">
      <c r="A16" s="4" t="s">
        <v>922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/>
      <c r="G16" s="4">
        <v>0.11</v>
      </c>
      <c r="H16" s="4">
        <f t="shared" si="14"/>
        <v>0.11</v>
      </c>
      <c r="I16" s="4">
        <f t="shared" si="15"/>
        <v>1105.5</v>
      </c>
      <c r="J16" s="51">
        <f t="shared" si="16"/>
        <v>676.42624499999999</v>
      </c>
      <c r="K16" s="6"/>
      <c r="L16" s="17"/>
    </row>
    <row r="17" spans="1:12" x14ac:dyDescent="0.35">
      <c r="A17" s="4" t="s">
        <v>620</v>
      </c>
      <c r="B17" s="4">
        <v>1</v>
      </c>
      <c r="C17" s="4">
        <v>2000</v>
      </c>
      <c r="D17" s="4">
        <f t="shared" ref="D17" si="17">B17*C17</f>
        <v>2000</v>
      </c>
      <c r="E17" s="4">
        <f t="shared" ref="E17" si="18">D17*0.1</f>
        <v>200</v>
      </c>
      <c r="F17" s="4"/>
      <c r="G17" s="4">
        <v>0.05</v>
      </c>
      <c r="H17" s="4">
        <f t="shared" ref="H17" si="19">G17*B17</f>
        <v>0.05</v>
      </c>
      <c r="I17" s="4">
        <f t="shared" ref="I17" si="20">H17*$C$2</f>
        <v>502.5</v>
      </c>
      <c r="J17" s="51">
        <f t="shared" ref="J17" si="21">(D17+E17+F17+I17)*$C$3</f>
        <v>152.39397500000001</v>
      </c>
      <c r="K17" s="6"/>
      <c r="L17" s="17"/>
    </row>
    <row r="18" spans="1:12" x14ac:dyDescent="0.35">
      <c r="A18" s="4" t="s">
        <v>256</v>
      </c>
      <c r="B18" s="4">
        <v>1</v>
      </c>
      <c r="C18" s="4">
        <v>6000</v>
      </c>
      <c r="D18" s="4">
        <f t="shared" si="12"/>
        <v>6000</v>
      </c>
      <c r="E18" s="4">
        <f t="shared" si="13"/>
        <v>600</v>
      </c>
      <c r="F18" s="4"/>
      <c r="G18" s="4">
        <v>0.21</v>
      </c>
      <c r="H18" s="4">
        <f t="shared" si="14"/>
        <v>0.21</v>
      </c>
      <c r="I18" s="4">
        <f t="shared" si="15"/>
        <v>2110.5</v>
      </c>
      <c r="J18" s="51">
        <f t="shared" si="16"/>
        <v>491.18509500000005</v>
      </c>
      <c r="K18" s="6"/>
      <c r="L18" s="17"/>
    </row>
    <row r="19" spans="1:12" x14ac:dyDescent="0.35">
      <c r="A19" s="4" t="s">
        <v>924</v>
      </c>
      <c r="B19" s="4">
        <v>1</v>
      </c>
      <c r="C19" s="4">
        <v>2500</v>
      </c>
      <c r="D19" s="4">
        <f t="shared" si="12"/>
        <v>2500</v>
      </c>
      <c r="E19" s="4">
        <f t="shared" si="13"/>
        <v>250</v>
      </c>
      <c r="F19" s="4"/>
      <c r="G19" s="4">
        <v>0.1</v>
      </c>
      <c r="H19" s="4">
        <f t="shared" si="14"/>
        <v>0.1</v>
      </c>
      <c r="I19" s="4">
        <f t="shared" si="15"/>
        <v>1005</v>
      </c>
      <c r="J19" s="51">
        <f t="shared" si="16"/>
        <v>211.74445</v>
      </c>
      <c r="K19" s="6"/>
      <c r="L19" s="17"/>
    </row>
    <row r="20" spans="1:12" ht="31" x14ac:dyDescent="0.7">
      <c r="A20" s="152" t="s">
        <v>763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 t="shared" ref="L20" si="22">K20-J20</f>
        <v>-711.82240000000002</v>
      </c>
    </row>
    <row r="21" spans="1:12" x14ac:dyDescent="0.35">
      <c r="A21" s="4" t="s">
        <v>925</v>
      </c>
      <c r="B21" s="4">
        <v>1</v>
      </c>
      <c r="C21" s="4">
        <v>6900</v>
      </c>
      <c r="D21" s="4">
        <f t="shared" ref="D21:D22" si="23">B21*C21</f>
        <v>6900</v>
      </c>
      <c r="E21" s="4">
        <f t="shared" ref="E21:E22" si="24">D21*0.1</f>
        <v>690</v>
      </c>
      <c r="F21" s="4"/>
      <c r="G21" s="4">
        <v>0.1</v>
      </c>
      <c r="H21" s="4">
        <f t="shared" ref="H21:H22" si="25">G21*B21</f>
        <v>0.1</v>
      </c>
      <c r="I21" s="4">
        <f t="shared" ref="I21" si="26">H21*$C$2</f>
        <v>1005</v>
      </c>
      <c r="J21" s="51">
        <f t="shared" ref="J21" si="27">(D21+E21+F21+I21)*$C$3</f>
        <v>484.67205000000001</v>
      </c>
      <c r="K21" s="6"/>
      <c r="L21" s="17"/>
    </row>
    <row r="22" spans="1:12" x14ac:dyDescent="0.35">
      <c r="A22" s="4" t="s">
        <v>926</v>
      </c>
      <c r="B22" s="4">
        <v>1</v>
      </c>
      <c r="C22" s="4">
        <v>5500</v>
      </c>
      <c r="D22" s="4">
        <f t="shared" si="23"/>
        <v>5500</v>
      </c>
      <c r="E22" s="4">
        <f t="shared" si="24"/>
        <v>550</v>
      </c>
      <c r="F22" s="4">
        <v>2500</v>
      </c>
      <c r="G22" s="4">
        <v>0.3</v>
      </c>
      <c r="H22" s="4">
        <f t="shared" si="25"/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" x14ac:dyDescent="0.7">
      <c r="A23" s="152" t="s">
        <v>927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 t="shared" ref="L23" si="28">K23-J23</f>
        <v>0.32263499999999112</v>
      </c>
    </row>
    <row r="24" spans="1:12" x14ac:dyDescent="0.35">
      <c r="A24" s="4" t="s">
        <v>928</v>
      </c>
      <c r="B24" s="4">
        <v>1</v>
      </c>
      <c r="C24" s="4">
        <v>12400</v>
      </c>
      <c r="D24" s="4">
        <f t="shared" ref="D24:D25" si="29">B24*C24</f>
        <v>12400</v>
      </c>
      <c r="E24" s="4">
        <f t="shared" ref="E24:E25" si="30">D24*0.1</f>
        <v>1240</v>
      </c>
      <c r="F24" s="4"/>
      <c r="G24" s="4">
        <v>0.28999999999999998</v>
      </c>
      <c r="H24" s="4">
        <f t="shared" ref="H24:H25" si="31">G24*B24</f>
        <v>0.28999999999999998</v>
      </c>
      <c r="I24" s="4">
        <f t="shared" ref="I24:I25" si="32">H24*$C$2</f>
        <v>2914.5</v>
      </c>
      <c r="J24" s="51">
        <f t="shared" ref="J24:J25" si="33">(D24+E24+F24+I24)*$C$3</f>
        <v>933.50825500000008</v>
      </c>
      <c r="K24" s="6"/>
      <c r="L24" s="17"/>
    </row>
    <row r="25" spans="1:12" x14ac:dyDescent="0.35">
      <c r="A25" s="4" t="s">
        <v>467</v>
      </c>
      <c r="B25" s="4">
        <v>1</v>
      </c>
      <c r="C25" s="4">
        <v>12400</v>
      </c>
      <c r="D25" s="4">
        <f t="shared" si="29"/>
        <v>12400</v>
      </c>
      <c r="E25" s="4">
        <f t="shared" si="30"/>
        <v>1240</v>
      </c>
      <c r="F25" s="4"/>
      <c r="G25" s="4">
        <v>0.18</v>
      </c>
      <c r="H25" s="4">
        <f t="shared" si="31"/>
        <v>0.18</v>
      </c>
      <c r="I25" s="4">
        <f t="shared" si="32"/>
        <v>1809</v>
      </c>
      <c r="J25" s="51">
        <f t="shared" si="33"/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11" max="11" width="11.54296875" customWidth="1"/>
    <col min="12" max="12" width="10.81640625" customWidth="1"/>
  </cols>
  <sheetData>
    <row r="1" spans="1:13" ht="21" x14ac:dyDescent="0.5">
      <c r="A1" s="55" t="s">
        <v>281</v>
      </c>
      <c r="B1" s="4"/>
      <c r="C1" s="189">
        <v>42653</v>
      </c>
      <c r="D1" s="30"/>
    </row>
    <row r="2" spans="1:13" ht="21" x14ac:dyDescent="0.5">
      <c r="A2" s="55" t="s">
        <v>239</v>
      </c>
      <c r="B2" s="4"/>
      <c r="C2" s="16">
        <v>8670</v>
      </c>
      <c r="D2" s="30"/>
    </row>
    <row r="3" spans="1:13" ht="21" x14ac:dyDescent="0.5">
      <c r="A3" s="55" t="s">
        <v>240</v>
      </c>
      <c r="B3" s="4"/>
      <c r="C3" s="170">
        <v>5.7279999999999998E-2</v>
      </c>
      <c r="D3" s="30"/>
    </row>
    <row r="4" spans="1:13" ht="15" thickBot="1" x14ac:dyDescent="0.4"/>
    <row r="5" spans="1:13" ht="43.5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" x14ac:dyDescent="0.7">
      <c r="A6" s="152" t="s">
        <v>931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 t="shared" ref="L6" si="0">K6-J6</f>
        <v>3.6000000000058208E-2</v>
      </c>
    </row>
    <row r="7" spans="1:13" x14ac:dyDescent="0.35">
      <c r="A7" s="4" t="s">
        <v>932</v>
      </c>
      <c r="B7" s="4">
        <v>2</v>
      </c>
      <c r="C7" s="5">
        <v>12000</v>
      </c>
      <c r="D7" s="4">
        <f t="shared" ref="D7" si="1"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950</v>
      </c>
    </row>
    <row r="8" spans="1:13" ht="31" x14ac:dyDescent="0.7">
      <c r="A8" s="152" t="s">
        <v>933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 t="shared" ref="L8" si="2">K8-J8</f>
        <v>-9.2895999999996093E-2</v>
      </c>
    </row>
    <row r="9" spans="1:13" x14ac:dyDescent="0.35">
      <c r="A9" s="4" t="s">
        <v>934</v>
      </c>
      <c r="B9" s="4">
        <v>1</v>
      </c>
      <c r="C9" s="4">
        <v>12900</v>
      </c>
      <c r="D9" s="4">
        <f t="shared" ref="D9" si="3"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" x14ac:dyDescent="0.7">
      <c r="A10" s="152" t="s">
        <v>935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 t="shared" ref="L10" si="4">K10-J10</f>
        <v>0.12015999999994165</v>
      </c>
    </row>
    <row r="11" spans="1:13" x14ac:dyDescent="0.35">
      <c r="A11" s="4" t="s">
        <v>936</v>
      </c>
      <c r="B11" s="4">
        <v>10</v>
      </c>
      <c r="C11" s="4">
        <v>500</v>
      </c>
      <c r="D11" s="4">
        <f t="shared" ref="D11:D14" si="5">B11*C11</f>
        <v>5000</v>
      </c>
      <c r="E11" s="4">
        <f t="shared" ref="E11:E14" si="6">D11*0.1</f>
        <v>500</v>
      </c>
      <c r="F11" s="4"/>
      <c r="G11" s="4"/>
      <c r="H11" s="4">
        <v>0.21</v>
      </c>
      <c r="I11" s="4">
        <f t="shared" ref="I11" si="7">H11*$C$2</f>
        <v>1820.7</v>
      </c>
      <c r="J11" s="51">
        <f t="shared" ref="J11" si="8">(D11+E11+F11+I11)*$C$3</f>
        <v>419.32969599999996</v>
      </c>
      <c r="K11" s="6"/>
      <c r="L11" s="17"/>
      <c r="M11" t="s">
        <v>951</v>
      </c>
    </row>
    <row r="12" spans="1:13" x14ac:dyDescent="0.35">
      <c r="A12" s="4" t="s">
        <v>945</v>
      </c>
      <c r="B12" s="4">
        <v>1</v>
      </c>
      <c r="C12" s="4">
        <v>2550</v>
      </c>
      <c r="D12" s="4">
        <f t="shared" si="5"/>
        <v>2550</v>
      </c>
      <c r="E12" s="4">
        <f t="shared" si="6"/>
        <v>255</v>
      </c>
      <c r="F12" s="4">
        <v>500</v>
      </c>
      <c r="G12" s="4">
        <v>0.1</v>
      </c>
      <c r="H12" s="4">
        <f t="shared" ref="H12" si="9">G12*B12</f>
        <v>0.1</v>
      </c>
      <c r="I12" s="4">
        <f t="shared" ref="I12:I13" si="10">H12*$C$2</f>
        <v>867</v>
      </c>
      <c r="J12" s="51">
        <f t="shared" ref="J12:J13" si="11">(D12+E12+F12+I12)*$C$3</f>
        <v>238.97216</v>
      </c>
      <c r="K12" s="6"/>
      <c r="L12" s="17"/>
    </row>
    <row r="13" spans="1:13" x14ac:dyDescent="0.35">
      <c r="A13" s="4" t="s">
        <v>261</v>
      </c>
      <c r="B13" s="4">
        <v>1</v>
      </c>
      <c r="C13" s="4">
        <v>6200</v>
      </c>
      <c r="D13" s="4">
        <f t="shared" si="5"/>
        <v>6200</v>
      </c>
      <c r="E13" s="4">
        <f t="shared" si="6"/>
        <v>620</v>
      </c>
      <c r="F13" s="4">
        <v>500</v>
      </c>
      <c r="G13" s="4">
        <v>0.2</v>
      </c>
      <c r="H13" s="4">
        <f t="shared" ref="H13" si="12">G13*B13</f>
        <v>0.2</v>
      </c>
      <c r="I13" s="4">
        <f t="shared" si="10"/>
        <v>1734</v>
      </c>
      <c r="J13" s="51">
        <f t="shared" si="11"/>
        <v>518.61311999999998</v>
      </c>
      <c r="K13" s="6"/>
      <c r="L13" s="17"/>
    </row>
    <row r="14" spans="1:13" x14ac:dyDescent="0.35">
      <c r="A14" s="4" t="s">
        <v>273</v>
      </c>
      <c r="B14" s="4">
        <v>1</v>
      </c>
      <c r="C14" s="4">
        <v>4800</v>
      </c>
      <c r="D14" s="4">
        <f t="shared" si="5"/>
        <v>4800</v>
      </c>
      <c r="E14" s="4">
        <f t="shared" si="6"/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" x14ac:dyDescent="0.7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 t="shared" ref="L15" si="13">K15-J15</f>
        <v>13.034239999999954</v>
      </c>
    </row>
    <row r="16" spans="1:13" x14ac:dyDescent="0.35">
      <c r="A16" s="4" t="s">
        <v>256</v>
      </c>
      <c r="B16" s="4">
        <v>1</v>
      </c>
      <c r="C16" s="4">
        <v>2500</v>
      </c>
      <c r="D16" s="4">
        <f t="shared" ref="D16:D17" si="14">B16*C16</f>
        <v>2500</v>
      </c>
      <c r="E16" s="4">
        <f t="shared" ref="E16:E17" si="15">D16*0.1</f>
        <v>250</v>
      </c>
      <c r="F16" s="4">
        <v>500</v>
      </c>
      <c r="G16" s="4">
        <v>0.2</v>
      </c>
      <c r="H16" s="4">
        <f t="shared" ref="H16:H17" si="16">G16*B16</f>
        <v>0.2</v>
      </c>
      <c r="I16" s="4">
        <f t="shared" ref="I16:I17" si="17">H16*$C$2</f>
        <v>1734</v>
      </c>
      <c r="J16" s="51">
        <f t="shared" ref="J16:J17" si="18">(D16+E16+F16+I16)*$C$3</f>
        <v>285.48352</v>
      </c>
      <c r="K16" s="6"/>
      <c r="L16" s="17"/>
    </row>
    <row r="17" spans="1:13" x14ac:dyDescent="0.35">
      <c r="A17" s="21" t="s">
        <v>937</v>
      </c>
      <c r="B17" s="4">
        <v>1</v>
      </c>
      <c r="C17" s="4">
        <v>16900</v>
      </c>
      <c r="D17" s="4">
        <f t="shared" si="14"/>
        <v>16900</v>
      </c>
      <c r="E17" s="4">
        <f t="shared" si="15"/>
        <v>1690</v>
      </c>
      <c r="F17" s="4">
        <v>0</v>
      </c>
      <c r="G17" s="4">
        <v>0.4</v>
      </c>
      <c r="H17" s="4">
        <f t="shared" si="16"/>
        <v>0.4</v>
      </c>
      <c r="I17" s="4">
        <f t="shared" si="17"/>
        <v>3468</v>
      </c>
      <c r="J17" s="51">
        <f t="shared" si="18"/>
        <v>1263.48224</v>
      </c>
      <c r="K17" s="6"/>
      <c r="L17" s="17"/>
    </row>
    <row r="18" spans="1:13" ht="31" x14ac:dyDescent="0.7">
      <c r="A18" s="152" t="s">
        <v>680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 t="shared" ref="L18" si="19">K18-J18</f>
        <v>9.3056000000160566E-2</v>
      </c>
    </row>
    <row r="19" spans="1:13" x14ac:dyDescent="0.35">
      <c r="A19" s="4" t="s">
        <v>938</v>
      </c>
      <c r="B19" s="4">
        <v>1</v>
      </c>
      <c r="C19" s="4">
        <v>12400</v>
      </c>
      <c r="D19" s="4">
        <f t="shared" ref="D19:D20" si="20">B19*C19</f>
        <v>12400</v>
      </c>
      <c r="E19" s="4">
        <f t="shared" ref="E19:E20" si="21">D19*0.1</f>
        <v>1240</v>
      </c>
      <c r="F19" s="4"/>
      <c r="G19" s="234">
        <v>0.25</v>
      </c>
      <c r="H19" s="4">
        <f t="shared" ref="H19:H20" si="22">G19*B19</f>
        <v>0.25</v>
      </c>
      <c r="I19" s="4">
        <f t="shared" ref="I19" si="23">H19*$C$2</f>
        <v>2167.5</v>
      </c>
      <c r="J19" s="51">
        <f t="shared" ref="J19" si="24">(D19+E19+F19+I19)*$C$3</f>
        <v>905.45359999999994</v>
      </c>
      <c r="K19" s="6"/>
      <c r="L19" s="17"/>
    </row>
    <row r="20" spans="1:13" x14ac:dyDescent="0.35">
      <c r="A20" s="4" t="s">
        <v>939</v>
      </c>
      <c r="B20" s="4">
        <v>1</v>
      </c>
      <c r="C20" s="4">
        <v>10900</v>
      </c>
      <c r="D20" s="4">
        <f t="shared" si="20"/>
        <v>10900</v>
      </c>
      <c r="E20" s="4">
        <f t="shared" si="21"/>
        <v>1090</v>
      </c>
      <c r="F20" s="4"/>
      <c r="G20" s="4">
        <v>0.69</v>
      </c>
      <c r="H20" s="4">
        <f t="shared" si="22"/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" x14ac:dyDescent="0.7">
      <c r="A21" s="152" t="s">
        <v>767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 t="shared" ref="L21" si="25">K21-J21</f>
        <v>-1.9703786666666474</v>
      </c>
    </row>
    <row r="22" spans="1:13" x14ac:dyDescent="0.35">
      <c r="A22" s="4" t="s">
        <v>940</v>
      </c>
      <c r="B22" s="4">
        <v>1</v>
      </c>
      <c r="C22" s="234">
        <v>4560</v>
      </c>
      <c r="D22" s="4">
        <f t="shared" ref="D22:D23" si="26">B22*C22</f>
        <v>4560</v>
      </c>
      <c r="E22" s="4">
        <f t="shared" ref="E22:E23" si="27">D22*0.1</f>
        <v>456</v>
      </c>
      <c r="F22" s="4">
        <f>2500/6</f>
        <v>416.66666666666669</v>
      </c>
      <c r="G22" s="4">
        <v>0.1</v>
      </c>
      <c r="H22" s="4">
        <f t="shared" ref="H22:H23" si="28">G22*B22</f>
        <v>0.1</v>
      </c>
      <c r="I22" s="4">
        <f t="shared" ref="I22" si="29">H22*$C$2</f>
        <v>867</v>
      </c>
      <c r="J22" s="51">
        <f t="shared" ref="J22" si="30">(D22+E22+F22+I22)*$C$3</f>
        <v>360.84490666666665</v>
      </c>
      <c r="K22" s="6"/>
      <c r="L22" s="17"/>
    </row>
    <row r="23" spans="1:13" x14ac:dyDescent="0.35">
      <c r="A23" s="4" t="s">
        <v>941</v>
      </c>
      <c r="B23" s="4">
        <v>1</v>
      </c>
      <c r="C23" s="4">
        <v>2780</v>
      </c>
      <c r="D23" s="4">
        <f t="shared" si="26"/>
        <v>2780</v>
      </c>
      <c r="E23" s="4">
        <f t="shared" si="27"/>
        <v>278</v>
      </c>
      <c r="F23" s="4">
        <v>2500</v>
      </c>
      <c r="G23" s="4">
        <v>7.0000000000000007E-2</v>
      </c>
      <c r="H23" s="4">
        <f t="shared" si="28"/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" x14ac:dyDescent="0.7">
      <c r="A24" s="152" t="s">
        <v>892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 t="shared" ref="L24" si="31">K24-J24</f>
        <v>-0.29763199999979406</v>
      </c>
    </row>
    <row r="25" spans="1:13" x14ac:dyDescent="0.35">
      <c r="A25" s="37" t="s">
        <v>942</v>
      </c>
      <c r="B25" s="4">
        <v>1</v>
      </c>
      <c r="C25" s="4">
        <v>9800</v>
      </c>
      <c r="D25" s="4">
        <f t="shared" ref="D25:D26" si="32">B25*C25</f>
        <v>9800</v>
      </c>
      <c r="E25" s="4">
        <f t="shared" ref="E25:E26" si="33">D25*0.1</f>
        <v>980</v>
      </c>
      <c r="F25" s="4"/>
      <c r="G25" s="4">
        <v>0.3</v>
      </c>
      <c r="H25" s="4">
        <f t="shared" ref="H25:H26" si="34">G25*B25</f>
        <v>0.3</v>
      </c>
      <c r="I25" s="4">
        <f t="shared" ref="I25:I26" si="35">H25*$C$2</f>
        <v>2601</v>
      </c>
      <c r="J25" s="51">
        <f t="shared" ref="J25:J26" si="36">(D25+E25+F25+I25)*$C$3</f>
        <v>766.46367999999995</v>
      </c>
      <c r="K25" s="6"/>
      <c r="L25" s="17"/>
    </row>
    <row r="26" spans="1:13" x14ac:dyDescent="0.35">
      <c r="A26" t="s">
        <v>943</v>
      </c>
      <c r="B26" s="4">
        <v>1</v>
      </c>
      <c r="C26" s="4">
        <v>5900</v>
      </c>
      <c r="D26" s="4">
        <f t="shared" si="32"/>
        <v>5900</v>
      </c>
      <c r="E26" s="4">
        <f t="shared" si="33"/>
        <v>590</v>
      </c>
      <c r="F26" s="4"/>
      <c r="G26" s="4">
        <v>0.27</v>
      </c>
      <c r="H26" s="4">
        <f t="shared" si="34"/>
        <v>0.27</v>
      </c>
      <c r="I26" s="4">
        <f t="shared" si="35"/>
        <v>2340.9</v>
      </c>
      <c r="J26" s="51">
        <f t="shared" si="36"/>
        <v>505.83395199999995</v>
      </c>
      <c r="K26" s="6"/>
      <c r="L26" s="17"/>
    </row>
    <row r="27" spans="1:13" ht="31" x14ac:dyDescent="0.7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 t="shared" ref="L27" si="37">K27-J27</f>
        <v>15.828233600000203</v>
      </c>
    </row>
    <row r="28" spans="1:13" x14ac:dyDescent="0.35">
      <c r="A28" s="4" t="s">
        <v>105</v>
      </c>
      <c r="B28" s="4">
        <v>1</v>
      </c>
      <c r="C28" s="4">
        <v>10000</v>
      </c>
      <c r="D28" s="4">
        <f t="shared" ref="D28:D30" si="38">B28*C28</f>
        <v>10000</v>
      </c>
      <c r="E28" s="4">
        <f t="shared" ref="E28:E30" si="39">D28*0.1</f>
        <v>1000</v>
      </c>
      <c r="F28" s="4"/>
      <c r="G28" s="4">
        <f>0.2+0.122</f>
        <v>0.32200000000000001</v>
      </c>
      <c r="H28" s="4">
        <f t="shared" ref="H28:H30" si="40">G28*B28</f>
        <v>0.32200000000000001</v>
      </c>
      <c r="I28" s="4">
        <f t="shared" ref="I28:I30" si="41">H28*$C$2</f>
        <v>2791.7400000000002</v>
      </c>
      <c r="J28" s="51">
        <f t="shared" ref="J28:J30" si="42">(D28+E28+F28+I28)*$C$3</f>
        <v>789.99086719999991</v>
      </c>
      <c r="K28" s="6"/>
      <c r="L28" s="17"/>
      <c r="M28" t="s">
        <v>952</v>
      </c>
    </row>
    <row r="29" spans="1:13" x14ac:dyDescent="0.35">
      <c r="A29" s="4" t="s">
        <v>944</v>
      </c>
      <c r="B29" s="4">
        <v>1</v>
      </c>
      <c r="C29" s="4">
        <v>2500</v>
      </c>
      <c r="D29" s="4">
        <f t="shared" si="38"/>
        <v>2500</v>
      </c>
      <c r="E29" s="4">
        <f t="shared" si="39"/>
        <v>250</v>
      </c>
      <c r="F29" s="4"/>
      <c r="G29" s="4">
        <v>1.2E-2</v>
      </c>
      <c r="H29" s="4">
        <f t="shared" si="40"/>
        <v>1.2E-2</v>
      </c>
      <c r="I29" s="4">
        <f t="shared" si="41"/>
        <v>104.04</v>
      </c>
      <c r="J29" s="51">
        <f t="shared" si="42"/>
        <v>163.47941119999999</v>
      </c>
      <c r="K29" s="6"/>
      <c r="L29" s="17"/>
    </row>
    <row r="30" spans="1:13" x14ac:dyDescent="0.35">
      <c r="A30" s="4" t="s">
        <v>256</v>
      </c>
      <c r="B30" s="4">
        <v>1</v>
      </c>
      <c r="C30" s="4">
        <v>8000</v>
      </c>
      <c r="D30" s="4">
        <f t="shared" si="38"/>
        <v>8000</v>
      </c>
      <c r="E30" s="4">
        <f t="shared" si="39"/>
        <v>800</v>
      </c>
      <c r="F30" s="4"/>
      <c r="G30" s="4">
        <v>0.255</v>
      </c>
      <c r="H30" s="4">
        <f t="shared" si="40"/>
        <v>0.255</v>
      </c>
      <c r="I30" s="4">
        <f t="shared" si="41"/>
        <v>2210.85</v>
      </c>
      <c r="J30" s="51">
        <f t="shared" si="42"/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80" zoomScaleNormal="80" workbookViewId="0">
      <selection sqref="A1:XFD1048576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8" max="8" width="10.63281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89">
        <v>42724</v>
      </c>
      <c r="D1" s="30"/>
    </row>
    <row r="2" spans="1:12" ht="21" x14ac:dyDescent="0.5">
      <c r="A2" s="55" t="s">
        <v>239</v>
      </c>
      <c r="B2" s="4"/>
      <c r="C2" s="16">
        <v>8670</v>
      </c>
      <c r="D2" s="30"/>
    </row>
    <row r="3" spans="1:12" ht="21" x14ac:dyDescent="0.5">
      <c r="A3" s="55" t="s">
        <v>240</v>
      </c>
      <c r="B3" s="4"/>
      <c r="C3" s="170">
        <v>5.2839999999999998E-2</v>
      </c>
      <c r="D3" s="30"/>
    </row>
    <row r="4" spans="1:12" ht="15" thickBot="1" x14ac:dyDescent="0.4"/>
    <row r="5" spans="1:12" ht="43.5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35">
      <c r="A7" s="4" t="s">
        <v>953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" x14ac:dyDescent="0.7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 t="shared" ref="L8" si="2">K8-J8</f>
        <v>-17.829140000000052</v>
      </c>
    </row>
    <row r="9" spans="1:12" x14ac:dyDescent="0.35">
      <c r="A9" s="4" t="s">
        <v>954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" x14ac:dyDescent="0.7">
      <c r="A10" s="152" t="s">
        <v>955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 t="shared" ref="L10" si="4">K10-J10</f>
        <v>-9.4241599999999153</v>
      </c>
    </row>
    <row r="11" spans="1:12" x14ac:dyDescent="0.35">
      <c r="A11" s="21" t="s">
        <v>956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" x14ac:dyDescent="0.7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3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" x14ac:dyDescent="0.7">
      <c r="A14" s="152" t="s">
        <v>957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35">
      <c r="A15" s="4" t="s">
        <v>958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3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" x14ac:dyDescent="0.7">
      <c r="A17" s="152" t="s">
        <v>959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35">
      <c r="A18" s="235" t="s">
        <v>960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35">
      <c r="A19" s="235" t="s">
        <v>961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35">
      <c r="A20" s="235" t="s">
        <v>962</v>
      </c>
      <c r="B20" s="4">
        <v>4</v>
      </c>
      <c r="C20" s="4">
        <v>2800</v>
      </c>
      <c r="D20" s="4">
        <f t="shared" ref="D20" si="18">B20*C20</f>
        <v>11200</v>
      </c>
      <c r="E20" s="4">
        <f t="shared" ref="E20" si="19">D20*0.1</f>
        <v>1120</v>
      </c>
      <c r="F20" s="4">
        <v>0</v>
      </c>
      <c r="G20" s="4"/>
      <c r="H20" s="4"/>
      <c r="I20" s="4">
        <f t="shared" ref="I20" si="20">H20*$C$2</f>
        <v>0</v>
      </c>
      <c r="J20" s="51">
        <f t="shared" ref="J20" si="21">(D20+E20+F20+I20)*$C$3</f>
        <v>650.98879999999997</v>
      </c>
      <c r="K20" s="6"/>
      <c r="L20" s="17"/>
    </row>
    <row r="21" spans="1:12" x14ac:dyDescent="0.35">
      <c r="A21" s="235" t="s">
        <v>963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35">
      <c r="A22" s="21" t="s">
        <v>964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70" zoomScaleNormal="70" workbookViewId="0">
      <selection activeCell="K9" sqref="K9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8" max="8" width="10.63281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89">
        <v>42724</v>
      </c>
      <c r="D1" s="30"/>
    </row>
    <row r="2" spans="1:12" ht="21" x14ac:dyDescent="0.5">
      <c r="A2" s="55" t="s">
        <v>239</v>
      </c>
      <c r="B2" s="4"/>
      <c r="C2" s="16">
        <v>8670</v>
      </c>
      <c r="D2" s="30"/>
    </row>
    <row r="3" spans="1:12" ht="21" x14ac:dyDescent="0.5">
      <c r="A3" s="55" t="s">
        <v>240</v>
      </c>
      <c r="B3" s="4"/>
      <c r="C3" s="170">
        <v>5.2839999999999998E-2</v>
      </c>
      <c r="D3" s="30"/>
    </row>
    <row r="4" spans="1:12" ht="15" thickBot="1" x14ac:dyDescent="0.4"/>
    <row r="5" spans="1:12" ht="43.5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35">
      <c r="A7" s="4" t="s">
        <v>953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" x14ac:dyDescent="0.7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f>1013+18</f>
        <v>1031</v>
      </c>
      <c r="L8" s="10">
        <f t="shared" ref="L8" si="2">K8-J8</f>
        <v>0.17085999999994783</v>
      </c>
    </row>
    <row r="9" spans="1:12" x14ac:dyDescent="0.35">
      <c r="A9" s="4" t="s">
        <v>954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" x14ac:dyDescent="0.7">
      <c r="A10" s="152" t="s">
        <v>955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f>832+9</f>
        <v>841</v>
      </c>
      <c r="L10" s="10">
        <f t="shared" ref="L10" si="4">K10-J10</f>
        <v>-0.42415999999991527</v>
      </c>
    </row>
    <row r="11" spans="1:12" x14ac:dyDescent="0.35">
      <c r="A11" s="21" t="s">
        <v>956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" x14ac:dyDescent="0.7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3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" x14ac:dyDescent="0.7">
      <c r="A14" s="152" t="s">
        <v>957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35">
      <c r="A15" s="4" t="s">
        <v>958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3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" x14ac:dyDescent="0.7">
      <c r="A17" s="152" t="s">
        <v>959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35">
      <c r="A18" s="235" t="s">
        <v>960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35">
      <c r="A19" s="235" t="s">
        <v>961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35">
      <c r="A20" s="235" t="s">
        <v>962</v>
      </c>
      <c r="B20" s="4">
        <v>4</v>
      </c>
      <c r="C20" s="4">
        <v>2800</v>
      </c>
      <c r="D20" s="4">
        <f t="shared" si="14"/>
        <v>11200</v>
      </c>
      <c r="E20" s="4">
        <f t="shared" si="15"/>
        <v>1120</v>
      </c>
      <c r="F20" s="4">
        <v>0</v>
      </c>
      <c r="G20" s="4"/>
      <c r="H20" s="4"/>
      <c r="I20" s="4">
        <f t="shared" si="16"/>
        <v>0</v>
      </c>
      <c r="J20" s="51">
        <f t="shared" si="17"/>
        <v>650.98879999999997</v>
      </c>
      <c r="K20" s="6"/>
      <c r="L20" s="17"/>
    </row>
    <row r="21" spans="1:12" x14ac:dyDescent="0.35">
      <c r="A21" s="235" t="s">
        <v>963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35">
      <c r="A22" s="21" t="s">
        <v>964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18" customHeight="1" x14ac:dyDescent="0.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5">
      <c r="A2" s="55" t="s">
        <v>14</v>
      </c>
      <c r="B2" s="4"/>
      <c r="C2" s="16">
        <v>6720</v>
      </c>
      <c r="D2" s="30" t="s">
        <v>141</v>
      </c>
    </row>
    <row r="3" spans="1:12" ht="18.5" x14ac:dyDescent="0.45">
      <c r="A3" s="55"/>
      <c r="B3" s="4"/>
      <c r="C3" s="16"/>
    </row>
    <row r="4" spans="1:12" ht="18.5" x14ac:dyDescent="0.45">
      <c r="A4" s="55" t="s">
        <v>12</v>
      </c>
      <c r="B4" s="4"/>
      <c r="C4" s="16">
        <v>2.9000000000000001E-2</v>
      </c>
    </row>
    <row r="5" spans="1:12" ht="21" customHeight="1" x14ac:dyDescent="0.65">
      <c r="A5" s="55"/>
      <c r="B5" s="4"/>
      <c r="C5" s="13"/>
    </row>
    <row r="6" spans="1:12" ht="37" x14ac:dyDescent="0.45">
      <c r="A6" s="56" t="s">
        <v>18</v>
      </c>
      <c r="C6" s="19"/>
    </row>
    <row r="7" spans="1:12" ht="25.5" customHeight="1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" x14ac:dyDescent="0.6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3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" x14ac:dyDescent="0.6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3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" x14ac:dyDescent="0.6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3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" x14ac:dyDescent="0.6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3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" x14ac:dyDescent="0.6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3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" x14ac:dyDescent="0.6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3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" x14ac:dyDescent="0.6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3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" x14ac:dyDescent="0.6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3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3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" x14ac:dyDescent="0.6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3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" x14ac:dyDescent="0.6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3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3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3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" x14ac:dyDescent="0.6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3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" x14ac:dyDescent="0.6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3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3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3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3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3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3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" x14ac:dyDescent="0.6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3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3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3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" x14ac:dyDescent="0.6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3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3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3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3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" x14ac:dyDescent="0.6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3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3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3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3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3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" x14ac:dyDescent="0.6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3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3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3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3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" x14ac:dyDescent="0.7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3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3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3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3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" x14ac:dyDescent="0.7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3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" x14ac:dyDescent="0.7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3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3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" x14ac:dyDescent="0.7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3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" x14ac:dyDescent="0.7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3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3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3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3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" x14ac:dyDescent="0.7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3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3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3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3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3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3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" x14ac:dyDescent="0.7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3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" x14ac:dyDescent="0.7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3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" x14ac:dyDescent="0.7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3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3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" x14ac:dyDescent="0.7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3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3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3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3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3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" x14ac:dyDescent="0.7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3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3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" x14ac:dyDescent="0.7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3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9"/>
  <sheetViews>
    <sheetView topLeftCell="A34" zoomScale="70" zoomScaleNormal="70" workbookViewId="0">
      <selection sqref="A1:XFD1048576"/>
    </sheetView>
  </sheetViews>
  <sheetFormatPr defaultRowHeight="14.5" x14ac:dyDescent="0.35"/>
  <cols>
    <col min="1" max="1" width="38.08984375" customWidth="1"/>
    <col min="3" max="3" width="14.08984375" customWidth="1"/>
    <col min="6" max="6" width="10.81640625" customWidth="1"/>
    <col min="8" max="8" width="10.6328125" customWidth="1"/>
    <col min="10" max="10" width="13.26953125" customWidth="1"/>
    <col min="11" max="11" width="11.54296875" customWidth="1"/>
    <col min="12" max="12" width="14.36328125" customWidth="1"/>
  </cols>
  <sheetData>
    <row r="1" spans="1:13" ht="21" x14ac:dyDescent="0.5">
      <c r="A1" s="55" t="s">
        <v>281</v>
      </c>
      <c r="B1" s="4"/>
      <c r="C1" s="189">
        <v>42761</v>
      </c>
      <c r="D1" s="30"/>
    </row>
    <row r="2" spans="1:13" ht="21" x14ac:dyDescent="0.5">
      <c r="A2" s="55" t="s">
        <v>239</v>
      </c>
      <c r="B2" s="4"/>
      <c r="C2" s="16">
        <v>8350</v>
      </c>
      <c r="D2" s="30"/>
    </row>
    <row r="3" spans="1:13" ht="21" x14ac:dyDescent="0.5">
      <c r="A3" s="55" t="s">
        <v>240</v>
      </c>
      <c r="B3" s="4"/>
      <c r="C3" s="170">
        <v>5.2200000000000003E-2</v>
      </c>
      <c r="D3" s="30"/>
    </row>
    <row r="4" spans="1:13" ht="15" thickBot="1" x14ac:dyDescent="0.4"/>
    <row r="5" spans="1:13" ht="43.5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1006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" x14ac:dyDescent="0.7">
      <c r="A6" s="152" t="s">
        <v>969</v>
      </c>
      <c r="B6" s="152"/>
      <c r="C6" s="152"/>
      <c r="D6" s="2"/>
      <c r="E6" s="2"/>
      <c r="F6" s="152"/>
      <c r="G6" s="152"/>
      <c r="H6" s="152"/>
      <c r="I6" s="2"/>
      <c r="J6" s="52">
        <f>SUM(J7:J9)</f>
        <v>3428.0914500000003</v>
      </c>
      <c r="K6" s="10">
        <v>3428</v>
      </c>
      <c r="L6" s="10">
        <f t="shared" ref="L6" si="0">K6-J6</f>
        <v>-9.1450000000349974E-2</v>
      </c>
    </row>
    <row r="7" spans="1:13" x14ac:dyDescent="0.35">
      <c r="A7" s="4" t="s">
        <v>970</v>
      </c>
      <c r="B7" s="4">
        <v>1</v>
      </c>
      <c r="C7" s="4">
        <v>19900</v>
      </c>
      <c r="D7" s="4">
        <f t="shared" ref="D7:D9" si="1">B7*C7</f>
        <v>19900</v>
      </c>
      <c r="E7" s="4">
        <f t="shared" ref="E7:E9" si="2">D7*0.1</f>
        <v>1990</v>
      </c>
      <c r="F7" s="4">
        <v>0</v>
      </c>
      <c r="G7" s="4"/>
      <c r="H7" s="4">
        <v>0.1</v>
      </c>
      <c r="I7" s="4">
        <f t="shared" ref="I7:I9" si="3">H7*$C$2</f>
        <v>835</v>
      </c>
      <c r="J7" s="51">
        <f t="shared" ref="J7:J9" si="4">(D7+E7+F7+I7)*$C$3</f>
        <v>1186.2450000000001</v>
      </c>
      <c r="K7" s="6"/>
      <c r="L7" s="17"/>
    </row>
    <row r="8" spans="1:13" x14ac:dyDescent="0.35">
      <c r="A8" s="4" t="s">
        <v>206</v>
      </c>
      <c r="B8" s="4">
        <v>1</v>
      </c>
      <c r="C8" s="4">
        <v>13600</v>
      </c>
      <c r="D8" s="4">
        <f t="shared" si="1"/>
        <v>13600</v>
      </c>
      <c r="E8" s="4">
        <f t="shared" si="2"/>
        <v>1360</v>
      </c>
      <c r="F8" s="4">
        <v>0</v>
      </c>
      <c r="G8" s="4"/>
      <c r="H8" s="4">
        <v>0.19</v>
      </c>
      <c r="I8" s="4">
        <f t="shared" si="3"/>
        <v>1586.5</v>
      </c>
      <c r="J8" s="51">
        <f t="shared" si="4"/>
        <v>863.72730000000001</v>
      </c>
      <c r="K8" s="6"/>
      <c r="L8" s="17"/>
    </row>
    <row r="9" spans="1:13" x14ac:dyDescent="0.35">
      <c r="A9" s="4" t="s">
        <v>971</v>
      </c>
      <c r="B9" s="4">
        <v>1</v>
      </c>
      <c r="C9" s="4">
        <v>22900</v>
      </c>
      <c r="D9" s="4">
        <f t="shared" si="1"/>
        <v>22900</v>
      </c>
      <c r="E9" s="4">
        <f t="shared" si="2"/>
        <v>2290</v>
      </c>
      <c r="F9" s="4">
        <v>0</v>
      </c>
      <c r="G9" s="4"/>
      <c r="H9" s="4">
        <v>0.14499999999999999</v>
      </c>
      <c r="I9" s="4">
        <f t="shared" si="3"/>
        <v>1210.75</v>
      </c>
      <c r="J9" s="51">
        <f t="shared" si="4"/>
        <v>1378.11915</v>
      </c>
      <c r="K9" s="6"/>
      <c r="L9" s="17"/>
    </row>
    <row r="10" spans="1:13" ht="31" x14ac:dyDescent="0.7">
      <c r="A10" s="152" t="s">
        <v>959</v>
      </c>
      <c r="B10" s="152"/>
      <c r="C10" s="152"/>
      <c r="D10" s="2"/>
      <c r="E10" s="2"/>
      <c r="F10" s="152"/>
      <c r="G10" s="152"/>
      <c r="H10" s="152"/>
      <c r="I10" s="2"/>
      <c r="J10" s="52">
        <f>SUM(J11:J15)</f>
        <v>6277.0447800000002</v>
      </c>
      <c r="K10" s="10">
        <f>6377-357</f>
        <v>6020</v>
      </c>
      <c r="L10" s="10">
        <f t="shared" ref="L10" si="5">K10-J10</f>
        <v>-257.04478000000017</v>
      </c>
      <c r="M10" t="s">
        <v>1007</v>
      </c>
    </row>
    <row r="11" spans="1:13" x14ac:dyDescent="0.35">
      <c r="A11" s="4" t="s">
        <v>972</v>
      </c>
      <c r="B11" s="4">
        <v>3</v>
      </c>
      <c r="C11" s="4">
        <v>8000</v>
      </c>
      <c r="D11" s="4">
        <f t="shared" ref="D11:D15" si="6">B11*C11</f>
        <v>24000</v>
      </c>
      <c r="E11" s="4">
        <f t="shared" ref="E11:E15" si="7">D11*0.1</f>
        <v>2400</v>
      </c>
      <c r="F11" s="4">
        <v>0</v>
      </c>
      <c r="G11" s="4"/>
      <c r="H11" s="4">
        <v>4.3999999999999997E-2</v>
      </c>
      <c r="I11" s="4">
        <f>H11*$C$2</f>
        <v>367.4</v>
      </c>
      <c r="J11" s="51">
        <f t="shared" ref="J11:J14" si="8">(D11+E11+F11+I11)*$C$3</f>
        <v>1397.2582800000002</v>
      </c>
      <c r="K11" s="6"/>
      <c r="L11" s="17"/>
    </row>
    <row r="12" spans="1:13" x14ac:dyDescent="0.35">
      <c r="A12" s="4" t="s">
        <v>973</v>
      </c>
      <c r="B12" s="4">
        <v>1</v>
      </c>
      <c r="C12" s="4">
        <v>6000</v>
      </c>
      <c r="D12" s="4">
        <f t="shared" si="6"/>
        <v>6000</v>
      </c>
      <c r="E12" s="4">
        <f t="shared" si="7"/>
        <v>600</v>
      </c>
      <c r="F12" s="4">
        <v>0</v>
      </c>
      <c r="G12" s="4"/>
      <c r="H12" s="4">
        <v>0.08</v>
      </c>
      <c r="I12" s="4">
        <f>H12*$C$2</f>
        <v>668</v>
      </c>
      <c r="J12" s="51">
        <f t="shared" si="8"/>
        <v>379.38960000000003</v>
      </c>
      <c r="K12" s="6"/>
      <c r="L12" s="17"/>
    </row>
    <row r="13" spans="1:13" x14ac:dyDescent="0.35">
      <c r="A13" s="4" t="s">
        <v>974</v>
      </c>
      <c r="B13" s="4">
        <v>22</v>
      </c>
      <c r="C13" s="4">
        <v>2290</v>
      </c>
      <c r="D13" s="4">
        <f t="shared" si="6"/>
        <v>50380</v>
      </c>
      <c r="E13" s="4">
        <f t="shared" si="7"/>
        <v>5038</v>
      </c>
      <c r="F13" s="4">
        <v>2500</v>
      </c>
      <c r="G13" s="4"/>
      <c r="H13" s="4">
        <v>0.2</v>
      </c>
      <c r="I13" s="4">
        <f t="shared" ref="I13:I14" si="9">H13*$C$2</f>
        <v>1670</v>
      </c>
      <c r="J13" s="51">
        <f t="shared" si="8"/>
        <v>3110.4936000000002</v>
      </c>
      <c r="K13" s="6"/>
      <c r="L13" s="17"/>
    </row>
    <row r="14" spans="1:13" x14ac:dyDescent="0.35">
      <c r="A14" s="4" t="s">
        <v>903</v>
      </c>
      <c r="B14" s="4">
        <v>1</v>
      </c>
      <c r="C14" s="4">
        <v>9800</v>
      </c>
      <c r="D14" s="4">
        <f t="shared" si="6"/>
        <v>9800</v>
      </c>
      <c r="E14" s="4">
        <f t="shared" si="7"/>
        <v>980</v>
      </c>
      <c r="F14" s="4">
        <v>2500</v>
      </c>
      <c r="G14" s="4"/>
      <c r="H14" s="4">
        <v>0.1</v>
      </c>
      <c r="I14" s="4">
        <f t="shared" si="9"/>
        <v>835</v>
      </c>
      <c r="J14" s="51">
        <f t="shared" si="8"/>
        <v>736.803</v>
      </c>
      <c r="K14" s="6"/>
      <c r="L14" s="17"/>
    </row>
    <row r="15" spans="1:13" x14ac:dyDescent="0.35">
      <c r="A15" s="4" t="s">
        <v>975</v>
      </c>
      <c r="B15" s="4">
        <v>2</v>
      </c>
      <c r="C15" s="4">
        <v>4300</v>
      </c>
      <c r="D15" s="4">
        <f t="shared" si="6"/>
        <v>8600</v>
      </c>
      <c r="E15" s="4">
        <f t="shared" si="7"/>
        <v>860</v>
      </c>
      <c r="F15" s="4">
        <v>2300</v>
      </c>
      <c r="G15" s="4"/>
      <c r="H15" s="4">
        <v>0.09</v>
      </c>
      <c r="I15" s="4">
        <f>H15*$C$2</f>
        <v>751.5</v>
      </c>
      <c r="J15" s="51">
        <f>(D15+E15+F15+I15)*$C$3</f>
        <v>653.10030000000006</v>
      </c>
      <c r="K15" s="6"/>
      <c r="L15" s="17"/>
    </row>
    <row r="16" spans="1:13" ht="31" x14ac:dyDescent="0.7">
      <c r="A16" s="152" t="s">
        <v>976</v>
      </c>
      <c r="B16" s="152"/>
      <c r="C16" s="152"/>
      <c r="D16" s="2"/>
      <c r="E16" s="2"/>
      <c r="F16" s="152"/>
      <c r="G16" s="152"/>
      <c r="H16" s="2"/>
      <c r="I16" s="2"/>
      <c r="J16" s="52">
        <f>J17</f>
        <v>213.26310000000001</v>
      </c>
      <c r="K16" s="10">
        <v>244</v>
      </c>
      <c r="L16" s="10">
        <f t="shared" ref="L16" si="10">K16-J16</f>
        <v>30.736899999999991</v>
      </c>
    </row>
    <row r="17" spans="1:12" x14ac:dyDescent="0.35">
      <c r="A17" s="4" t="s">
        <v>478</v>
      </c>
      <c r="B17" s="4">
        <v>1</v>
      </c>
      <c r="C17" s="4">
        <v>2350</v>
      </c>
      <c r="D17" s="4">
        <f t="shared" ref="D17" si="11">B17*C17</f>
        <v>2350</v>
      </c>
      <c r="E17" s="4">
        <f>D17*0.1</f>
        <v>235</v>
      </c>
      <c r="F17" s="4">
        <v>1250</v>
      </c>
      <c r="G17" s="4"/>
      <c r="H17" s="4">
        <v>0.03</v>
      </c>
      <c r="I17" s="4">
        <f>H17*$C$2</f>
        <v>250.5</v>
      </c>
      <c r="J17" s="51">
        <f>(D17+E17+F17+I17)*$C$3</f>
        <v>213.26310000000001</v>
      </c>
      <c r="K17" s="6"/>
      <c r="L17" s="17"/>
    </row>
    <row r="18" spans="1:12" ht="31" x14ac:dyDescent="0.7">
      <c r="A18" s="152" t="s">
        <v>680</v>
      </c>
      <c r="B18" s="152"/>
      <c r="C18" s="152"/>
      <c r="D18" s="2"/>
      <c r="E18" s="2"/>
      <c r="F18" s="152"/>
      <c r="G18" s="152"/>
      <c r="H18" s="152"/>
      <c r="I18" s="2"/>
      <c r="J18" s="52">
        <f>SUM(J19:J19)</f>
        <v>1662.9093</v>
      </c>
      <c r="K18" s="10">
        <f>1610+47</f>
        <v>1657</v>
      </c>
      <c r="L18" s="10">
        <f t="shared" ref="L18" si="12">K18-J18</f>
        <v>-5.9093000000000302</v>
      </c>
    </row>
    <row r="19" spans="1:12" x14ac:dyDescent="0.35">
      <c r="A19" s="4" t="s">
        <v>977</v>
      </c>
      <c r="B19" s="4">
        <v>1</v>
      </c>
      <c r="C19" s="4">
        <v>26000</v>
      </c>
      <c r="D19" s="4">
        <f t="shared" ref="D19" si="13">B19*C19</f>
        <v>26000</v>
      </c>
      <c r="E19" s="4">
        <f>D19*0.1</f>
        <v>2600</v>
      </c>
      <c r="F19" s="4">
        <v>0</v>
      </c>
      <c r="G19" s="4"/>
      <c r="H19" s="4">
        <v>0.39</v>
      </c>
      <c r="I19" s="4">
        <f>H19*$C$2</f>
        <v>3256.5</v>
      </c>
      <c r="J19" s="51">
        <f>(D19+E19+F19+I19)*$C$3</f>
        <v>1662.9093</v>
      </c>
      <c r="K19" s="6"/>
      <c r="L19" s="17"/>
    </row>
    <row r="20" spans="1:12" ht="31" x14ac:dyDescent="0.7">
      <c r="A20" s="152" t="s">
        <v>978</v>
      </c>
      <c r="B20" s="152"/>
      <c r="C20" s="152"/>
      <c r="D20" s="2"/>
      <c r="E20" s="2"/>
      <c r="F20" s="152"/>
      <c r="G20" s="152"/>
      <c r="H20" s="152"/>
      <c r="I20" s="2"/>
      <c r="J20" s="52">
        <f>J21</f>
        <v>2546.0550000000003</v>
      </c>
      <c r="K20" s="10">
        <f>1000+1469+77</f>
        <v>2546</v>
      </c>
      <c r="L20" s="10">
        <f t="shared" ref="L20" si="14">K20-J20</f>
        <v>-5.5000000000291038E-2</v>
      </c>
    </row>
    <row r="21" spans="1:12" x14ac:dyDescent="0.35">
      <c r="A21" s="4" t="s">
        <v>979</v>
      </c>
      <c r="B21" s="4">
        <v>1</v>
      </c>
      <c r="C21" s="4">
        <v>41760</v>
      </c>
      <c r="D21" s="4">
        <f t="shared" ref="D21" si="15">B21*C21</f>
        <v>41760</v>
      </c>
      <c r="E21" s="4">
        <f>D21*0.1</f>
        <v>4176</v>
      </c>
      <c r="F21" s="4">
        <v>0</v>
      </c>
      <c r="G21" s="4"/>
      <c r="H21" s="4">
        <v>0.34</v>
      </c>
      <c r="I21" s="4">
        <f>H21*$C$2</f>
        <v>2839</v>
      </c>
      <c r="J21" s="51">
        <f>(D21+E21+F21+I21)*$C$3</f>
        <v>2546.0550000000003</v>
      </c>
      <c r="K21" s="6"/>
      <c r="L21" s="17"/>
    </row>
    <row r="22" spans="1:12" ht="31" x14ac:dyDescent="0.7">
      <c r="A22" s="152" t="s">
        <v>766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161.5068</v>
      </c>
      <c r="K22" s="10">
        <v>205</v>
      </c>
      <c r="L22" s="10">
        <f t="shared" ref="L22" si="16">K22-J22</f>
        <v>43.493200000000002</v>
      </c>
    </row>
    <row r="23" spans="1:12" x14ac:dyDescent="0.35">
      <c r="A23" s="4" t="s">
        <v>980</v>
      </c>
      <c r="B23" s="4">
        <v>1</v>
      </c>
      <c r="C23" s="4">
        <v>1750</v>
      </c>
      <c r="D23" s="4">
        <f t="shared" ref="D23" si="17">B23*C23</f>
        <v>1750</v>
      </c>
      <c r="E23" s="4">
        <f>D23*0.1</f>
        <v>175</v>
      </c>
      <c r="F23" s="4">
        <v>0</v>
      </c>
      <c r="G23" s="4"/>
      <c r="H23" s="4">
        <v>0.14000000000000001</v>
      </c>
      <c r="I23" s="4">
        <f>H23*$C$2</f>
        <v>1169</v>
      </c>
      <c r="J23" s="51">
        <f>(D23+E23+F23+I23)*$C$3</f>
        <v>161.5068</v>
      </c>
      <c r="K23" s="6"/>
      <c r="L23" s="17"/>
    </row>
    <row r="24" spans="1:12" ht="31" x14ac:dyDescent="0.7">
      <c r="A24" s="152" t="s">
        <v>981</v>
      </c>
      <c r="B24" s="152"/>
      <c r="C24" s="152"/>
      <c r="D24" s="2"/>
      <c r="E24" s="2"/>
      <c r="F24" s="152"/>
      <c r="G24" s="152"/>
      <c r="H24" s="152"/>
      <c r="I24" s="2"/>
      <c r="J24" s="52">
        <f>SUM(J25:J25)</f>
        <v>832.25070000000005</v>
      </c>
      <c r="K24" s="10">
        <f>825+7</f>
        <v>832</v>
      </c>
      <c r="L24" s="10">
        <f t="shared" ref="L24" si="18">K24-J24</f>
        <v>-0.25070000000005166</v>
      </c>
    </row>
    <row r="25" spans="1:12" x14ac:dyDescent="0.35">
      <c r="A25" s="4" t="s">
        <v>982</v>
      </c>
      <c r="B25" s="4">
        <v>1</v>
      </c>
      <c r="C25" s="4">
        <v>12900</v>
      </c>
      <c r="D25" s="4">
        <f t="shared" ref="D25" si="19">B25*C25</f>
        <v>12900</v>
      </c>
      <c r="E25" s="4">
        <f>D25*0.1</f>
        <v>1290</v>
      </c>
      <c r="F25" s="4">
        <v>0</v>
      </c>
      <c r="G25" s="4"/>
      <c r="H25" s="4">
        <v>0.21</v>
      </c>
      <c r="I25" s="4">
        <f>H25*$C$2</f>
        <v>1753.5</v>
      </c>
      <c r="J25" s="51">
        <f>(D25+E25+F25+I25)*$C$3</f>
        <v>832.25070000000005</v>
      </c>
      <c r="K25" s="6"/>
      <c r="L25" s="17"/>
    </row>
    <row r="26" spans="1:12" ht="31" x14ac:dyDescent="0.7">
      <c r="A26" s="152" t="s">
        <v>344</v>
      </c>
      <c r="B26" s="152"/>
      <c r="C26" s="152"/>
      <c r="D26" s="2"/>
      <c r="E26" s="2"/>
      <c r="F26" s="152"/>
      <c r="G26" s="152"/>
      <c r="H26" s="152"/>
      <c r="I26" s="2"/>
      <c r="J26" s="52">
        <f>SUM(J27:J27)</f>
        <v>962.38530000000003</v>
      </c>
      <c r="K26" s="10">
        <v>966</v>
      </c>
      <c r="L26" s="10">
        <f t="shared" ref="L26" si="20">K26-J26</f>
        <v>3.6146999999999707</v>
      </c>
    </row>
    <row r="27" spans="1:12" x14ac:dyDescent="0.35">
      <c r="A27" s="4" t="s">
        <v>576</v>
      </c>
      <c r="B27" s="4">
        <v>2</v>
      </c>
      <c r="C27" s="4">
        <v>6900</v>
      </c>
      <c r="D27" s="4">
        <f t="shared" ref="D27" si="21">B27*C27</f>
        <v>13800</v>
      </c>
      <c r="E27" s="4">
        <f>D27*0.1</f>
        <v>1380</v>
      </c>
      <c r="F27" s="4">
        <v>0</v>
      </c>
      <c r="G27" s="4"/>
      <c r="H27" s="4">
        <v>0.39</v>
      </c>
      <c r="I27" s="4">
        <f>H27*$C$2</f>
        <v>3256.5</v>
      </c>
      <c r="J27" s="51">
        <f>(D27+E27+F27+I27)*$C$3</f>
        <v>962.38530000000003</v>
      </c>
      <c r="K27" s="6"/>
      <c r="L27" s="17"/>
    </row>
    <row r="28" spans="1:12" ht="31" x14ac:dyDescent="0.7">
      <c r="A28" s="152" t="s">
        <v>983</v>
      </c>
      <c r="B28" s="152"/>
      <c r="C28" s="152"/>
      <c r="D28" s="2"/>
      <c r="E28" s="2"/>
      <c r="F28" s="152"/>
      <c r="G28" s="152"/>
      <c r="H28" s="152"/>
      <c r="I28" s="2"/>
      <c r="J28" s="52">
        <f>J29</f>
        <v>918.12840000000017</v>
      </c>
      <c r="K28" s="10">
        <v>926</v>
      </c>
      <c r="L28" s="10">
        <f t="shared" ref="L28" si="22">K28-J28</f>
        <v>7.8715999999998303</v>
      </c>
    </row>
    <row r="29" spans="1:12" x14ac:dyDescent="0.35">
      <c r="A29" s="4" t="s">
        <v>984</v>
      </c>
      <c r="B29" s="4">
        <v>1</v>
      </c>
      <c r="C29" s="4">
        <v>14700</v>
      </c>
      <c r="D29" s="4">
        <f t="shared" ref="D29" si="23">B29*C29</f>
        <v>14700</v>
      </c>
      <c r="E29" s="4">
        <f>D29*0.1</f>
        <v>1470</v>
      </c>
      <c r="F29" s="168">
        <f>2500/6</f>
        <v>416.66666666666669</v>
      </c>
      <c r="G29" s="4"/>
      <c r="H29" s="4">
        <v>0.12</v>
      </c>
      <c r="I29" s="4">
        <f>H29*$C$2</f>
        <v>1002</v>
      </c>
      <c r="J29" s="51">
        <f>(D29+E29+F29+I29)*$C$3</f>
        <v>918.12840000000017</v>
      </c>
      <c r="K29" s="6"/>
      <c r="L29" s="17"/>
    </row>
    <row r="30" spans="1:12" ht="31" x14ac:dyDescent="0.7">
      <c r="A30" s="152" t="s">
        <v>707</v>
      </c>
      <c r="B30" s="152"/>
      <c r="C30" s="152"/>
      <c r="D30" s="2"/>
      <c r="E30" s="2"/>
      <c r="F30" s="152"/>
      <c r="G30" s="152"/>
      <c r="H30" s="152"/>
      <c r="I30" s="2"/>
      <c r="J30" s="52">
        <f>SUM(J31:J31)</f>
        <v>1363.21605</v>
      </c>
      <c r="K30" s="10">
        <v>1570</v>
      </c>
      <c r="L30" s="10">
        <f t="shared" ref="L30" si="24">K30-J30</f>
        <v>206.78395</v>
      </c>
    </row>
    <row r="31" spans="1:12" x14ac:dyDescent="0.35">
      <c r="A31" s="4" t="s">
        <v>985</v>
      </c>
      <c r="B31" s="4">
        <v>2</v>
      </c>
      <c r="C31" s="4">
        <v>8400</v>
      </c>
      <c r="D31" s="4">
        <f t="shared" ref="D31" si="25">B31*C31</f>
        <v>16800</v>
      </c>
      <c r="E31" s="4">
        <f>D31*0.1</f>
        <v>1680</v>
      </c>
      <c r="F31" s="4">
        <v>2500</v>
      </c>
      <c r="G31" s="4"/>
      <c r="H31" s="4">
        <v>0.61499999999999999</v>
      </c>
      <c r="I31" s="4">
        <f>H31*$C$2</f>
        <v>5135.25</v>
      </c>
      <c r="J31" s="51">
        <f>(D31+E31+F31+I31)*$C$3</f>
        <v>1363.21605</v>
      </c>
      <c r="K31" s="6"/>
      <c r="L31" s="17"/>
    </row>
    <row r="32" spans="1:12" ht="31" x14ac:dyDescent="0.7">
      <c r="A32" s="152" t="s">
        <v>331</v>
      </c>
      <c r="B32" s="152"/>
      <c r="C32" s="152"/>
      <c r="D32" s="2"/>
      <c r="E32" s="2"/>
      <c r="F32" s="152"/>
      <c r="G32" s="152"/>
      <c r="H32" s="152"/>
      <c r="I32" s="2"/>
      <c r="J32" s="52">
        <f>SUM(J33:J34)</f>
        <v>1997.9550000000002</v>
      </c>
      <c r="K32" s="10">
        <f>2029+97</f>
        <v>2126</v>
      </c>
      <c r="L32" s="10">
        <f t="shared" ref="L32" si="26">K32-J32</f>
        <v>128.04499999999985</v>
      </c>
    </row>
    <row r="33" spans="1:12" x14ac:dyDescent="0.35">
      <c r="A33" s="4" t="s">
        <v>986</v>
      </c>
      <c r="B33" s="4">
        <v>1</v>
      </c>
      <c r="C33" s="4">
        <v>13000</v>
      </c>
      <c r="D33" s="4">
        <f t="shared" ref="D33:D34" si="27">B33*C33</f>
        <v>13000</v>
      </c>
      <c r="E33" s="4">
        <f t="shared" ref="E33:E34" si="28">D33*0.1</f>
        <v>1300</v>
      </c>
      <c r="F33" s="4">
        <v>0</v>
      </c>
      <c r="G33" s="4"/>
      <c r="H33" s="4">
        <v>0.25</v>
      </c>
      <c r="I33" s="4">
        <f t="shared" ref="I33:I34" si="29">H33*$C$2</f>
        <v>2087.5</v>
      </c>
      <c r="J33" s="51">
        <f t="shared" ref="J33:J34" si="30">(D33+E33+F33+I33)*$C$3</f>
        <v>855.42750000000001</v>
      </c>
      <c r="K33" s="6"/>
      <c r="L33" s="17"/>
    </row>
    <row r="34" spans="1:12" x14ac:dyDescent="0.35">
      <c r="A34" s="4" t="s">
        <v>987</v>
      </c>
      <c r="B34" s="4">
        <v>1</v>
      </c>
      <c r="C34" s="4">
        <v>18000</v>
      </c>
      <c r="D34" s="4">
        <f t="shared" si="27"/>
        <v>18000</v>
      </c>
      <c r="E34" s="4">
        <f t="shared" si="28"/>
        <v>1800</v>
      </c>
      <c r="F34" s="4">
        <v>0</v>
      </c>
      <c r="G34" s="4"/>
      <c r="H34" s="4">
        <v>0.25</v>
      </c>
      <c r="I34" s="4">
        <f t="shared" si="29"/>
        <v>2087.5</v>
      </c>
      <c r="J34" s="51">
        <f t="shared" si="30"/>
        <v>1142.5275000000001</v>
      </c>
      <c r="K34" s="6"/>
      <c r="L34" s="17"/>
    </row>
    <row r="35" spans="1:12" ht="31" x14ac:dyDescent="0.7">
      <c r="A35" s="152" t="s">
        <v>988</v>
      </c>
      <c r="B35" s="152"/>
      <c r="C35" s="152"/>
      <c r="D35" s="2"/>
      <c r="E35" s="2"/>
      <c r="F35" s="152"/>
      <c r="G35" s="152"/>
      <c r="H35" s="152"/>
      <c r="I35" s="2"/>
      <c r="J35" s="52">
        <f>SUM(J36:J37)</f>
        <v>2085.1289999999999</v>
      </c>
      <c r="K35" s="10">
        <f>1946+139</f>
        <v>2085</v>
      </c>
      <c r="L35" s="10">
        <f t="shared" ref="L35" si="31">K35-J35</f>
        <v>-0.12899999999990541</v>
      </c>
    </row>
    <row r="36" spans="1:12" x14ac:dyDescent="0.35">
      <c r="A36" s="4" t="s">
        <v>989</v>
      </c>
      <c r="B36" s="4">
        <v>1</v>
      </c>
      <c r="C36" s="4">
        <v>16000</v>
      </c>
      <c r="D36" s="4">
        <f t="shared" ref="D36:D37" si="32">B36*C36</f>
        <v>16000</v>
      </c>
      <c r="E36" s="4">
        <f t="shared" ref="E36:E37" si="33">D36*0.1</f>
        <v>1600</v>
      </c>
      <c r="F36" s="4">
        <v>0</v>
      </c>
      <c r="G36" s="4"/>
      <c r="H36" s="4">
        <v>0.28999999999999998</v>
      </c>
      <c r="I36" s="4">
        <f t="shared" ref="I36:I37" si="34">H36*$C$2</f>
        <v>2421.5</v>
      </c>
      <c r="J36" s="51">
        <f t="shared" ref="J36:J37" si="35">(D36+E36+F36+I36)*$C$3</f>
        <v>1045.1223</v>
      </c>
      <c r="K36" s="6"/>
      <c r="L36" s="17"/>
    </row>
    <row r="37" spans="1:12" x14ac:dyDescent="0.35">
      <c r="A37" s="4" t="s">
        <v>990</v>
      </c>
      <c r="B37" s="4">
        <v>1</v>
      </c>
      <c r="C37" s="4">
        <v>15000</v>
      </c>
      <c r="D37" s="4">
        <f t="shared" si="32"/>
        <v>15000</v>
      </c>
      <c r="E37" s="4">
        <f t="shared" si="33"/>
        <v>1500</v>
      </c>
      <c r="F37" s="4">
        <v>0</v>
      </c>
      <c r="G37" s="4"/>
      <c r="H37" s="4">
        <v>0.41</v>
      </c>
      <c r="I37" s="4">
        <f t="shared" si="34"/>
        <v>3423.5</v>
      </c>
      <c r="J37" s="51">
        <f t="shared" si="35"/>
        <v>1040.0067000000001</v>
      </c>
      <c r="K37" s="6"/>
      <c r="L37" s="17"/>
    </row>
    <row r="38" spans="1:12" ht="31" x14ac:dyDescent="0.7">
      <c r="A38" s="152" t="s">
        <v>763</v>
      </c>
      <c r="B38" s="152"/>
      <c r="C38" s="152"/>
      <c r="D38" s="2"/>
      <c r="E38" s="2"/>
      <c r="F38" s="152"/>
      <c r="G38" s="152"/>
      <c r="H38" s="152"/>
      <c r="I38" s="2"/>
      <c r="J38" s="52">
        <f>SUM(J39:J41)</f>
        <v>1366.6351500000001</v>
      </c>
      <c r="K38" s="10">
        <v>1371</v>
      </c>
      <c r="L38" s="10">
        <f t="shared" ref="L38" si="36">K38-J38</f>
        <v>4.3648499999999331</v>
      </c>
    </row>
    <row r="39" spans="1:12" x14ac:dyDescent="0.35">
      <c r="A39" s="4" t="s">
        <v>991</v>
      </c>
      <c r="B39" s="4">
        <v>1</v>
      </c>
      <c r="C39" s="4">
        <v>7900</v>
      </c>
      <c r="D39" s="4">
        <f t="shared" ref="D39:D41" si="37">B39*C39</f>
        <v>7900</v>
      </c>
      <c r="E39" s="4">
        <f t="shared" ref="E39:E41" si="38">D39*0.1</f>
        <v>790</v>
      </c>
      <c r="F39" s="4">
        <v>0</v>
      </c>
      <c r="G39" s="4"/>
      <c r="H39" s="4">
        <v>0.05</v>
      </c>
      <c r="I39" s="4">
        <f t="shared" ref="I39:I41" si="39">H39*$C$2</f>
        <v>417.5</v>
      </c>
      <c r="J39" s="51">
        <f t="shared" ref="J39:J41" si="40">(D39+E39+F39+I39)*$C$3</f>
        <v>475.41150000000005</v>
      </c>
      <c r="K39" s="6"/>
      <c r="L39" s="17"/>
    </row>
    <row r="40" spans="1:12" x14ac:dyDescent="0.35">
      <c r="A40" s="4" t="s">
        <v>992</v>
      </c>
      <c r="B40" s="4">
        <v>1</v>
      </c>
      <c r="C40" s="4">
        <v>6900</v>
      </c>
      <c r="D40" s="4">
        <f t="shared" si="37"/>
        <v>6900</v>
      </c>
      <c r="E40" s="4">
        <f t="shared" si="38"/>
        <v>690</v>
      </c>
      <c r="F40" s="4">
        <v>0</v>
      </c>
      <c r="G40" s="4"/>
      <c r="H40" s="4">
        <v>0.04</v>
      </c>
      <c r="I40" s="4">
        <f t="shared" si="39"/>
        <v>334</v>
      </c>
      <c r="J40" s="51">
        <f t="shared" si="40"/>
        <v>413.63280000000003</v>
      </c>
      <c r="K40" s="6"/>
      <c r="L40" s="17"/>
    </row>
    <row r="41" spans="1:12" x14ac:dyDescent="0.35">
      <c r="A41" s="4" t="s">
        <v>993</v>
      </c>
      <c r="B41" s="4">
        <v>1</v>
      </c>
      <c r="C41" s="4">
        <v>7900</v>
      </c>
      <c r="D41" s="4">
        <f t="shared" si="37"/>
        <v>7900</v>
      </c>
      <c r="E41" s="4">
        <f t="shared" si="38"/>
        <v>790</v>
      </c>
      <c r="F41" s="4">
        <v>0</v>
      </c>
      <c r="G41" s="4"/>
      <c r="H41" s="4">
        <v>5.5E-2</v>
      </c>
      <c r="I41" s="4">
        <f t="shared" si="39"/>
        <v>459.25</v>
      </c>
      <c r="J41" s="51">
        <f t="shared" si="40"/>
        <v>477.59085000000005</v>
      </c>
      <c r="K41" s="6"/>
      <c r="L41" s="17"/>
    </row>
    <row r="42" spans="1:12" ht="31" x14ac:dyDescent="0.7">
      <c r="A42" s="152" t="s">
        <v>994</v>
      </c>
      <c r="B42" s="152"/>
      <c r="C42" s="152"/>
      <c r="D42" s="2"/>
      <c r="E42" s="2"/>
      <c r="F42" s="152"/>
      <c r="G42" s="152"/>
      <c r="H42" s="152"/>
      <c r="I42" s="2"/>
      <c r="J42" s="52">
        <f>SUM(J43:J45)</f>
        <v>2168.0617499999998</v>
      </c>
      <c r="K42" s="10">
        <f>1000+1118+50</f>
        <v>2168</v>
      </c>
      <c r="L42" s="10">
        <f t="shared" ref="L42" si="41">K42-J42</f>
        <v>-6.1749999999847205E-2</v>
      </c>
    </row>
    <row r="43" spans="1:12" x14ac:dyDescent="0.35">
      <c r="A43" s="4" t="s">
        <v>57</v>
      </c>
      <c r="B43" s="4">
        <v>1</v>
      </c>
      <c r="C43" s="4">
        <v>6400</v>
      </c>
      <c r="D43" s="4">
        <f t="shared" ref="D43:D45" si="42">B43*C43</f>
        <v>6400</v>
      </c>
      <c r="E43" s="4">
        <f t="shared" ref="E43:E45" si="43">D43*0.1</f>
        <v>640</v>
      </c>
      <c r="F43" s="168">
        <f>2500/3</f>
        <v>833.33333333333337</v>
      </c>
      <c r="G43" s="4"/>
      <c r="H43" s="4">
        <f>1.15+0.085</f>
        <v>1.2349999999999999</v>
      </c>
      <c r="I43" s="4">
        <f t="shared" ref="I43:I45" si="44">H43*$C$2</f>
        <v>10312.249999999998</v>
      </c>
      <c r="J43" s="51">
        <f t="shared" ref="J43:J45" si="45">(D43+E43+F43+I43)*$C$3</f>
        <v>949.28745000000004</v>
      </c>
      <c r="K43" s="6"/>
      <c r="L43" s="17"/>
    </row>
    <row r="44" spans="1:12" x14ac:dyDescent="0.35">
      <c r="A44" s="4" t="s">
        <v>157</v>
      </c>
      <c r="B44" s="4">
        <v>1</v>
      </c>
      <c r="C44" s="4">
        <v>4500</v>
      </c>
      <c r="D44" s="4">
        <f t="shared" si="42"/>
        <v>4500</v>
      </c>
      <c r="E44" s="4">
        <f t="shared" si="43"/>
        <v>450</v>
      </c>
      <c r="F44" s="168">
        <f>2500/3</f>
        <v>833.33333333333337</v>
      </c>
      <c r="G44" s="4"/>
      <c r="H44" s="4">
        <f>0.58+0.085</f>
        <v>0.66499999999999992</v>
      </c>
      <c r="I44" s="4">
        <f t="shared" si="44"/>
        <v>5552.7499999999991</v>
      </c>
      <c r="J44" s="51">
        <f t="shared" si="45"/>
        <v>591.74355000000003</v>
      </c>
      <c r="K44" s="6"/>
      <c r="L44" s="17"/>
    </row>
    <row r="45" spans="1:12" x14ac:dyDescent="0.35">
      <c r="A45" s="4" t="s">
        <v>327</v>
      </c>
      <c r="B45" s="4">
        <v>1</v>
      </c>
      <c r="C45" s="4">
        <v>3900</v>
      </c>
      <c r="D45" s="4">
        <f t="shared" si="42"/>
        <v>3900</v>
      </c>
      <c r="E45" s="4">
        <f t="shared" si="43"/>
        <v>390</v>
      </c>
      <c r="F45" s="168">
        <f>2500/3</f>
        <v>833.33333333333337</v>
      </c>
      <c r="G45" s="4"/>
      <c r="H45" s="4">
        <f>0.74+0.085</f>
        <v>0.82499999999999996</v>
      </c>
      <c r="I45" s="4">
        <f t="shared" si="44"/>
        <v>6888.75</v>
      </c>
      <c r="J45" s="51">
        <f t="shared" si="45"/>
        <v>627.03075000000001</v>
      </c>
      <c r="K45" s="6"/>
      <c r="L45" s="17"/>
    </row>
    <row r="46" spans="1:12" ht="31" x14ac:dyDescent="0.7">
      <c r="A46" s="152" t="s">
        <v>868</v>
      </c>
      <c r="B46" s="152"/>
      <c r="C46" s="152"/>
      <c r="D46" s="2"/>
      <c r="E46" s="2"/>
      <c r="F46" s="152"/>
      <c r="G46" s="152"/>
      <c r="H46" s="152"/>
      <c r="I46" s="2"/>
      <c r="J46" s="52">
        <f>SUM(J47:J49)</f>
        <v>2617.7125500000002</v>
      </c>
      <c r="K46" s="10">
        <v>2670</v>
      </c>
      <c r="L46" s="10">
        <f t="shared" ref="L46" si="46">K46-J46</f>
        <v>52.287449999999808</v>
      </c>
    </row>
    <row r="47" spans="1:12" x14ac:dyDescent="0.35">
      <c r="A47" s="4" t="s">
        <v>995</v>
      </c>
      <c r="B47" s="4">
        <v>1</v>
      </c>
      <c r="C47" s="4">
        <v>12200</v>
      </c>
      <c r="D47" s="4">
        <f t="shared" ref="D47:D49" si="47">B47*C47</f>
        <v>12200</v>
      </c>
      <c r="E47" s="4">
        <f t="shared" ref="E47:E49" si="48">D47*0.1</f>
        <v>1220</v>
      </c>
      <c r="F47" s="4">
        <v>1250</v>
      </c>
      <c r="G47" s="4"/>
      <c r="H47" s="4">
        <v>0.11</v>
      </c>
      <c r="I47" s="4">
        <f t="shared" ref="I47:I49" si="49">H47*$C$2</f>
        <v>918.5</v>
      </c>
      <c r="J47" s="51">
        <f t="shared" ref="J47:J49" si="50">(D47+E47+F47+I47)*$C$3</f>
        <v>813.7197000000001</v>
      </c>
      <c r="K47" s="6"/>
      <c r="L47" s="17"/>
    </row>
    <row r="48" spans="1:12" x14ac:dyDescent="0.35">
      <c r="A48" s="4" t="s">
        <v>996</v>
      </c>
      <c r="B48" s="4">
        <v>1</v>
      </c>
      <c r="C48" s="4">
        <v>21500</v>
      </c>
      <c r="D48" s="4">
        <f t="shared" si="47"/>
        <v>21500</v>
      </c>
      <c r="E48" s="4">
        <f t="shared" si="48"/>
        <v>2150</v>
      </c>
      <c r="F48" s="4">
        <v>1250</v>
      </c>
      <c r="G48" s="4"/>
      <c r="H48" s="4">
        <v>0.315</v>
      </c>
      <c r="I48" s="4">
        <f t="shared" si="49"/>
        <v>2630.25</v>
      </c>
      <c r="J48" s="51">
        <f t="shared" si="50"/>
        <v>1437.0790500000001</v>
      </c>
      <c r="K48" s="6"/>
      <c r="L48" s="17"/>
    </row>
    <row r="49" spans="1:12" x14ac:dyDescent="0.35">
      <c r="A49" s="4" t="s">
        <v>997</v>
      </c>
      <c r="B49" s="4">
        <v>1</v>
      </c>
      <c r="C49" s="4">
        <v>5480</v>
      </c>
      <c r="D49" s="4">
        <f t="shared" si="47"/>
        <v>5480</v>
      </c>
      <c r="E49" s="4">
        <f t="shared" si="48"/>
        <v>548</v>
      </c>
      <c r="F49" s="4">
        <v>500</v>
      </c>
      <c r="G49" s="4"/>
      <c r="H49" s="4">
        <v>0.06</v>
      </c>
      <c r="I49" s="4">
        <f t="shared" si="49"/>
        <v>501</v>
      </c>
      <c r="J49" s="51">
        <f t="shared" si="50"/>
        <v>366.91380000000004</v>
      </c>
      <c r="K49" s="6"/>
      <c r="L49" s="17"/>
    </row>
  </sheetData>
  <hyperlinks>
    <hyperlink ref="A30" r:id="rId1" display="http://forum.sibmama.ru/viewtopic.php?t=715424&amp;start=29325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tabSelected="1" topLeftCell="A10" zoomScale="80" zoomScaleNormal="80" workbookViewId="0">
      <selection activeCell="A20" sqref="A20"/>
    </sheetView>
  </sheetViews>
  <sheetFormatPr defaultRowHeight="14.5" x14ac:dyDescent="0.35"/>
  <cols>
    <col min="1" max="1" width="38.08984375" customWidth="1"/>
    <col min="3" max="3" width="14.08984375" customWidth="1"/>
    <col min="6" max="6" width="10.81640625" customWidth="1"/>
    <col min="8" max="8" width="10.6328125" customWidth="1"/>
    <col min="10" max="10" width="13.26953125" customWidth="1"/>
    <col min="11" max="11" width="11.54296875" customWidth="1"/>
    <col min="12" max="12" width="14.36328125" customWidth="1"/>
  </cols>
  <sheetData>
    <row r="1" spans="1:12" ht="21" x14ac:dyDescent="0.5">
      <c r="A1" s="55" t="s">
        <v>281</v>
      </c>
      <c r="B1" s="4"/>
      <c r="C1" s="189">
        <v>42791</v>
      </c>
      <c r="D1" s="30"/>
    </row>
    <row r="2" spans="1:12" ht="21" x14ac:dyDescent="0.5">
      <c r="A2" s="55" t="s">
        <v>239</v>
      </c>
      <c r="B2" s="4"/>
      <c r="C2" s="16">
        <v>8260</v>
      </c>
      <c r="D2" s="30"/>
    </row>
    <row r="3" spans="1:12" ht="21" x14ac:dyDescent="0.5">
      <c r="A3" s="55" t="s">
        <v>240</v>
      </c>
      <c r="B3" s="4"/>
      <c r="C3" s="170">
        <v>5.2200000000000003E-2</v>
      </c>
      <c r="D3" s="30"/>
    </row>
    <row r="4" spans="1:12" ht="15" thickBot="1" x14ac:dyDescent="0.4"/>
    <row r="5" spans="1:12" ht="43.5" x14ac:dyDescent="0.3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1006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" x14ac:dyDescent="0.7">
      <c r="A6" s="152" t="s">
        <v>1008</v>
      </c>
      <c r="B6" s="152"/>
      <c r="C6" s="152"/>
      <c r="D6" s="2"/>
      <c r="E6" s="2"/>
      <c r="F6" s="152"/>
      <c r="G6" s="152"/>
      <c r="H6" s="2"/>
      <c r="I6" s="2"/>
      <c r="J6" s="52">
        <f>J7</f>
        <v>321.82791428571431</v>
      </c>
      <c r="K6" s="10">
        <v>344</v>
      </c>
      <c r="L6" s="10">
        <f t="shared" ref="L6" si="0">K6-J6</f>
        <v>22.172085714285686</v>
      </c>
    </row>
    <row r="7" spans="1:12" x14ac:dyDescent="0.35">
      <c r="A7" s="4" t="s">
        <v>1016</v>
      </c>
      <c r="B7" s="4">
        <v>2</v>
      </c>
      <c r="C7" s="4">
        <v>2290</v>
      </c>
      <c r="D7" s="4">
        <f t="shared" ref="D7" si="1">B7*C7</f>
        <v>4580</v>
      </c>
      <c r="E7" s="4">
        <f>D7*0.1</f>
        <v>458</v>
      </c>
      <c r="F7" s="4">
        <f>2500/7*B7</f>
        <v>714.28571428571433</v>
      </c>
      <c r="G7">
        <v>0.05</v>
      </c>
      <c r="H7">
        <v>0.05</v>
      </c>
      <c r="I7" s="4">
        <f>H7*$C$2</f>
        <v>413</v>
      </c>
      <c r="J7" s="51">
        <f>(D7+E7+F7+I7)*$C$3</f>
        <v>321.82791428571431</v>
      </c>
      <c r="K7" s="6"/>
      <c r="L7" s="17"/>
    </row>
    <row r="8" spans="1:12" ht="31" x14ac:dyDescent="0.7">
      <c r="A8" s="152" t="s">
        <v>619</v>
      </c>
      <c r="B8" s="152"/>
      <c r="C8" s="152"/>
      <c r="D8" s="2"/>
      <c r="E8" s="2"/>
      <c r="F8" s="152"/>
      <c r="G8" s="152"/>
      <c r="H8" s="152"/>
      <c r="I8" s="2"/>
      <c r="J8" s="52">
        <f>SUM(J9:J9)</f>
        <v>321.82791428571431</v>
      </c>
      <c r="K8" s="10">
        <v>344</v>
      </c>
      <c r="L8" s="10">
        <f t="shared" ref="L8" si="2">K8-J8</f>
        <v>22.172085714285686</v>
      </c>
    </row>
    <row r="9" spans="1:12" x14ac:dyDescent="0.35">
      <c r="A9" s="4" t="s">
        <v>1009</v>
      </c>
      <c r="B9" s="4">
        <v>2</v>
      </c>
      <c r="C9" s="4">
        <v>2290</v>
      </c>
      <c r="D9" s="4">
        <f t="shared" ref="D9" si="3">B9*C9</f>
        <v>4580</v>
      </c>
      <c r="E9" s="4">
        <f>D9*0.1</f>
        <v>458</v>
      </c>
      <c r="F9" s="4">
        <f>2500/7*B9</f>
        <v>714.28571428571433</v>
      </c>
      <c r="G9">
        <v>0.05</v>
      </c>
      <c r="H9">
        <v>0.05</v>
      </c>
      <c r="I9" s="4">
        <f>H9*$C$2</f>
        <v>413</v>
      </c>
      <c r="J9" s="51">
        <f>(D9+E9+F9+I9)*$C$3</f>
        <v>321.82791428571431</v>
      </c>
      <c r="K9" s="6"/>
      <c r="L9" s="17"/>
    </row>
    <row r="10" spans="1:12" ht="31" x14ac:dyDescent="0.7">
      <c r="A10" s="152" t="s">
        <v>1010</v>
      </c>
      <c r="B10" s="152"/>
      <c r="C10" s="152"/>
      <c r="D10" s="2"/>
      <c r="E10" s="2"/>
      <c r="F10" s="152"/>
      <c r="G10" s="152"/>
      <c r="H10" s="152"/>
      <c r="I10" s="2"/>
      <c r="J10" s="52">
        <f>J11</f>
        <v>493.21170000000001</v>
      </c>
      <c r="K10" s="10">
        <v>483</v>
      </c>
      <c r="L10" s="10">
        <f t="shared" ref="L10" si="4">K10-J10</f>
        <v>-10.211700000000008</v>
      </c>
    </row>
    <row r="11" spans="1:12" x14ac:dyDescent="0.35">
      <c r="A11" s="4" t="s">
        <v>576</v>
      </c>
      <c r="B11" s="4">
        <v>1</v>
      </c>
      <c r="C11" s="4">
        <v>6900</v>
      </c>
      <c r="D11" s="4">
        <f t="shared" ref="D11" si="5">B11*C11</f>
        <v>6900</v>
      </c>
      <c r="E11" s="4">
        <f>D11*0.1</f>
        <v>690</v>
      </c>
      <c r="F11" s="4">
        <v>0</v>
      </c>
      <c r="G11" s="4">
        <v>0.2</v>
      </c>
      <c r="H11" s="4">
        <v>0.22500000000000001</v>
      </c>
      <c r="I11" s="4">
        <f>H11*$C$2</f>
        <v>1858.5</v>
      </c>
      <c r="J11" s="51">
        <f>(D11+E11+F11+I11)*$C$3</f>
        <v>493.21170000000001</v>
      </c>
      <c r="K11" s="6"/>
      <c r="L11" s="17"/>
    </row>
    <row r="12" spans="1:12" ht="31" x14ac:dyDescent="0.7">
      <c r="A12" s="152" t="s">
        <v>1011</v>
      </c>
      <c r="B12" s="152"/>
      <c r="C12" s="152"/>
      <c r="D12" s="2"/>
      <c r="E12" s="2"/>
      <c r="F12" s="152"/>
      <c r="G12" s="152"/>
      <c r="H12" s="152"/>
      <c r="I12" s="2"/>
      <c r="J12" s="52">
        <f>SUM(J13:J13)</f>
        <v>425.42652000000004</v>
      </c>
      <c r="K12" s="10">
        <v>422</v>
      </c>
      <c r="L12" s="10">
        <f t="shared" ref="L12" si="6">K12-J12</f>
        <v>-3.4265200000000391</v>
      </c>
    </row>
    <row r="13" spans="1:12" x14ac:dyDescent="0.35">
      <c r="A13" s="4" t="s">
        <v>437</v>
      </c>
      <c r="B13" s="4">
        <v>1</v>
      </c>
      <c r="C13" s="4">
        <v>5450</v>
      </c>
      <c r="D13" s="4">
        <f t="shared" ref="D13" si="7">B13*C13</f>
        <v>5450</v>
      </c>
      <c r="E13" s="4">
        <f>D13*0.1</f>
        <v>545</v>
      </c>
      <c r="F13">
        <f>2500/3</f>
        <v>833.33333333333337</v>
      </c>
      <c r="G13">
        <v>0.15</v>
      </c>
      <c r="H13">
        <v>0.16</v>
      </c>
      <c r="I13" s="4">
        <f>H13*$C$2</f>
        <v>1321.6000000000001</v>
      </c>
      <c r="J13" s="51">
        <f>(D13+E13+F13+I13)*$C$3</f>
        <v>425.42652000000004</v>
      </c>
      <c r="K13" s="6"/>
      <c r="L13" s="17"/>
    </row>
    <row r="14" spans="1:12" ht="31" x14ac:dyDescent="0.7">
      <c r="A14" s="152" t="s">
        <v>1012</v>
      </c>
      <c r="B14" s="152"/>
      <c r="C14" s="152"/>
      <c r="D14" s="2"/>
      <c r="E14" s="2"/>
      <c r="F14" s="152"/>
      <c r="G14" s="152"/>
      <c r="H14" s="152"/>
      <c r="I14" s="2"/>
      <c r="J14" s="52">
        <f>SUM(J15:J15)</f>
        <v>425.42652000000004</v>
      </c>
      <c r="K14" s="10">
        <v>422</v>
      </c>
      <c r="L14" s="10">
        <f t="shared" ref="L14" si="8">K14-J14</f>
        <v>-3.4265200000000391</v>
      </c>
    </row>
    <row r="15" spans="1:12" x14ac:dyDescent="0.35">
      <c r="A15" s="4" t="s">
        <v>437</v>
      </c>
      <c r="B15" s="4">
        <v>1</v>
      </c>
      <c r="C15" s="4">
        <v>5450</v>
      </c>
      <c r="D15" s="4">
        <f t="shared" ref="D15" si="9">B15*C15</f>
        <v>5450</v>
      </c>
      <c r="E15" s="4">
        <f>D15*0.1</f>
        <v>545</v>
      </c>
      <c r="F15">
        <f>2500/3</f>
        <v>833.33333333333337</v>
      </c>
      <c r="G15">
        <v>0.15</v>
      </c>
      <c r="H15">
        <v>0.16</v>
      </c>
      <c r="I15" s="4">
        <f>H15*$C$2</f>
        <v>1321.6000000000001</v>
      </c>
      <c r="J15" s="51">
        <f>(D15+E15+F15+I15)*$C$3</f>
        <v>425.42652000000004</v>
      </c>
      <c r="K15" s="6"/>
      <c r="L15" s="17"/>
    </row>
    <row r="16" spans="1:12" ht="31" x14ac:dyDescent="0.7">
      <c r="A16" s="152" t="s">
        <v>22</v>
      </c>
      <c r="B16" s="152"/>
      <c r="C16" s="152"/>
      <c r="D16" s="2"/>
      <c r="E16" s="2"/>
      <c r="F16" s="152"/>
      <c r="G16" s="152"/>
      <c r="H16" s="152"/>
      <c r="I16" s="2"/>
      <c r="J16" s="52">
        <f>SUM(J17:J17)</f>
        <v>2652.9292800000003</v>
      </c>
      <c r="K16" s="10">
        <v>2595</v>
      </c>
      <c r="L16" s="10">
        <f t="shared" ref="L16" si="10">K16-J16</f>
        <v>-57.92928000000029</v>
      </c>
    </row>
    <row r="17" spans="1:12" x14ac:dyDescent="0.35">
      <c r="A17" s="4" t="s">
        <v>67</v>
      </c>
      <c r="B17" s="4">
        <v>3</v>
      </c>
      <c r="C17" s="4">
        <v>14800</v>
      </c>
      <c r="D17" s="4">
        <f t="shared" ref="D17" si="11">B17*C17</f>
        <v>44400</v>
      </c>
      <c r="E17" s="4">
        <f>D17*0.1</f>
        <v>4440</v>
      </c>
      <c r="F17">
        <v>0</v>
      </c>
      <c r="G17">
        <v>0.11</v>
      </c>
      <c r="H17">
        <v>0.24</v>
      </c>
      <c r="I17" s="4">
        <f>H17*$C$2</f>
        <v>1982.3999999999999</v>
      </c>
      <c r="J17" s="51">
        <f>(D17+E17+F17+I17)*$C$3</f>
        <v>2652.9292800000003</v>
      </c>
      <c r="K17" s="6"/>
      <c r="L17" s="17"/>
    </row>
    <row r="18" spans="1:12" ht="31" x14ac:dyDescent="0.7">
      <c r="A18" s="152" t="s">
        <v>994</v>
      </c>
      <c r="B18" s="152"/>
      <c r="C18" s="152"/>
      <c r="D18" s="2"/>
      <c r="E18" s="2"/>
      <c r="F18" s="152"/>
      <c r="G18" s="152"/>
      <c r="H18" s="152"/>
      <c r="I18" s="2"/>
      <c r="J18" s="52">
        <f>J19</f>
        <v>977.99832000000004</v>
      </c>
      <c r="K18" s="10">
        <v>922</v>
      </c>
      <c r="L18" s="10">
        <f t="shared" ref="L18" si="12">K18-J18</f>
        <v>-55.998320000000035</v>
      </c>
    </row>
    <row r="19" spans="1:12" x14ac:dyDescent="0.35">
      <c r="A19" s="4" t="s">
        <v>57</v>
      </c>
      <c r="B19" s="4">
        <v>1</v>
      </c>
      <c r="C19" s="4">
        <v>6800</v>
      </c>
      <c r="D19" s="4">
        <f t="shared" ref="D19" si="13">B19*C19</f>
        <v>6800</v>
      </c>
      <c r="E19" s="4">
        <f>D19*0.1</f>
        <v>680</v>
      </c>
      <c r="F19">
        <v>2500</v>
      </c>
      <c r="G19">
        <v>0.92</v>
      </c>
      <c r="H19">
        <v>1.06</v>
      </c>
      <c r="I19" s="4">
        <f>H19*$C$2</f>
        <v>8755.6</v>
      </c>
      <c r="J19" s="51">
        <f>(D19+E19+F19+I19)*$C$3</f>
        <v>977.99832000000004</v>
      </c>
      <c r="K19" s="6"/>
      <c r="L19" s="17"/>
    </row>
    <row r="20" spans="1:12" ht="31" x14ac:dyDescent="0.7">
      <c r="A20" s="152" t="s">
        <v>1013</v>
      </c>
      <c r="B20" s="152"/>
      <c r="C20" s="152"/>
      <c r="D20" s="2"/>
      <c r="E20" s="2"/>
      <c r="F20" s="152"/>
      <c r="G20" s="152"/>
      <c r="H20" s="152"/>
      <c r="I20" s="2"/>
      <c r="J20" s="52">
        <f>SUM(J21:J21)</f>
        <v>1848.5586000000001</v>
      </c>
      <c r="K20" s="10">
        <v>1749</v>
      </c>
      <c r="L20" s="10">
        <f t="shared" ref="L20" si="14">K20-J20</f>
        <v>-99.558600000000069</v>
      </c>
    </row>
    <row r="21" spans="1:12" x14ac:dyDescent="0.35">
      <c r="A21" s="4" t="s">
        <v>1014</v>
      </c>
      <c r="B21" s="4">
        <v>1</v>
      </c>
      <c r="C21" s="4">
        <v>16800</v>
      </c>
      <c r="D21" s="4">
        <f t="shared" ref="D21" si="15">B21*C21</f>
        <v>16800</v>
      </c>
      <c r="E21" s="4">
        <f>D21*0.1</f>
        <v>1680</v>
      </c>
      <c r="F21">
        <v>0</v>
      </c>
      <c r="G21">
        <v>1.8</v>
      </c>
      <c r="H21">
        <v>2.0499999999999998</v>
      </c>
      <c r="I21" s="4">
        <f>H21*$C$2</f>
        <v>16933</v>
      </c>
      <c r="J21" s="51">
        <f>(D21+E21+F21+I21)*$C$3</f>
        <v>1848.5586000000001</v>
      </c>
      <c r="K21" s="6"/>
      <c r="L21" s="17"/>
    </row>
    <row r="22" spans="1:12" ht="31" x14ac:dyDescent="0.7">
      <c r="A22" s="152" t="s">
        <v>1015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393.08339999999998</v>
      </c>
      <c r="K22" s="10">
        <v>400</v>
      </c>
      <c r="L22" s="10">
        <f t="shared" ref="L22" si="16">K22-J22</f>
        <v>6.9166000000000167</v>
      </c>
    </row>
    <row r="23" spans="1:12" x14ac:dyDescent="0.35">
      <c r="A23" s="4" t="s">
        <v>97</v>
      </c>
      <c r="B23" s="4">
        <v>1</v>
      </c>
      <c r="C23" s="4">
        <f>10400/3</f>
        <v>3466.6666666666665</v>
      </c>
      <c r="D23" s="4">
        <f t="shared" ref="D23" si="17">B23*C23</f>
        <v>3466.6666666666665</v>
      </c>
      <c r="E23" s="4">
        <f>D23*0.1</f>
        <v>346.66666666666669</v>
      </c>
      <c r="F23">
        <v>0</v>
      </c>
      <c r="G23">
        <v>0.38</v>
      </c>
      <c r="H23">
        <v>0.45</v>
      </c>
      <c r="I23" s="4">
        <f>H23*$C$2</f>
        <v>3717</v>
      </c>
      <c r="J23" s="51">
        <f>(D23+E23+F23+I23)*$C$3</f>
        <v>393.08339999999998</v>
      </c>
      <c r="K23" s="6"/>
      <c r="L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N18" sqref="N18"/>
    </sheetView>
  </sheetViews>
  <sheetFormatPr defaultRowHeight="14.5" x14ac:dyDescent="0.35"/>
  <sheetData>
    <row r="1" spans="1:4" ht="21" x14ac:dyDescent="0.5">
      <c r="A1" s="55" t="s">
        <v>281</v>
      </c>
      <c r="B1" s="4"/>
      <c r="C1" s="189">
        <v>42791</v>
      </c>
      <c r="D1" s="30"/>
    </row>
    <row r="2" spans="1:4" ht="21" x14ac:dyDescent="0.5">
      <c r="A2" s="55" t="s">
        <v>239</v>
      </c>
      <c r="B2" s="4"/>
      <c r="C2" s="16">
        <v>8260</v>
      </c>
      <c r="D2" s="30" t="s">
        <v>1017</v>
      </c>
    </row>
    <row r="3" spans="1:4" ht="21" x14ac:dyDescent="0.5">
      <c r="A3" s="55" t="s">
        <v>240</v>
      </c>
      <c r="B3" s="4"/>
      <c r="C3" s="170">
        <v>5.2200000000000003E-2</v>
      </c>
      <c r="D3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41478</v>
      </c>
      <c r="D1" s="30"/>
    </row>
    <row r="2" spans="1:13" ht="21" x14ac:dyDescent="0.5">
      <c r="A2" s="55" t="s">
        <v>218</v>
      </c>
      <c r="B2" s="4"/>
      <c r="C2" s="16">
        <v>6840</v>
      </c>
      <c r="D2" s="30"/>
    </row>
    <row r="3" spans="1:13" ht="21" x14ac:dyDescent="0.5">
      <c r="A3" s="55"/>
      <c r="B3" s="4"/>
      <c r="C3" s="16"/>
      <c r="D3" s="30"/>
    </row>
    <row r="4" spans="1:13" ht="18.5" x14ac:dyDescent="0.45">
      <c r="A4" s="55" t="s">
        <v>217</v>
      </c>
      <c r="B4" s="4"/>
      <c r="C4" s="16">
        <v>2.9530000000000001E-2</v>
      </c>
    </row>
    <row r="5" spans="1:13" ht="28.5" x14ac:dyDescent="0.65">
      <c r="A5" s="55"/>
      <c r="B5" s="4"/>
      <c r="C5" s="13"/>
    </row>
    <row r="6" spans="1:13" ht="37" x14ac:dyDescent="0.45">
      <c r="A6" s="56" t="s">
        <v>18</v>
      </c>
      <c r="C6" s="19"/>
    </row>
    <row r="7" spans="1:13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" x14ac:dyDescent="0.6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3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" x14ac:dyDescent="0.6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3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" x14ac:dyDescent="0.6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3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" x14ac:dyDescent="0.6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3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29" x14ac:dyDescent="0.3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3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" x14ac:dyDescent="0.6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3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" x14ac:dyDescent="0.6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3.5" x14ac:dyDescent="0.3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" x14ac:dyDescent="0.6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3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3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" x14ac:dyDescent="0.6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3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3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" x14ac:dyDescent="0.6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3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3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3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" x14ac:dyDescent="0.6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3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3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3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" x14ac:dyDescent="0.6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3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3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3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3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3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" x14ac:dyDescent="0.6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3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3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3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" x14ac:dyDescent="0.6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3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3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" x14ac:dyDescent="0.6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3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3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3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" x14ac:dyDescent="0.6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3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3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3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3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" x14ac:dyDescent="0.6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3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3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3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3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3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3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3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3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3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3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35">
      <c r="D71" s="75"/>
      <c r="E71" s="76"/>
    </row>
    <row r="72" spans="1:12" x14ac:dyDescent="0.35">
      <c r="E72" s="75"/>
    </row>
    <row r="73" spans="1:12" x14ac:dyDescent="0.3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41507</v>
      </c>
      <c r="D1" s="30"/>
    </row>
    <row r="2" spans="1:13" ht="21" x14ac:dyDescent="0.5">
      <c r="A2" s="55" t="s">
        <v>218</v>
      </c>
      <c r="B2" s="4"/>
      <c r="C2" s="16">
        <v>6760</v>
      </c>
      <c r="D2" s="30" t="s">
        <v>223</v>
      </c>
    </row>
    <row r="3" spans="1:13" ht="21" x14ac:dyDescent="0.5">
      <c r="A3" s="55" t="s">
        <v>217</v>
      </c>
      <c r="B3" s="4"/>
      <c r="C3" s="16">
        <v>3.0099999999999998E-2</v>
      </c>
      <c r="D3" s="30" t="s">
        <v>224</v>
      </c>
    </row>
    <row r="4" spans="1:13" ht="26.5" customHeight="1" x14ac:dyDescent="0.45">
      <c r="A4" s="56"/>
      <c r="C4" s="19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3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" x14ac:dyDescent="0.6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3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" x14ac:dyDescent="0.6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3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" x14ac:dyDescent="0.6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3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" x14ac:dyDescent="0.6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3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3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3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3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" x14ac:dyDescent="0.6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3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3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3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3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7265625" customWidth="1"/>
    <col min="11" max="11" width="14.1796875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41558</v>
      </c>
      <c r="D1" s="30"/>
    </row>
    <row r="2" spans="1:13" ht="21" x14ac:dyDescent="0.5">
      <c r="A2" s="55" t="s">
        <v>239</v>
      </c>
      <c r="B2" s="4"/>
      <c r="C2" s="16">
        <v>6480</v>
      </c>
      <c r="D2" s="30"/>
    </row>
    <row r="3" spans="1:13" ht="21" x14ac:dyDescent="0.5">
      <c r="A3" s="55" t="s">
        <v>240</v>
      </c>
      <c r="B3" s="4"/>
      <c r="C3" s="16">
        <v>3.1E-2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3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" x14ac:dyDescent="0.6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3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" x14ac:dyDescent="0.6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3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" x14ac:dyDescent="0.6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3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" x14ac:dyDescent="0.6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3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" x14ac:dyDescent="0.6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3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" x14ac:dyDescent="0.6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3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" x14ac:dyDescent="0.6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3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" x14ac:dyDescent="0.6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3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3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" x14ac:dyDescent="0.6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3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3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3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" x14ac:dyDescent="0.6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3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3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3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" x14ac:dyDescent="0.6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3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3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3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" x14ac:dyDescent="0.6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3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3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3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3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3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26953125" customWidth="1"/>
    <col min="11" max="11" width="10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41565</v>
      </c>
      <c r="D1" s="30"/>
    </row>
    <row r="2" spans="1:13" ht="21" x14ac:dyDescent="0.5">
      <c r="A2" s="55" t="s">
        <v>239</v>
      </c>
      <c r="B2" s="4"/>
      <c r="C2" s="16">
        <v>6630</v>
      </c>
      <c r="D2" s="30"/>
    </row>
    <row r="3" spans="1:13" ht="21" x14ac:dyDescent="0.5">
      <c r="A3" s="55" t="s">
        <v>240</v>
      </c>
      <c r="B3" s="4"/>
      <c r="C3" s="16">
        <v>3.0099999999999998E-2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3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" x14ac:dyDescent="0.7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3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" x14ac:dyDescent="0.6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3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" x14ac:dyDescent="0.6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3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3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3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" x14ac:dyDescent="0.6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3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3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" x14ac:dyDescent="0.6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3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3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3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3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52</vt:i4>
      </vt:variant>
    </vt:vector>
  </HeadingPairs>
  <TitlesOfParts>
    <vt:vector size="52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2017-03-21T07:49:08Z</dcterms:modified>
</cp:coreProperties>
</file>