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3335" windowHeight="10110" firstSheet="1" activeTab="11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-" sheetId="13" r:id="rId13"/>
  </sheets>
  <definedNames/>
  <calcPr fullCalcOnLoad="1"/>
</workbook>
</file>

<file path=xl/sharedStrings.xml><?xml version="1.0" encoding="utf-8"?>
<sst xmlns="http://schemas.openxmlformats.org/spreadsheetml/2006/main" count="445" uniqueCount="179">
  <si>
    <t>ДАТА:</t>
  </si>
  <si>
    <t>Курс</t>
  </si>
  <si>
    <t>НИК УЗ</t>
  </si>
  <si>
    <t>к оплате</t>
  </si>
  <si>
    <t>Оплачено, руб</t>
  </si>
  <si>
    <t>Долг (-), переплата (+)
руб.</t>
  </si>
  <si>
    <t>курс будет уточнен после списания банком</t>
  </si>
  <si>
    <t>zannoza</t>
  </si>
  <si>
    <t>Стоимость доставки, $</t>
  </si>
  <si>
    <t>ИТОГО, 
$</t>
  </si>
  <si>
    <t>руб/долл</t>
  </si>
  <si>
    <t>НастЯЯЯ</t>
  </si>
  <si>
    <t>Ir_86</t>
  </si>
  <si>
    <t xml:space="preserve">*M_a_r_g_o* </t>
  </si>
  <si>
    <t>Olishna72</t>
  </si>
  <si>
    <t>valentinka_lapo4ka</t>
  </si>
  <si>
    <t>YLIA81</t>
  </si>
  <si>
    <t>татьяна55555</t>
  </si>
  <si>
    <t>Yukka</t>
  </si>
  <si>
    <t>simba-07</t>
  </si>
  <si>
    <t>iwonna…</t>
  </si>
  <si>
    <t>Da_rya</t>
  </si>
  <si>
    <t>Кол-во позиций</t>
  </si>
  <si>
    <t>орг %</t>
  </si>
  <si>
    <t>лис-и4-ка</t>
  </si>
  <si>
    <t>384 вернула 01.11.13 в счет оплат</t>
  </si>
  <si>
    <t>Выкуплен</t>
  </si>
  <si>
    <t>Лёлечка83</t>
  </si>
  <si>
    <t>luddy</t>
  </si>
  <si>
    <t>Zvezdochka*</t>
  </si>
  <si>
    <t>Di Na</t>
  </si>
  <si>
    <t>maxaON</t>
  </si>
  <si>
    <t>Медведица</t>
  </si>
  <si>
    <t>with_a_box</t>
  </si>
  <si>
    <t>solushka</t>
  </si>
  <si>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</si>
  <si>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</si>
  <si>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</si>
  <si>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</si>
  <si>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1, 2</t>
  </si>
  <si>
    <t>перенесла 43 р на бьютиэнкаунтер 1</t>
  </si>
  <si>
    <t>Стоимость заказа, долл</t>
  </si>
  <si>
    <t>нашка</t>
  </si>
  <si>
    <t>missis smith</t>
  </si>
  <si>
    <t>Юляskа</t>
  </si>
  <si>
    <t>Romanechka</t>
  </si>
  <si>
    <t>8 убрала на кокон 29</t>
  </si>
  <si>
    <t>05.06.014</t>
  </si>
  <si>
    <t>Bulani</t>
  </si>
  <si>
    <t>olishna72</t>
  </si>
  <si>
    <t>Зверушка</t>
  </si>
  <si>
    <t xml:space="preserve"> =Тата=</t>
  </si>
  <si>
    <t>Инес Афинская</t>
  </si>
  <si>
    <t>Semper felix</t>
  </si>
  <si>
    <t>valensa</t>
  </si>
  <si>
    <t>Оля&amp;Никита</t>
  </si>
  <si>
    <t>Яшеничка</t>
  </si>
  <si>
    <t>Мама Фета</t>
  </si>
  <si>
    <t>LilGlavbuh</t>
  </si>
  <si>
    <t>Jane26</t>
  </si>
  <si>
    <t>Aussie</t>
  </si>
  <si>
    <t>oksy82</t>
  </si>
  <si>
    <t>1, 2, 4</t>
  </si>
  <si>
    <t>32 р вернула на карту 23.06</t>
  </si>
  <si>
    <t>убрала 26 р в счет оплаты посредник май 2014</t>
  </si>
  <si>
    <t>вернула 1819 р (17.07.14)</t>
  </si>
  <si>
    <t>18.07.014</t>
  </si>
  <si>
    <t>Bizkit</t>
  </si>
  <si>
    <t>nafanya54</t>
  </si>
  <si>
    <t>Lara11</t>
  </si>
  <si>
    <t>МамаРу</t>
  </si>
  <si>
    <t>бубль гум)</t>
  </si>
  <si>
    <t>Lizzy</t>
  </si>
  <si>
    <t>lisanti</t>
  </si>
  <si>
    <t>2,3, 5</t>
  </si>
  <si>
    <t>28 р убрала в счет основы 20.07.14</t>
  </si>
  <si>
    <t>12 р убрала в счет наличия 21.07.2014</t>
  </si>
  <si>
    <t>вернула на карту 31.07.14</t>
  </si>
  <si>
    <t>убрала 15 р в счет оплаты наличия 31 июля</t>
  </si>
  <si>
    <t>16.09.014</t>
  </si>
  <si>
    <t>may-lyudmila</t>
  </si>
  <si>
    <t>Мусенок любящий Печенье</t>
  </si>
  <si>
    <t>Татьяна55555</t>
  </si>
  <si>
    <t>Ff-olik</t>
  </si>
  <si>
    <t>Дресскод</t>
  </si>
  <si>
    <t>Катрунасия</t>
  </si>
  <si>
    <t>Kidy</t>
  </si>
  <si>
    <t>Da_rya (1 часть)</t>
  </si>
  <si>
    <t>Da_rya (2 часть)</t>
  </si>
  <si>
    <t>4, 6</t>
  </si>
  <si>
    <t>1, 6</t>
  </si>
  <si>
    <t>не вложили Leonara by Leonard for Women Eau de Parfum Spray 3.4 oz</t>
  </si>
  <si>
    <t>вернула 1283 - 01.10.14</t>
  </si>
  <si>
    <t>92 р убрала за наличие 02.10.14</t>
  </si>
  <si>
    <t>56 р убрала на sr skincare 2</t>
  </si>
  <si>
    <t>убрала 16 р в счет наличия 06.10.2014</t>
  </si>
  <si>
    <t>вернула1227 в счет наличия и доставки и остаток вернула</t>
  </si>
  <si>
    <t>Оплата до 17.11 включительно</t>
  </si>
  <si>
    <t>15.11.014</t>
  </si>
  <si>
    <t>esfir_55</t>
  </si>
  <si>
    <t>ff-olik</t>
  </si>
  <si>
    <t>julary</t>
  </si>
  <si>
    <t>Ольга975</t>
  </si>
  <si>
    <t>marusya7</t>
  </si>
  <si>
    <t>gloriya1</t>
  </si>
  <si>
    <t>ЮМиЛи</t>
  </si>
  <si>
    <t>Приорат Диора</t>
  </si>
  <si>
    <t>шалфей</t>
  </si>
  <si>
    <t>МариЖа</t>
  </si>
  <si>
    <t>Светлана30</t>
  </si>
  <si>
    <t>5, 7</t>
  </si>
  <si>
    <t>6, 7</t>
  </si>
  <si>
    <t>Приорат Диора (была Lara11)</t>
  </si>
  <si>
    <t>вернула 2365 р.</t>
  </si>
  <si>
    <t>74 р в счет наличия 08.12.2014</t>
  </si>
  <si>
    <t>26 р перенесла на iherb 294</t>
  </si>
  <si>
    <t>43 учла за пристрой 06.12.2014</t>
  </si>
  <si>
    <t>вернула 06.12.14</t>
  </si>
  <si>
    <t>48 р перенесла в посредник сша 2</t>
  </si>
  <si>
    <t>29 р перенесла в кокон 66</t>
  </si>
  <si>
    <t>Дождь</t>
  </si>
  <si>
    <t>Анюточка8605</t>
  </si>
  <si>
    <t>selen~ya</t>
  </si>
  <si>
    <t>aLenka_1009</t>
  </si>
  <si>
    <t>Юлия_Жданова</t>
  </si>
  <si>
    <t>Garsia</t>
  </si>
  <si>
    <t>Матрена</t>
  </si>
  <si>
    <t>Inna.K.</t>
  </si>
  <si>
    <t>Afalinatata</t>
  </si>
  <si>
    <t>Настяка</t>
  </si>
  <si>
    <t>Laina</t>
  </si>
  <si>
    <t>7, 8</t>
  </si>
  <si>
    <t>вернула на сотовый</t>
  </si>
  <si>
    <t>вернула на карту</t>
  </si>
  <si>
    <t>24 р перенесла на iherb</t>
  </si>
  <si>
    <t>100 р на айхерб 531</t>
  </si>
  <si>
    <t>10 р убрала за межгород</t>
  </si>
  <si>
    <t>T_ais</t>
  </si>
  <si>
    <t>КРИСТИНА123456789</t>
  </si>
  <si>
    <t>Русьимпорт</t>
  </si>
  <si>
    <t>АннаАкулова</t>
  </si>
  <si>
    <t>М@рковк@</t>
  </si>
  <si>
    <t>dorfy</t>
  </si>
  <si>
    <t>kozivka</t>
  </si>
  <si>
    <t>Olga_Kir</t>
  </si>
  <si>
    <t>Индианка</t>
  </si>
  <si>
    <t>4,6,9</t>
  </si>
  <si>
    <t>8, 9</t>
  </si>
  <si>
    <t>3, 9</t>
  </si>
  <si>
    <t>4, 9</t>
  </si>
  <si>
    <t>Натаliy</t>
  </si>
  <si>
    <t>147 р вернула 01.12.16 на телефон</t>
  </si>
  <si>
    <t>Оплата до 04.04 включительно</t>
  </si>
  <si>
    <t>Nailya_Y</t>
  </si>
  <si>
    <t>Larisa 7</t>
  </si>
  <si>
    <t>ксанурка</t>
  </si>
  <si>
    <t>пАННАчка</t>
  </si>
  <si>
    <t>Котя84</t>
  </si>
  <si>
    <t>Абигель</t>
  </si>
  <si>
    <t>kidy</t>
  </si>
  <si>
    <t>5, 6, 7, 10</t>
  </si>
  <si>
    <t>9, 10</t>
  </si>
  <si>
    <t>6, 8, 10</t>
  </si>
  <si>
    <t>1, 2, 4, 6, 8, 10</t>
  </si>
  <si>
    <t>LeoNaBob</t>
  </si>
  <si>
    <t>для коллеги</t>
  </si>
  <si>
    <t>вернула переплату на карту</t>
  </si>
  <si>
    <t>Рина-Марина</t>
  </si>
  <si>
    <t>Nfyz</t>
  </si>
  <si>
    <t>Мава</t>
  </si>
  <si>
    <t>JulyaS</t>
  </si>
  <si>
    <t>Несметана</t>
  </si>
  <si>
    <t>инна77</t>
  </si>
  <si>
    <t>4, 11</t>
  </si>
  <si>
    <t>2, 8, 9, 10</t>
  </si>
  <si>
    <t>10, 11</t>
  </si>
  <si>
    <t>4, 7, 11</t>
  </si>
  <si>
    <t>1, 2,3, 4, 5,6, 7, 8, 9, 10, 11</t>
  </si>
  <si>
    <t>7, 10, 11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</si>
</sst>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7" fillId="33" borderId="0" xfId="0" applyFont="1" applyFill="1" applyAlignment="1">
      <alignment horizontal="center"/>
    </xf>
    <xf numFmtId="14" fontId="48" fillId="33" borderId="0" xfId="0" applyNumberFormat="1" applyFont="1" applyFill="1" applyAlignment="1">
      <alignment horizontal="center"/>
    </xf>
    <xf numFmtId="0" fontId="47" fillId="33" borderId="0" xfId="0" applyFont="1" applyFill="1" applyAlignment="1">
      <alignment horizontal="right"/>
    </xf>
    <xf numFmtId="0" fontId="4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33" borderId="11" xfId="42" applyFont="1" applyFill="1" applyBorder="1" applyAlignment="1" applyProtection="1">
      <alignment/>
      <protection/>
    </xf>
    <xf numFmtId="3" fontId="50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1" fontId="51" fillId="34" borderId="10" xfId="0" applyNumberFormat="1" applyFont="1" applyFill="1" applyBorder="1" applyAlignment="1">
      <alignment/>
    </xf>
    <xf numFmtId="0" fontId="3" fillId="34" borderId="11" xfId="42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" fontId="37" fillId="34" borderId="10" xfId="0" applyNumberFormat="1" applyFont="1" applyFill="1" applyBorder="1" applyAlignment="1">
      <alignment horizontal="center" wrapText="1"/>
    </xf>
    <xf numFmtId="0" fontId="37" fillId="34" borderId="10" xfId="0" applyFont="1" applyFill="1" applyBorder="1" applyAlignment="1">
      <alignment horizontal="center" wrapText="1"/>
    </xf>
    <xf numFmtId="0" fontId="2" fillId="33" borderId="11" xfId="42" applyFont="1" applyFill="1" applyBorder="1" applyAlignment="1" applyProtection="1">
      <alignment horizontal="center"/>
      <protection/>
    </xf>
    <xf numFmtId="0" fontId="2" fillId="35" borderId="11" xfId="42" applyFont="1" applyFill="1" applyBorder="1" applyAlignment="1" applyProtection="1">
      <alignment/>
      <protection/>
    </xf>
    <xf numFmtId="0" fontId="2" fillId="35" borderId="11" xfId="42" applyFont="1" applyFill="1" applyBorder="1" applyAlignment="1" applyProtection="1">
      <alignment horizontal="center"/>
      <protection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3" fontId="50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2" fillId="33" borderId="10" xfId="42" applyFont="1" applyFill="1" applyBorder="1" applyAlignment="1" applyProtection="1">
      <alignment/>
      <protection/>
    </xf>
    <xf numFmtId="0" fontId="2" fillId="33" borderId="12" xfId="42" applyFont="1" applyFill="1" applyBorder="1" applyAlignment="1" applyProtection="1">
      <alignment/>
      <protection/>
    </xf>
    <xf numFmtId="0" fontId="2" fillId="36" borderId="11" xfId="42" applyFont="1" applyFill="1" applyBorder="1" applyAlignment="1" applyProtection="1">
      <alignment horizontal="center"/>
      <protection/>
    </xf>
    <xf numFmtId="0" fontId="0" fillId="36" borderId="10" xfId="0" applyFill="1" applyBorder="1" applyAlignment="1">
      <alignment horizontal="center" wrapText="1"/>
    </xf>
    <xf numFmtId="0" fontId="45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9" fillId="33" borderId="0" xfId="0" applyFont="1" applyFill="1" applyAlignment="1">
      <alignment wrapText="1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1" fontId="53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3" fontId="45" fillId="0" borderId="10" xfId="0" applyNumberFormat="1" applyFont="1" applyBorder="1" applyAlignment="1">
      <alignment horizontal="center"/>
    </xf>
    <xf numFmtId="0" fontId="51" fillId="33" borderId="11" xfId="42" applyFont="1" applyFill="1" applyBorder="1" applyAlignment="1" applyProtection="1">
      <alignment/>
      <protection/>
    </xf>
    <xf numFmtId="0" fontId="51" fillId="33" borderId="10" xfId="42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1">
      <selection activeCell="A19" sqref="A19:IV19"/>
    </sheetView>
  </sheetViews>
  <sheetFormatPr defaultColWidth="9.140625" defaultRowHeight="15"/>
  <cols>
    <col min="1" max="1" width="28.28125" style="38" customWidth="1"/>
    <col min="2" max="2" width="11.8515625" style="53" customWidth="1"/>
    <col min="3" max="3" width="23.00390625" style="53" customWidth="1"/>
  </cols>
  <sheetData>
    <row r="1" spans="1:4" ht="45">
      <c r="A1" s="36" t="s">
        <v>35</v>
      </c>
      <c r="B1" s="46" t="s">
        <v>36</v>
      </c>
      <c r="C1" s="46" t="s">
        <v>37</v>
      </c>
      <c r="D1" s="29" t="s">
        <v>38</v>
      </c>
    </row>
    <row r="2" spans="1:3" ht="15">
      <c r="A2" s="31" t="s">
        <v>51</v>
      </c>
      <c r="B2" s="47">
        <f>4!I8</f>
        <v>29.273599999999988</v>
      </c>
      <c r="C2" s="48">
        <v>4</v>
      </c>
    </row>
    <row r="3" spans="1:3" ht="15">
      <c r="A3" s="37" t="s">
        <v>13</v>
      </c>
      <c r="B3" s="47">
        <f>1!I6</f>
        <v>2.2950399999999718</v>
      </c>
      <c r="C3" s="48">
        <v>1</v>
      </c>
    </row>
    <row r="4" spans="1:3" ht="15">
      <c r="A4" s="31" t="s">
        <v>128</v>
      </c>
      <c r="B4" s="47">
        <f>8!I15</f>
        <v>0.4966000000003987</v>
      </c>
      <c r="C4" s="48">
        <v>8</v>
      </c>
    </row>
    <row r="5" spans="1:3" ht="15">
      <c r="A5" s="31" t="s">
        <v>123</v>
      </c>
      <c r="B5" s="47">
        <f>8!I8+9!I11</f>
        <v>0.28831999999965774</v>
      </c>
      <c r="C5" s="48" t="s">
        <v>147</v>
      </c>
    </row>
    <row r="6" spans="1:3" ht="15">
      <c r="A6" s="10" t="s">
        <v>60</v>
      </c>
      <c r="B6" s="47">
        <f>4!I18+9!I6</f>
        <v>0.3520560000004025</v>
      </c>
      <c r="C6" s="48" t="s">
        <v>149</v>
      </c>
    </row>
    <row r="7" spans="1:3" ht="15">
      <c r="A7" s="31" t="s">
        <v>67</v>
      </c>
      <c r="B7" s="47">
        <f>5!I4</f>
        <v>0</v>
      </c>
      <c r="C7" s="48">
        <v>5</v>
      </c>
    </row>
    <row r="8" spans="1:3" ht="15">
      <c r="A8" s="31" t="s">
        <v>48</v>
      </c>
      <c r="B8" s="49">
        <f>4!I5</f>
        <v>22.307999999999993</v>
      </c>
      <c r="C8" s="50">
        <v>4</v>
      </c>
    </row>
    <row r="9" spans="1:3" ht="15">
      <c r="A9" s="32" t="s">
        <v>21</v>
      </c>
      <c r="B9" s="47">
        <f>1!I16+2!I5+4!I4+6!I14+6!I15+8!I9+'10'!I16</f>
        <v>0.18142000000148073</v>
      </c>
      <c r="C9" s="48" t="s">
        <v>163</v>
      </c>
    </row>
    <row r="10" spans="1:3" ht="15">
      <c r="A10" s="31" t="s">
        <v>142</v>
      </c>
      <c r="B10" s="47">
        <f>9!I16</f>
        <v>19.796920000000227</v>
      </c>
      <c r="C10" s="48">
        <v>9</v>
      </c>
    </row>
    <row r="11" spans="1:3" ht="15">
      <c r="A11" s="31" t="s">
        <v>99</v>
      </c>
      <c r="B11" s="47">
        <f>7!I8</f>
        <v>-0.05760000000009313</v>
      </c>
      <c r="C11" s="48">
        <v>7</v>
      </c>
    </row>
    <row r="12" spans="1:3" ht="15">
      <c r="A12" s="31" t="s">
        <v>83</v>
      </c>
      <c r="B12" s="47">
        <f>6!I9+7!I9</f>
        <v>0.2583600000007209</v>
      </c>
      <c r="C12" s="48" t="s">
        <v>111</v>
      </c>
    </row>
    <row r="13" spans="1:3" ht="15">
      <c r="A13" s="31" t="s">
        <v>125</v>
      </c>
      <c r="B13" s="47">
        <f>8!I12</f>
        <v>0.10119999999960783</v>
      </c>
      <c r="C13" s="48">
        <v>8</v>
      </c>
    </row>
    <row r="14" spans="1:3" ht="15">
      <c r="A14" s="10" t="s">
        <v>104</v>
      </c>
      <c r="B14" s="51">
        <f>7!I13</f>
        <v>56.30419999999981</v>
      </c>
      <c r="C14" s="52">
        <v>7</v>
      </c>
    </row>
    <row r="15" spans="1:3" ht="15">
      <c r="A15" s="31" t="s">
        <v>127</v>
      </c>
      <c r="B15" s="51">
        <f>8!I14</f>
        <v>16.396999999999935</v>
      </c>
      <c r="C15" s="52">
        <v>8</v>
      </c>
    </row>
    <row r="16" spans="1:3" ht="15">
      <c r="A16" s="32" t="s">
        <v>12</v>
      </c>
      <c r="B16" s="47">
        <f>1!I5+2!I9+4!I14</f>
        <v>-0.07815000000005057</v>
      </c>
      <c r="C16" s="48" t="s">
        <v>62</v>
      </c>
    </row>
    <row r="17" spans="1:3" ht="15">
      <c r="A17" s="31" t="s">
        <v>59</v>
      </c>
      <c r="B17" s="47">
        <f>4!I17+6!I11</f>
        <v>13.338400000000092</v>
      </c>
      <c r="C17" s="48" t="s">
        <v>89</v>
      </c>
    </row>
    <row r="18" spans="1:3" ht="15">
      <c r="A18" s="31" t="s">
        <v>101</v>
      </c>
      <c r="B18" s="47">
        <f>7!I10</f>
        <v>0.14350000000013097</v>
      </c>
      <c r="C18" s="48">
        <v>7</v>
      </c>
    </row>
    <row r="19" spans="1:3" ht="15">
      <c r="A19" s="59" t="s">
        <v>170</v>
      </c>
      <c r="B19" s="57">
        <f>'11'!I7</f>
        <v>27.83188999999993</v>
      </c>
      <c r="C19" s="48">
        <v>11</v>
      </c>
    </row>
    <row r="20" spans="1:3" ht="15">
      <c r="A20" s="31" t="s">
        <v>159</v>
      </c>
      <c r="B20" s="47">
        <f>6!I16+8!I10+'10'!I14</f>
        <v>-0.34320000000025175</v>
      </c>
      <c r="C20" s="48" t="s">
        <v>162</v>
      </c>
    </row>
    <row r="21" spans="1:3" ht="15">
      <c r="A21" s="31" t="s">
        <v>143</v>
      </c>
      <c r="B21" s="47">
        <f>9!I18</f>
        <v>-0.42078399999991234</v>
      </c>
      <c r="C21" s="48">
        <v>9</v>
      </c>
    </row>
    <row r="22" spans="1:3" ht="15">
      <c r="A22" s="31" t="s">
        <v>130</v>
      </c>
      <c r="B22" s="47">
        <f>8!I18</f>
        <v>19.68080000000009</v>
      </c>
      <c r="C22" s="48">
        <v>8</v>
      </c>
    </row>
    <row r="23" spans="1:3" ht="15">
      <c r="A23" s="31" t="s">
        <v>154</v>
      </c>
      <c r="B23" s="47">
        <f>'10'!I5</f>
        <v>-0.06475000000023101</v>
      </c>
      <c r="C23" s="48">
        <v>10</v>
      </c>
    </row>
    <row r="24" spans="1:3" ht="15">
      <c r="A24" s="31" t="s">
        <v>58</v>
      </c>
      <c r="B24" s="47">
        <f>4!I16</f>
        <v>18.414399999999887</v>
      </c>
      <c r="C24" s="48">
        <v>4</v>
      </c>
    </row>
    <row r="25" spans="1:3" ht="15">
      <c r="A25" s="31" t="s">
        <v>73</v>
      </c>
      <c r="B25" s="47">
        <f>5!I12</f>
        <v>0.009199999999964348</v>
      </c>
      <c r="C25" s="48">
        <v>5</v>
      </c>
    </row>
    <row r="26" spans="1:3" ht="15">
      <c r="A26" s="31" t="s">
        <v>72</v>
      </c>
      <c r="B26" s="47">
        <f>5!I11</f>
        <v>-0.4872000000004846</v>
      </c>
      <c r="C26" s="48">
        <v>5</v>
      </c>
    </row>
    <row r="27" spans="1:3" ht="15">
      <c r="A27" s="31" t="s">
        <v>28</v>
      </c>
      <c r="B27" s="47">
        <f>2!I6+3!I4+5!I8</f>
        <v>-10.458320000000185</v>
      </c>
      <c r="C27" s="48" t="s">
        <v>74</v>
      </c>
    </row>
    <row r="28" spans="1:3" ht="15">
      <c r="A28" s="59" t="s">
        <v>103</v>
      </c>
      <c r="B28" s="47">
        <f>7!I12+'10'!I15+'11'!I13</f>
        <v>39.029910999999856</v>
      </c>
      <c r="C28" s="48" t="s">
        <v>178</v>
      </c>
    </row>
    <row r="29" spans="1:3" ht="15">
      <c r="A29" s="37" t="s">
        <v>31</v>
      </c>
      <c r="B29" s="47">
        <f>2!I11</f>
        <v>34.3809999999994</v>
      </c>
      <c r="C29" s="48">
        <v>2</v>
      </c>
    </row>
    <row r="30" spans="1:3" ht="15">
      <c r="A30" s="31" t="s">
        <v>80</v>
      </c>
      <c r="B30" s="47">
        <f>6!I4</f>
        <v>104.00668000000042</v>
      </c>
      <c r="C30" s="48">
        <v>6</v>
      </c>
    </row>
    <row r="31" spans="1:3" ht="15">
      <c r="A31" s="31" t="s">
        <v>43</v>
      </c>
      <c r="B31" s="47">
        <f>3!I8+5!I13</f>
        <v>0.11299999999971533</v>
      </c>
      <c r="C31" s="48">
        <v>3.5</v>
      </c>
    </row>
    <row r="32" spans="1:3" ht="15">
      <c r="A32" s="31" t="s">
        <v>68</v>
      </c>
      <c r="B32" s="47">
        <f>5!I5</f>
        <v>-0.1048399999999674</v>
      </c>
      <c r="C32" s="48">
        <v>5</v>
      </c>
    </row>
    <row r="33" spans="1:3" ht="15">
      <c r="A33" s="31" t="s">
        <v>153</v>
      </c>
      <c r="B33" s="47">
        <f>'10'!I4</f>
        <v>-0.06100000000014916</v>
      </c>
      <c r="C33" s="48">
        <v>10</v>
      </c>
    </row>
    <row r="34" spans="1:3" ht="15">
      <c r="A34" s="58" t="s">
        <v>168</v>
      </c>
      <c r="B34" s="57">
        <f>'11'!I5</f>
        <v>15.532944999999927</v>
      </c>
      <c r="C34" s="48">
        <v>11</v>
      </c>
    </row>
    <row r="35" spans="1:3" ht="15">
      <c r="A35" s="31" t="s">
        <v>61</v>
      </c>
      <c r="B35" s="47">
        <f>4!I19</f>
        <v>94.81376</v>
      </c>
      <c r="C35" s="48">
        <v>4</v>
      </c>
    </row>
    <row r="36" spans="1:3" ht="15">
      <c r="A36" s="31" t="s">
        <v>144</v>
      </c>
      <c r="B36" s="47">
        <f>9!I19</f>
        <v>0.4279599999990751</v>
      </c>
      <c r="C36" s="48">
        <v>9</v>
      </c>
    </row>
    <row r="37" spans="1:3" ht="15">
      <c r="A37" s="59" t="s">
        <v>14</v>
      </c>
      <c r="B37" s="47">
        <f>1!I7+2!I7+3!I5+4!I6+5!I10+6!I10+7!I7+8!I17+9!I20+'10'!I11+'11'!I12</f>
        <v>113.34692300000052</v>
      </c>
      <c r="C37" s="48" t="s">
        <v>177</v>
      </c>
    </row>
    <row r="38" spans="1:3" ht="15">
      <c r="A38" s="10" t="s">
        <v>45</v>
      </c>
      <c r="B38" s="47">
        <f>3!I11+9!I4</f>
        <v>0.31699999999955253</v>
      </c>
      <c r="C38" s="48" t="s">
        <v>148</v>
      </c>
    </row>
    <row r="39" spans="1:3" ht="15">
      <c r="A39" s="31" t="s">
        <v>122</v>
      </c>
      <c r="B39" s="47">
        <f>8!I7</f>
        <v>71.68549999999982</v>
      </c>
      <c r="C39" s="48">
        <v>8</v>
      </c>
    </row>
    <row r="40" spans="1:3" ht="15">
      <c r="A40" s="59" t="s">
        <v>53</v>
      </c>
      <c r="B40" s="57">
        <f>4!I10+'11'!I8</f>
        <v>14.59105999999997</v>
      </c>
      <c r="C40" s="48" t="s">
        <v>173</v>
      </c>
    </row>
    <row r="41" spans="1:4" ht="15">
      <c r="A41" s="37" t="s">
        <v>19</v>
      </c>
      <c r="B41" s="47">
        <f>1!I13</f>
        <v>8.099519999999984</v>
      </c>
      <c r="C41" s="48">
        <v>1</v>
      </c>
      <c r="D41" s="39"/>
    </row>
    <row r="42" spans="1:3" ht="15">
      <c r="A42" s="43" t="s">
        <v>34</v>
      </c>
      <c r="B42" s="47">
        <f>2!I15+3!I7</f>
        <v>1.5174000000001797</v>
      </c>
      <c r="C42" s="48">
        <v>2.3</v>
      </c>
    </row>
    <row r="43" spans="1:3" ht="15">
      <c r="A43" s="31" t="s">
        <v>137</v>
      </c>
      <c r="B43" s="47">
        <f>9!I7</f>
        <v>0.15847200000007433</v>
      </c>
      <c r="C43" s="48">
        <v>9</v>
      </c>
    </row>
    <row r="44" spans="1:3" ht="15">
      <c r="A44" s="58" t="s">
        <v>54</v>
      </c>
      <c r="B44" s="47">
        <f>4!I11+7!I6+'11'!I9</f>
        <v>76.07831599999986</v>
      </c>
      <c r="C44" s="48" t="s">
        <v>176</v>
      </c>
    </row>
    <row r="45" spans="1:3" ht="15">
      <c r="A45" s="43" t="s">
        <v>15</v>
      </c>
      <c r="B45" s="47">
        <f>1!I8</f>
        <v>23.056799999999384</v>
      </c>
      <c r="C45" s="48">
        <v>1</v>
      </c>
    </row>
    <row r="46" spans="1:3" ht="15">
      <c r="A46" s="43" t="s">
        <v>33</v>
      </c>
      <c r="B46" s="47">
        <f>2!I14+3!I9</f>
        <v>1.4052499999997963</v>
      </c>
      <c r="C46" s="48">
        <v>2.3</v>
      </c>
    </row>
    <row r="47" spans="1:3" ht="15">
      <c r="A47" s="43" t="s">
        <v>16</v>
      </c>
      <c r="B47" s="47">
        <f>1!I9</f>
        <v>16.090360000000146</v>
      </c>
      <c r="C47" s="48">
        <v>1</v>
      </c>
    </row>
    <row r="48" spans="1:3" ht="15">
      <c r="A48" s="43" t="s">
        <v>18</v>
      </c>
      <c r="B48" s="47">
        <f>1!I12</f>
        <v>7.696320000000014</v>
      </c>
      <c r="C48" s="48">
        <v>1</v>
      </c>
    </row>
    <row r="49" spans="1:3" ht="15">
      <c r="A49" s="43" t="s">
        <v>7</v>
      </c>
      <c r="B49" s="47">
        <f>1!I15+2!I13</f>
        <v>17.523700000000076</v>
      </c>
      <c r="C49" s="48" t="s">
        <v>39</v>
      </c>
    </row>
    <row r="50" spans="1:3" ht="15">
      <c r="A50" s="43" t="s">
        <v>29</v>
      </c>
      <c r="B50" s="47">
        <f>2!I8</f>
        <v>15.072499999999764</v>
      </c>
      <c r="C50" s="48">
        <v>2</v>
      </c>
    </row>
    <row r="51" spans="1:3" ht="15">
      <c r="A51" s="10" t="s">
        <v>158</v>
      </c>
      <c r="B51" s="47">
        <f>'10'!I12</f>
        <v>-0.10025000000041473</v>
      </c>
      <c r="C51" s="48">
        <v>10</v>
      </c>
    </row>
    <row r="52" spans="1:3" ht="15">
      <c r="A52" s="10" t="s">
        <v>140</v>
      </c>
      <c r="B52" s="47">
        <f>9!I15</f>
        <v>0.48464000000012675</v>
      </c>
      <c r="C52" s="48">
        <v>9</v>
      </c>
    </row>
    <row r="53" spans="1:3" ht="15">
      <c r="A53" s="10" t="s">
        <v>121</v>
      </c>
      <c r="B53" s="47">
        <f>8!I5+9!I8</f>
        <v>3.886391999999887</v>
      </c>
      <c r="C53" s="48" t="s">
        <v>147</v>
      </c>
    </row>
    <row r="54" spans="1:3" ht="15">
      <c r="A54" s="10" t="s">
        <v>71</v>
      </c>
      <c r="B54" s="47">
        <f>5!I9+7!I5</f>
        <v>89.19399999999996</v>
      </c>
      <c r="C54" s="48" t="s">
        <v>110</v>
      </c>
    </row>
    <row r="55" spans="1:3" ht="15">
      <c r="A55" s="10" t="s">
        <v>120</v>
      </c>
      <c r="B55" s="47">
        <f>8!I4</f>
        <v>8.044599999999718</v>
      </c>
      <c r="C55" s="48">
        <v>8</v>
      </c>
    </row>
    <row r="56" spans="1:3" ht="15">
      <c r="A56" s="10" t="s">
        <v>84</v>
      </c>
      <c r="B56" s="47">
        <f>6!I12</f>
        <v>0.24632000000019616</v>
      </c>
      <c r="C56" s="48">
        <v>6</v>
      </c>
    </row>
    <row r="57" spans="1:3" ht="15">
      <c r="A57" s="10" t="s">
        <v>50</v>
      </c>
      <c r="B57" s="47">
        <f>4!I7</f>
        <v>0.05920000000014625</v>
      </c>
      <c r="C57" s="48">
        <v>4</v>
      </c>
    </row>
    <row r="58" spans="1:3" ht="15">
      <c r="A58" s="31" t="s">
        <v>145</v>
      </c>
      <c r="B58" s="47">
        <f>9!I21+'10'!I9</f>
        <v>371.56795799999963</v>
      </c>
      <c r="C58" s="48" t="s">
        <v>161</v>
      </c>
    </row>
    <row r="59" spans="1:3" ht="15">
      <c r="A59" s="31" t="s">
        <v>52</v>
      </c>
      <c r="B59" s="47">
        <f>4!I9</f>
        <v>28.452000000000226</v>
      </c>
      <c r="C59" s="48">
        <v>4</v>
      </c>
    </row>
    <row r="60" spans="1:3" ht="15">
      <c r="A60" s="59" t="s">
        <v>172</v>
      </c>
      <c r="B60" s="57">
        <f>'11'!I15</f>
        <v>37.37732700000015</v>
      </c>
      <c r="C60" s="48">
        <v>11</v>
      </c>
    </row>
    <row r="61" spans="1:3" ht="15">
      <c r="A61" s="31" t="s">
        <v>85</v>
      </c>
      <c r="B61" s="47">
        <f>6!I13</f>
        <v>-0.4254000000000815</v>
      </c>
      <c r="C61" s="48">
        <v>6</v>
      </c>
    </row>
    <row r="62" spans="1:3" ht="15">
      <c r="A62" s="59" t="s">
        <v>157</v>
      </c>
      <c r="B62" s="57">
        <f>'10'!I8+'11'!I10</f>
        <v>64.18830999999955</v>
      </c>
      <c r="C62" s="48" t="s">
        <v>175</v>
      </c>
    </row>
    <row r="63" spans="1:3" ht="15">
      <c r="A63" s="31" t="s">
        <v>138</v>
      </c>
      <c r="B63" s="47">
        <f>9!I10</f>
        <v>-7.7739199999996345</v>
      </c>
      <c r="C63" s="48">
        <v>9</v>
      </c>
    </row>
    <row r="64" spans="1:3" ht="15">
      <c r="A64" s="31" t="s">
        <v>155</v>
      </c>
      <c r="B64" s="47">
        <f>'10'!I6</f>
        <v>-8.812000000000126</v>
      </c>
      <c r="C64" s="48">
        <v>10</v>
      </c>
    </row>
    <row r="65" spans="1:3" ht="15">
      <c r="A65" s="37" t="s">
        <v>27</v>
      </c>
      <c r="B65" s="47">
        <f>2!I4</f>
        <v>7.920000000000073</v>
      </c>
      <c r="C65" s="48">
        <v>2</v>
      </c>
    </row>
    <row r="66" spans="1:3" ht="15">
      <c r="A66" s="37" t="s">
        <v>24</v>
      </c>
      <c r="B66" s="47">
        <f>1!I10</f>
        <v>5.3163999999999305</v>
      </c>
      <c r="C66" s="48">
        <v>1</v>
      </c>
    </row>
    <row r="67" spans="1:3" ht="15">
      <c r="A67" s="31" t="s">
        <v>141</v>
      </c>
      <c r="B67" s="47">
        <f>2!I10+8!I19+9!I17+'10'!I10</f>
        <v>0.7340199999994184</v>
      </c>
      <c r="C67" s="48" t="s">
        <v>174</v>
      </c>
    </row>
    <row r="68" spans="1:3" ht="15">
      <c r="A68" s="59" t="s">
        <v>169</v>
      </c>
      <c r="B68" s="57">
        <f>'11'!I6</f>
        <v>23.670939999999973</v>
      </c>
      <c r="C68" s="48">
        <v>11</v>
      </c>
    </row>
    <row r="69" spans="1:3" ht="15">
      <c r="A69" s="58" t="s">
        <v>57</v>
      </c>
      <c r="B69" s="57">
        <f>4!I15+'11'!I11</f>
        <v>61.47330900000043</v>
      </c>
      <c r="C69" s="48" t="s">
        <v>173</v>
      </c>
    </row>
    <row r="70" spans="1:3" ht="15">
      <c r="A70" s="10" t="s">
        <v>70</v>
      </c>
      <c r="B70" s="47">
        <f>5!I7</f>
        <v>-0.2195200000001023</v>
      </c>
      <c r="C70" s="48">
        <v>5</v>
      </c>
    </row>
    <row r="71" spans="1:3" ht="15">
      <c r="A71" s="10" t="s">
        <v>108</v>
      </c>
      <c r="B71" s="47">
        <f>7!I17</f>
        <v>-0.10859999999956926</v>
      </c>
      <c r="C71" s="48">
        <v>7</v>
      </c>
    </row>
    <row r="72" spans="1:3" ht="15">
      <c r="A72" s="10" t="s">
        <v>126</v>
      </c>
      <c r="B72" s="47">
        <f>8!I13</f>
        <v>0.3865999999993619</v>
      </c>
      <c r="C72" s="48">
        <v>8</v>
      </c>
    </row>
    <row r="73" spans="1:3" ht="15">
      <c r="A73" s="43" t="s">
        <v>32</v>
      </c>
      <c r="B73" s="47">
        <f>2!I12</f>
        <v>9.106250000000045</v>
      </c>
      <c r="C73" s="48">
        <v>2</v>
      </c>
    </row>
    <row r="74" spans="1:3" ht="15">
      <c r="A74" s="10" t="s">
        <v>81</v>
      </c>
      <c r="B74" s="47">
        <f>6!I6</f>
        <v>18.052560000000085</v>
      </c>
      <c r="C74" s="48">
        <v>6</v>
      </c>
    </row>
    <row r="75" spans="1:3" ht="15">
      <c r="A75" s="10" t="s">
        <v>129</v>
      </c>
      <c r="B75" s="47">
        <f>8!I16+9!I5</f>
        <v>-13.714539999999943</v>
      </c>
      <c r="C75" s="48" t="s">
        <v>147</v>
      </c>
    </row>
    <row r="76" spans="1:3" ht="15">
      <c r="A76" s="43" t="s">
        <v>11</v>
      </c>
      <c r="B76" s="47">
        <f>1!I4</f>
        <v>6.534600000000182</v>
      </c>
      <c r="C76" s="48">
        <v>1</v>
      </c>
    </row>
    <row r="77" spans="1:3" ht="15">
      <c r="A77" s="10" t="s">
        <v>42</v>
      </c>
      <c r="B77" s="47">
        <f>3!I6</f>
        <v>1.5315000000002783</v>
      </c>
      <c r="C77" s="48">
        <v>3</v>
      </c>
    </row>
    <row r="78" spans="1:3" ht="15">
      <c r="A78" s="58" t="s">
        <v>171</v>
      </c>
      <c r="B78" s="57">
        <f>'11'!I14</f>
        <v>146.83340700000008</v>
      </c>
      <c r="C78" s="48">
        <v>11</v>
      </c>
    </row>
    <row r="79" spans="1:3" ht="15">
      <c r="A79" s="10" t="s">
        <v>102</v>
      </c>
      <c r="B79" s="47">
        <f>7!I11</f>
        <v>0.4117600000008679</v>
      </c>
      <c r="C79" s="48">
        <v>7</v>
      </c>
    </row>
    <row r="80" spans="1:3" ht="15">
      <c r="A80" s="10" t="s">
        <v>55</v>
      </c>
      <c r="B80" s="47">
        <f>4!I12+6!I7+9!I13</f>
        <v>7.36948799999999</v>
      </c>
      <c r="C80" s="48" t="s">
        <v>146</v>
      </c>
    </row>
    <row r="81" spans="1:3" ht="15">
      <c r="A81" s="10" t="s">
        <v>156</v>
      </c>
      <c r="B81" s="47">
        <f>'10'!I7</f>
        <v>0.39249999999992724</v>
      </c>
      <c r="C81" s="48">
        <v>10</v>
      </c>
    </row>
    <row r="82" spans="1:3" ht="15">
      <c r="A82" s="10" t="s">
        <v>112</v>
      </c>
      <c r="B82" s="47">
        <f>5!I6+6!I5+7!I15+'10'!I13</f>
        <v>0.3758399999990161</v>
      </c>
      <c r="C82" s="48" t="s">
        <v>160</v>
      </c>
    </row>
    <row r="83" spans="1:3" ht="15">
      <c r="A83" s="58" t="s">
        <v>167</v>
      </c>
      <c r="B83" s="57">
        <f>'11'!I4</f>
        <v>18.532944999999927</v>
      </c>
      <c r="C83" s="48">
        <v>11</v>
      </c>
    </row>
    <row r="84" spans="1:3" ht="15">
      <c r="A84" s="10" t="s">
        <v>139</v>
      </c>
      <c r="B84" s="47">
        <f>9!I14</f>
        <v>5.488536000000295</v>
      </c>
      <c r="C84" s="48">
        <v>9</v>
      </c>
    </row>
    <row r="85" spans="1:3" ht="15">
      <c r="A85" s="10" t="s">
        <v>109</v>
      </c>
      <c r="B85" s="47">
        <f>7!I4+8!I6</f>
        <v>46.08227999999917</v>
      </c>
      <c r="C85" s="48" t="s">
        <v>131</v>
      </c>
    </row>
    <row r="86" spans="1:3" ht="15">
      <c r="A86" s="10" t="s">
        <v>82</v>
      </c>
      <c r="B86" s="47">
        <f>1!I11+6!I8</f>
        <v>-0.1939999999997326</v>
      </c>
      <c r="C86" s="48" t="s">
        <v>90</v>
      </c>
    </row>
    <row r="87" spans="1:3" ht="15">
      <c r="A87" s="10" t="s">
        <v>107</v>
      </c>
      <c r="B87" s="47">
        <f>7!I16</f>
        <v>-0.2255800000000363</v>
      </c>
      <c r="C87" s="48">
        <v>7</v>
      </c>
    </row>
    <row r="88" spans="1:3" ht="15">
      <c r="A88" s="10" t="s">
        <v>124</v>
      </c>
      <c r="B88" s="47">
        <f>8!I11+9!I12</f>
        <v>12.913080000000036</v>
      </c>
      <c r="C88" s="48">
        <v>8.9</v>
      </c>
    </row>
    <row r="89" spans="1:3" ht="15">
      <c r="A89" s="10" t="s">
        <v>44</v>
      </c>
      <c r="B89" s="47">
        <f>3!I10</f>
        <v>1.4375</v>
      </c>
      <c r="C89" s="48">
        <v>3</v>
      </c>
    </row>
    <row r="90" spans="1:3" ht="15">
      <c r="A90" s="10" t="s">
        <v>105</v>
      </c>
      <c r="B90" s="47">
        <f>7!I14</f>
        <v>0.19860000000016953</v>
      </c>
      <c r="C90" s="48">
        <v>7</v>
      </c>
    </row>
    <row r="91" spans="1:3" ht="15">
      <c r="A91" s="10" t="s">
        <v>56</v>
      </c>
      <c r="B91" s="47">
        <f>4!I13</f>
        <v>0.2703999999998814</v>
      </c>
      <c r="C91" s="48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G5" sqref="G5"/>
    </sheetView>
  </sheetViews>
  <sheetFormatPr defaultColWidth="9.140625" defaultRowHeight="15"/>
  <cols>
    <col min="1" max="1" width="25.140625" style="0" customWidth="1"/>
    <col min="2" max="2" width="17.57421875" style="0" customWidth="1"/>
    <col min="3" max="3" width="10.57421875" style="0" customWidth="1"/>
    <col min="5" max="5" width="12.140625" style="0" customWidth="1"/>
    <col min="8" max="8" width="10.421875" style="0" customWidth="1"/>
    <col min="9" max="9" width="12.7109375" style="0" customWidth="1"/>
  </cols>
  <sheetData>
    <row r="1" spans="1:7" s="5" customFormat="1" ht="21.75" customHeight="1">
      <c r="A1" s="1" t="s">
        <v>0</v>
      </c>
      <c r="B1" s="2">
        <v>42659</v>
      </c>
      <c r="C1" s="2"/>
      <c r="D1" s="3" t="s">
        <v>1</v>
      </c>
      <c r="E1" s="4">
        <v>64.616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45</v>
      </c>
      <c r="B4" s="21">
        <v>1</v>
      </c>
      <c r="C4" s="21">
        <v>36.25</v>
      </c>
      <c r="D4" s="17">
        <f aca="true" t="shared" si="0" ref="D4:D21">C4*0.1</f>
        <v>3.625</v>
      </c>
      <c r="E4" s="18">
        <f aca="true" t="shared" si="1" ref="E4:E21">B4*6</f>
        <v>6</v>
      </c>
      <c r="F4" s="18">
        <f aca="true" t="shared" si="2" ref="F4:F21">C4+E4+D4</f>
        <v>45.875</v>
      </c>
      <c r="G4" s="11">
        <f>F4*$E$1</f>
        <v>2964.259</v>
      </c>
      <c r="H4" s="12">
        <f>2945+17</f>
        <v>2962</v>
      </c>
      <c r="I4" s="13">
        <f aca="true" t="shared" si="3" ref="I4:I21">H4-G4</f>
        <v>-2.2590000000000146</v>
      </c>
      <c r="J4" s="30"/>
    </row>
    <row r="5" spans="1:10" s="5" customFormat="1" ht="15">
      <c r="A5" s="10" t="s">
        <v>129</v>
      </c>
      <c r="B5" s="21">
        <v>1</v>
      </c>
      <c r="C5" s="21">
        <v>15.95</v>
      </c>
      <c r="D5" s="17">
        <f t="shared" si="0"/>
        <v>1.595</v>
      </c>
      <c r="E5" s="18">
        <f t="shared" si="1"/>
        <v>6</v>
      </c>
      <c r="F5" s="18">
        <f t="shared" si="2"/>
        <v>23.544999999999998</v>
      </c>
      <c r="G5" s="11">
        <f aca="true" t="shared" si="4" ref="G5:G21">F5*$E$1</f>
        <v>1521.3837199999998</v>
      </c>
      <c r="H5" s="45">
        <v>1504</v>
      </c>
      <c r="I5" s="13">
        <f t="shared" si="3"/>
        <v>-17.383719999999812</v>
      </c>
      <c r="J5" s="30"/>
    </row>
    <row r="6" spans="1:9" s="5" customFormat="1" ht="15">
      <c r="A6" s="10" t="s">
        <v>60</v>
      </c>
      <c r="B6" s="21">
        <v>1</v>
      </c>
      <c r="C6" s="21">
        <v>27.39</v>
      </c>
      <c r="D6" s="17">
        <f t="shared" si="0"/>
        <v>2.7390000000000003</v>
      </c>
      <c r="E6" s="18">
        <f t="shared" si="1"/>
        <v>6</v>
      </c>
      <c r="F6" s="18">
        <f t="shared" si="2"/>
        <v>36.129</v>
      </c>
      <c r="G6" s="11">
        <f t="shared" si="4"/>
        <v>2334.5114639999997</v>
      </c>
      <c r="H6" s="45">
        <f>2322+13</f>
        <v>2335</v>
      </c>
      <c r="I6" s="13">
        <f t="shared" si="3"/>
        <v>0.48853600000029473</v>
      </c>
    </row>
    <row r="7" spans="1:9" s="5" customFormat="1" ht="15">
      <c r="A7" s="10" t="s">
        <v>137</v>
      </c>
      <c r="B7" s="21">
        <v>1</v>
      </c>
      <c r="C7" s="21">
        <v>19.53</v>
      </c>
      <c r="D7" s="17">
        <f t="shared" si="0"/>
        <v>1.9530000000000003</v>
      </c>
      <c r="E7" s="18">
        <f t="shared" si="1"/>
        <v>6</v>
      </c>
      <c r="F7" s="18">
        <f t="shared" si="2"/>
        <v>27.483</v>
      </c>
      <c r="G7" s="11">
        <f t="shared" si="4"/>
        <v>1775.841528</v>
      </c>
      <c r="H7" s="12">
        <f>1766+10</f>
        <v>1776</v>
      </c>
      <c r="I7" s="13">
        <f t="shared" si="3"/>
        <v>0.15847200000007433</v>
      </c>
    </row>
    <row r="8" spans="1:9" s="5" customFormat="1" ht="15">
      <c r="A8" s="10" t="s">
        <v>121</v>
      </c>
      <c r="B8" s="21">
        <v>1</v>
      </c>
      <c r="C8" s="21">
        <v>10.08</v>
      </c>
      <c r="D8" s="17">
        <f t="shared" si="0"/>
        <v>1.008</v>
      </c>
      <c r="E8" s="18">
        <f t="shared" si="1"/>
        <v>6</v>
      </c>
      <c r="F8" s="18">
        <f t="shared" si="2"/>
        <v>17.087999999999997</v>
      </c>
      <c r="G8" s="11">
        <f t="shared" si="4"/>
        <v>1104.1582079999998</v>
      </c>
      <c r="H8" s="12">
        <v>1100</v>
      </c>
      <c r="I8" s="13">
        <f t="shared" si="3"/>
        <v>-4.158207999999831</v>
      </c>
    </row>
    <row r="9" spans="1:9" s="5" customFormat="1" ht="15">
      <c r="A9" s="10" t="s">
        <v>150</v>
      </c>
      <c r="B9" s="21">
        <v>1</v>
      </c>
      <c r="C9" s="21">
        <v>27.5</v>
      </c>
      <c r="D9" s="17">
        <f t="shared" si="0"/>
        <v>2.75</v>
      </c>
      <c r="E9" s="18">
        <f t="shared" si="1"/>
        <v>6</v>
      </c>
      <c r="F9" s="18">
        <f t="shared" si="2"/>
        <v>36.25</v>
      </c>
      <c r="G9" s="11">
        <f t="shared" si="4"/>
        <v>2342.33</v>
      </c>
      <c r="H9" s="12">
        <v>2300</v>
      </c>
      <c r="I9" s="13">
        <f t="shared" si="3"/>
        <v>-42.32999999999993</v>
      </c>
    </row>
    <row r="10" spans="1:10" s="5" customFormat="1" ht="15">
      <c r="A10" s="10" t="s">
        <v>138</v>
      </c>
      <c r="B10" s="21">
        <v>1</v>
      </c>
      <c r="C10" s="21">
        <v>24.2</v>
      </c>
      <c r="D10" s="17">
        <f t="shared" si="0"/>
        <v>2.42</v>
      </c>
      <c r="E10" s="18">
        <f t="shared" si="1"/>
        <v>6</v>
      </c>
      <c r="F10" s="18">
        <f t="shared" si="2"/>
        <v>32.62</v>
      </c>
      <c r="G10" s="11">
        <f t="shared" si="4"/>
        <v>2107.7739199999996</v>
      </c>
      <c r="H10" s="12">
        <v>2100</v>
      </c>
      <c r="I10" s="13">
        <f t="shared" si="3"/>
        <v>-7.7739199999996345</v>
      </c>
      <c r="J10" s="30"/>
    </row>
    <row r="11" spans="1:10" s="5" customFormat="1" ht="15">
      <c r="A11" s="10" t="s">
        <v>123</v>
      </c>
      <c r="B11" s="21">
        <v>1</v>
      </c>
      <c r="C11" s="21">
        <v>36.3</v>
      </c>
      <c r="D11" s="17">
        <f t="shared" si="0"/>
        <v>3.63</v>
      </c>
      <c r="E11" s="18">
        <f t="shared" si="1"/>
        <v>6</v>
      </c>
      <c r="F11" s="18">
        <f t="shared" si="2"/>
        <v>45.93</v>
      </c>
      <c r="G11" s="11">
        <f t="shared" si="4"/>
        <v>2967.81288</v>
      </c>
      <c r="H11" s="12">
        <f>2951+17</f>
        <v>2968</v>
      </c>
      <c r="I11" s="13">
        <f t="shared" si="3"/>
        <v>0.1871200000000499</v>
      </c>
      <c r="J11" s="30"/>
    </row>
    <row r="12" spans="1:9" s="5" customFormat="1" ht="15">
      <c r="A12" s="10" t="s">
        <v>124</v>
      </c>
      <c r="B12" s="21">
        <v>1</v>
      </c>
      <c r="C12" s="21">
        <v>13.2</v>
      </c>
      <c r="D12" s="17">
        <f t="shared" si="0"/>
        <v>1.32</v>
      </c>
      <c r="E12" s="18">
        <f t="shared" si="1"/>
        <v>6</v>
      </c>
      <c r="F12" s="18">
        <f t="shared" si="2"/>
        <v>20.52</v>
      </c>
      <c r="G12" s="11">
        <f t="shared" si="4"/>
        <v>1325.92032</v>
      </c>
      <c r="H12" s="12">
        <f>1306+20</f>
        <v>1326</v>
      </c>
      <c r="I12" s="13">
        <f t="shared" si="3"/>
        <v>0.07968000000005304</v>
      </c>
    </row>
    <row r="13" spans="1:10" s="5" customFormat="1" ht="15">
      <c r="A13" s="10" t="s">
        <v>55</v>
      </c>
      <c r="B13" s="21">
        <v>1</v>
      </c>
      <c r="C13" s="21">
        <v>10.92</v>
      </c>
      <c r="D13" s="17">
        <f t="shared" si="0"/>
        <v>1.092</v>
      </c>
      <c r="E13" s="18">
        <f t="shared" si="1"/>
        <v>6</v>
      </c>
      <c r="F13" s="18">
        <f t="shared" si="2"/>
        <v>18.012</v>
      </c>
      <c r="G13" s="11">
        <f t="shared" si="4"/>
        <v>1163.863392</v>
      </c>
      <c r="H13" s="44">
        <v>1157</v>
      </c>
      <c r="I13" s="13">
        <f t="shared" si="3"/>
        <v>-6.863391999999976</v>
      </c>
      <c r="J13" s="35"/>
    </row>
    <row r="14" spans="1:9" s="5" customFormat="1" ht="15">
      <c r="A14" s="10" t="s">
        <v>139</v>
      </c>
      <c r="B14" s="21">
        <v>1</v>
      </c>
      <c r="C14" s="21">
        <v>27.39</v>
      </c>
      <c r="D14" s="17">
        <f t="shared" si="0"/>
        <v>2.7390000000000003</v>
      </c>
      <c r="E14" s="18">
        <f t="shared" si="1"/>
        <v>6</v>
      </c>
      <c r="F14" s="18">
        <f t="shared" si="2"/>
        <v>36.129</v>
      </c>
      <c r="G14" s="11">
        <f t="shared" si="4"/>
        <v>2334.5114639999997</v>
      </c>
      <c r="H14" s="12">
        <v>2340</v>
      </c>
      <c r="I14" s="13">
        <f t="shared" si="3"/>
        <v>5.488536000000295</v>
      </c>
    </row>
    <row r="15" spans="1:9" s="5" customFormat="1" ht="15">
      <c r="A15" s="10" t="s">
        <v>140</v>
      </c>
      <c r="B15" s="21">
        <v>1</v>
      </c>
      <c r="C15" s="21">
        <v>28.6</v>
      </c>
      <c r="D15" s="17">
        <f t="shared" si="0"/>
        <v>2.8600000000000003</v>
      </c>
      <c r="E15" s="18">
        <f t="shared" si="1"/>
        <v>6</v>
      </c>
      <c r="F15" s="18">
        <f t="shared" si="2"/>
        <v>37.46</v>
      </c>
      <c r="G15" s="11">
        <f t="shared" si="4"/>
        <v>2420.51536</v>
      </c>
      <c r="H15" s="12">
        <f>2324+83+14</f>
        <v>2421</v>
      </c>
      <c r="I15" s="13">
        <f t="shared" si="3"/>
        <v>0.48464000000012675</v>
      </c>
    </row>
    <row r="16" spans="1:10" s="5" customFormat="1" ht="15">
      <c r="A16" s="10" t="s">
        <v>142</v>
      </c>
      <c r="B16" s="21">
        <v>1</v>
      </c>
      <c r="C16" s="17">
        <v>44.55</v>
      </c>
      <c r="D16" s="17">
        <f t="shared" si="0"/>
        <v>4.455</v>
      </c>
      <c r="E16" s="18">
        <f t="shared" si="1"/>
        <v>6</v>
      </c>
      <c r="F16" s="18">
        <f t="shared" si="2"/>
        <v>55.004999999999995</v>
      </c>
      <c r="G16" s="11">
        <f t="shared" si="4"/>
        <v>3554.2030799999998</v>
      </c>
      <c r="H16" s="12">
        <f>3534+20+20</f>
        <v>3574</v>
      </c>
      <c r="I16" s="13">
        <f t="shared" si="3"/>
        <v>19.796920000000227</v>
      </c>
      <c r="J16" s="35"/>
    </row>
    <row r="17" spans="1:10" s="5" customFormat="1" ht="15">
      <c r="A17" s="10" t="s">
        <v>141</v>
      </c>
      <c r="B17" s="21">
        <v>4</v>
      </c>
      <c r="C17" s="17">
        <v>95.05</v>
      </c>
      <c r="D17" s="17">
        <f t="shared" si="0"/>
        <v>9.505</v>
      </c>
      <c r="E17" s="18">
        <v>21</v>
      </c>
      <c r="F17" s="18">
        <f t="shared" si="2"/>
        <v>125.55499999999999</v>
      </c>
      <c r="G17" s="11">
        <f t="shared" si="4"/>
        <v>8112.8618799999995</v>
      </c>
      <c r="H17" s="12">
        <f>8260-147</f>
        <v>8113</v>
      </c>
      <c r="I17" s="13">
        <f t="shared" si="3"/>
        <v>0.1381200000005265</v>
      </c>
      <c r="J17" s="35" t="s">
        <v>151</v>
      </c>
    </row>
    <row r="18" spans="1:10" s="5" customFormat="1" ht="15">
      <c r="A18" s="10" t="s">
        <v>143</v>
      </c>
      <c r="B18" s="21">
        <v>2</v>
      </c>
      <c r="C18" s="21">
        <v>24.34</v>
      </c>
      <c r="D18" s="17">
        <f t="shared" si="0"/>
        <v>2.434</v>
      </c>
      <c r="E18" s="18">
        <f t="shared" si="1"/>
        <v>12</v>
      </c>
      <c r="F18" s="18">
        <f t="shared" si="2"/>
        <v>38.774</v>
      </c>
      <c r="G18" s="11">
        <f t="shared" si="4"/>
        <v>2505.420784</v>
      </c>
      <c r="H18" s="12">
        <f>2500+5</f>
        <v>2505</v>
      </c>
      <c r="I18" s="13">
        <f t="shared" si="3"/>
        <v>-0.42078399999991234</v>
      </c>
      <c r="J18" s="35"/>
    </row>
    <row r="19" spans="1:10" s="5" customFormat="1" ht="15">
      <c r="A19" s="10" t="s">
        <v>144</v>
      </c>
      <c r="B19" s="21">
        <v>2</v>
      </c>
      <c r="C19" s="17">
        <v>84.15</v>
      </c>
      <c r="D19" s="17">
        <f t="shared" si="0"/>
        <v>8.415000000000001</v>
      </c>
      <c r="E19" s="18">
        <f t="shared" si="1"/>
        <v>12</v>
      </c>
      <c r="F19" s="18">
        <f t="shared" si="2"/>
        <v>104.56500000000001</v>
      </c>
      <c r="G19" s="11">
        <f t="shared" si="4"/>
        <v>6756.572040000001</v>
      </c>
      <c r="H19" s="54">
        <f>6720+37</f>
        <v>6757</v>
      </c>
      <c r="I19" s="13">
        <f t="shared" si="3"/>
        <v>0.4279599999990751</v>
      </c>
      <c r="J19" s="35"/>
    </row>
    <row r="20" spans="1:10" s="5" customFormat="1" ht="15">
      <c r="A20" s="10" t="s">
        <v>14</v>
      </c>
      <c r="B20" s="21">
        <v>3</v>
      </c>
      <c r="C20" s="17">
        <v>97.83</v>
      </c>
      <c r="D20" s="17">
        <f t="shared" si="0"/>
        <v>9.783000000000001</v>
      </c>
      <c r="E20" s="18">
        <f t="shared" si="1"/>
        <v>18</v>
      </c>
      <c r="F20" s="18">
        <f t="shared" si="2"/>
        <v>125.613</v>
      </c>
      <c r="G20" s="11">
        <f t="shared" si="4"/>
        <v>8116.609608</v>
      </c>
      <c r="H20" s="12">
        <f>7868+46</f>
        <v>7914</v>
      </c>
      <c r="I20" s="13">
        <f t="shared" si="3"/>
        <v>-202.60960799999975</v>
      </c>
      <c r="J20" s="35"/>
    </row>
    <row r="21" spans="1:10" s="5" customFormat="1" ht="15">
      <c r="A21" s="10" t="s">
        <v>145</v>
      </c>
      <c r="B21" s="21">
        <v>2</v>
      </c>
      <c r="C21" s="17">
        <v>47.17</v>
      </c>
      <c r="D21" s="17">
        <f t="shared" si="0"/>
        <v>4.7170000000000005</v>
      </c>
      <c r="E21" s="18">
        <f t="shared" si="1"/>
        <v>12</v>
      </c>
      <c r="F21" s="18">
        <f t="shared" si="2"/>
        <v>63.887</v>
      </c>
      <c r="G21" s="11">
        <f t="shared" si="4"/>
        <v>4128.122392</v>
      </c>
      <c r="H21" s="12">
        <v>4500</v>
      </c>
      <c r="I21" s="13">
        <f t="shared" si="3"/>
        <v>371.8776079999998</v>
      </c>
      <c r="J21" s="35"/>
    </row>
    <row r="22" spans="1:9" s="5" customFormat="1" ht="15">
      <c r="A22" s="15"/>
      <c r="B22" s="15"/>
      <c r="C22" s="20"/>
      <c r="D22" s="20"/>
      <c r="E22" s="20"/>
      <c r="F22" s="19"/>
      <c r="G22" s="14"/>
      <c r="H22" s="14"/>
      <c r="I22" s="1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421875" style="0" customWidth="1"/>
    <col min="2" max="2" width="19.8515625" style="0" customWidth="1"/>
    <col min="3" max="3" width="11.57421875" style="0" customWidth="1"/>
    <col min="5" max="5" width="11.28125" style="0" customWidth="1"/>
    <col min="8" max="8" width="11.00390625" style="0" customWidth="1"/>
    <col min="9" max="9" width="13.8515625" style="0" customWidth="1"/>
  </cols>
  <sheetData>
    <row r="1" spans="1:7" s="5" customFormat="1" ht="21.75" customHeight="1">
      <c r="A1" s="1" t="s">
        <v>0</v>
      </c>
      <c r="B1" s="2">
        <v>42827</v>
      </c>
      <c r="C1" s="2"/>
      <c r="D1" s="3" t="s">
        <v>1</v>
      </c>
      <c r="E1" s="4">
        <v>57.85</v>
      </c>
      <c r="G1" s="5" t="s">
        <v>10</v>
      </c>
    </row>
    <row r="2" s="5" customFormat="1" ht="23.25" customHeight="1">
      <c r="A2" s="6"/>
    </row>
    <row r="3" spans="1:9" s="9" customFormat="1" ht="4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153</v>
      </c>
      <c r="B4" s="21">
        <v>1</v>
      </c>
      <c r="C4" s="21">
        <v>28.6</v>
      </c>
      <c r="D4" s="17">
        <f aca="true" t="shared" si="0" ref="D4:D17">C4*0.1</f>
        <v>2.8600000000000003</v>
      </c>
      <c r="E4" s="18">
        <f aca="true" t="shared" si="1" ref="E4:E17">B4*6</f>
        <v>6</v>
      </c>
      <c r="F4" s="18">
        <f aca="true" t="shared" si="2" ref="F4:F17">C4+E4+D4</f>
        <v>37.46</v>
      </c>
      <c r="G4" s="11">
        <f>F4*$E$1</f>
        <v>2167.061</v>
      </c>
      <c r="H4" s="12">
        <f>2149+18</f>
        <v>2167</v>
      </c>
      <c r="I4" s="13">
        <f aca="true" t="shared" si="3" ref="I4:I17">H4-G4</f>
        <v>-0.06100000000014916</v>
      </c>
      <c r="J4" s="30"/>
    </row>
    <row r="5" spans="1:10" s="5" customFormat="1" ht="15">
      <c r="A5" s="10" t="s">
        <v>154</v>
      </c>
      <c r="B5" s="21">
        <v>1</v>
      </c>
      <c r="C5" s="21">
        <v>25.85</v>
      </c>
      <c r="D5" s="17">
        <f t="shared" si="0"/>
        <v>2.5850000000000004</v>
      </c>
      <c r="E5" s="18">
        <f t="shared" si="1"/>
        <v>6</v>
      </c>
      <c r="F5" s="18">
        <f t="shared" si="2"/>
        <v>34.435</v>
      </c>
      <c r="G5" s="11">
        <f aca="true" t="shared" si="4" ref="G5:G17">F5*$E$1</f>
        <v>1992.0647500000002</v>
      </c>
      <c r="H5" s="12">
        <f>1975+17</f>
        <v>1992</v>
      </c>
      <c r="I5" s="13">
        <f t="shared" si="3"/>
        <v>-0.06475000000023101</v>
      </c>
      <c r="J5" s="30"/>
    </row>
    <row r="6" spans="1:9" s="5" customFormat="1" ht="15">
      <c r="A6" s="10" t="s">
        <v>155</v>
      </c>
      <c r="B6" s="21">
        <v>1</v>
      </c>
      <c r="C6" s="21">
        <v>11.2</v>
      </c>
      <c r="D6" s="17">
        <f t="shared" si="0"/>
        <v>1.1199999999999999</v>
      </c>
      <c r="E6" s="18">
        <f t="shared" si="1"/>
        <v>6</v>
      </c>
      <c r="F6" s="18">
        <f t="shared" si="2"/>
        <v>18.32</v>
      </c>
      <c r="G6" s="11">
        <f t="shared" si="4"/>
        <v>1059.8120000000001</v>
      </c>
      <c r="H6" s="45">
        <v>1051</v>
      </c>
      <c r="I6" s="13">
        <f t="shared" si="3"/>
        <v>-8.812000000000126</v>
      </c>
    </row>
    <row r="7" spans="1:9" s="5" customFormat="1" ht="15">
      <c r="A7" s="10" t="s">
        <v>156</v>
      </c>
      <c r="B7" s="21">
        <v>1</v>
      </c>
      <c r="C7" s="21">
        <v>24.5</v>
      </c>
      <c r="D7" s="17">
        <f t="shared" si="0"/>
        <v>2.45</v>
      </c>
      <c r="E7" s="18">
        <v>3</v>
      </c>
      <c r="F7" s="18">
        <f t="shared" si="2"/>
        <v>29.95</v>
      </c>
      <c r="G7" s="11">
        <f t="shared" si="4"/>
        <v>1732.6075</v>
      </c>
      <c r="H7" s="12">
        <f>1718+15</f>
        <v>1733</v>
      </c>
      <c r="I7" s="13">
        <f t="shared" si="3"/>
        <v>0.39249999999992724</v>
      </c>
    </row>
    <row r="8" spans="1:9" s="5" customFormat="1" ht="15">
      <c r="A8" s="10" t="s">
        <v>157</v>
      </c>
      <c r="B8" s="21">
        <v>1</v>
      </c>
      <c r="C8" s="21">
        <v>28.05</v>
      </c>
      <c r="D8" s="17">
        <f t="shared" si="0"/>
        <v>2.805</v>
      </c>
      <c r="E8" s="18">
        <f t="shared" si="1"/>
        <v>6</v>
      </c>
      <c r="F8" s="18">
        <f t="shared" si="2"/>
        <v>36.855</v>
      </c>
      <c r="G8" s="11">
        <f t="shared" si="4"/>
        <v>2132.06175</v>
      </c>
      <c r="H8" s="12">
        <f>2114+18</f>
        <v>2132</v>
      </c>
      <c r="I8" s="13">
        <f t="shared" si="3"/>
        <v>-0.061749999999847205</v>
      </c>
    </row>
    <row r="9" spans="1:9" s="5" customFormat="1" ht="15">
      <c r="A9" s="10" t="s">
        <v>145</v>
      </c>
      <c r="B9" s="21">
        <v>3</v>
      </c>
      <c r="C9" s="21">
        <v>59.59</v>
      </c>
      <c r="D9" s="17">
        <f t="shared" si="0"/>
        <v>5.9590000000000005</v>
      </c>
      <c r="E9" s="18">
        <f t="shared" si="1"/>
        <v>18</v>
      </c>
      <c r="F9" s="18">
        <f t="shared" si="2"/>
        <v>83.549</v>
      </c>
      <c r="G9" s="11">
        <f t="shared" si="4"/>
        <v>4833.30965</v>
      </c>
      <c r="H9" s="17">
        <f>4420+413</f>
        <v>4833</v>
      </c>
      <c r="I9" s="13">
        <f t="shared" si="3"/>
        <v>-0.309650000000147</v>
      </c>
    </row>
    <row r="10" spans="1:10" s="5" customFormat="1" ht="15">
      <c r="A10" s="10" t="s">
        <v>141</v>
      </c>
      <c r="B10" s="21">
        <v>4</v>
      </c>
      <c r="C10" s="21">
        <v>115.5</v>
      </c>
      <c r="D10" s="17">
        <f t="shared" si="0"/>
        <v>11.55</v>
      </c>
      <c r="E10" s="18">
        <v>21</v>
      </c>
      <c r="F10" s="18">
        <f t="shared" si="2"/>
        <v>148.05</v>
      </c>
      <c r="G10" s="11">
        <f t="shared" si="4"/>
        <v>8564.692500000001</v>
      </c>
      <c r="H10" s="12">
        <f>8492+73</f>
        <v>8565</v>
      </c>
      <c r="I10" s="13">
        <f t="shared" si="3"/>
        <v>0.30749999999898137</v>
      </c>
      <c r="J10" s="30"/>
    </row>
    <row r="11" spans="1:12" s="5" customFormat="1" ht="15">
      <c r="A11" s="10" t="s">
        <v>14</v>
      </c>
      <c r="B11" s="21">
        <v>5</v>
      </c>
      <c r="C11" s="21">
        <v>168.3</v>
      </c>
      <c r="D11" s="17">
        <f t="shared" si="0"/>
        <v>16.830000000000002</v>
      </c>
      <c r="E11" s="18">
        <f t="shared" si="1"/>
        <v>30</v>
      </c>
      <c r="F11" s="18">
        <f t="shared" si="2"/>
        <v>215.13000000000002</v>
      </c>
      <c r="G11" s="11">
        <f t="shared" si="4"/>
        <v>12445.270500000002</v>
      </c>
      <c r="H11" s="12">
        <f>7000+5340+105</f>
        <v>12445</v>
      </c>
      <c r="I11" s="13">
        <f t="shared" si="3"/>
        <v>-0.2705000000023574</v>
      </c>
      <c r="J11" s="30">
        <f>40.7*1.1+6</f>
        <v>50.77000000000001</v>
      </c>
      <c r="K11" s="55">
        <f>J11*E1</f>
        <v>2937.044500000001</v>
      </c>
      <c r="L11" s="56" t="s">
        <v>165</v>
      </c>
    </row>
    <row r="12" spans="1:9" s="5" customFormat="1" ht="15">
      <c r="A12" s="10" t="s">
        <v>158</v>
      </c>
      <c r="B12" s="21">
        <v>2</v>
      </c>
      <c r="C12" s="21">
        <v>73.15</v>
      </c>
      <c r="D12" s="17">
        <f t="shared" si="0"/>
        <v>7.315000000000001</v>
      </c>
      <c r="E12" s="18">
        <f t="shared" si="1"/>
        <v>12</v>
      </c>
      <c r="F12" s="18">
        <f t="shared" si="2"/>
        <v>92.465</v>
      </c>
      <c r="G12" s="11">
        <f t="shared" si="4"/>
        <v>5349.10025</v>
      </c>
      <c r="H12" s="12">
        <f>5304+45</f>
        <v>5349</v>
      </c>
      <c r="I12" s="13">
        <f t="shared" si="3"/>
        <v>-0.10025000000041473</v>
      </c>
    </row>
    <row r="13" spans="1:10" s="5" customFormat="1" ht="15">
      <c r="A13" s="10" t="s">
        <v>106</v>
      </c>
      <c r="B13" s="21">
        <v>2</v>
      </c>
      <c r="C13" s="21">
        <v>21.84</v>
      </c>
      <c r="D13" s="17">
        <f t="shared" si="0"/>
        <v>2.184</v>
      </c>
      <c r="E13" s="18">
        <f t="shared" si="1"/>
        <v>12</v>
      </c>
      <c r="F13" s="18">
        <f t="shared" si="2"/>
        <v>36.024</v>
      </c>
      <c r="G13" s="11">
        <f t="shared" si="4"/>
        <v>2083.9884</v>
      </c>
      <c r="H13" s="44">
        <f>1180+866+38</f>
        <v>2084</v>
      </c>
      <c r="I13" s="13">
        <f t="shared" si="3"/>
        <v>0.011599999999816646</v>
      </c>
      <c r="J13" s="35"/>
    </row>
    <row r="14" spans="1:10" s="5" customFormat="1" ht="15">
      <c r="A14" s="10" t="s">
        <v>159</v>
      </c>
      <c r="B14" s="21">
        <v>2</v>
      </c>
      <c r="C14" s="21">
        <v>50.6</v>
      </c>
      <c r="D14" s="17">
        <f t="shared" si="0"/>
        <v>5.0600000000000005</v>
      </c>
      <c r="E14" s="18">
        <v>12</v>
      </c>
      <c r="F14" s="18">
        <f t="shared" si="2"/>
        <v>67.66</v>
      </c>
      <c r="G14" s="11">
        <f t="shared" si="4"/>
        <v>3914.131</v>
      </c>
      <c r="H14" s="12">
        <f>4353-439</f>
        <v>3914</v>
      </c>
      <c r="I14" s="13">
        <f t="shared" si="3"/>
        <v>-0.13099999999985812</v>
      </c>
      <c r="J14" s="5" t="s">
        <v>166</v>
      </c>
    </row>
    <row r="15" spans="1:9" s="5" customFormat="1" ht="15">
      <c r="A15" s="10" t="s">
        <v>103</v>
      </c>
      <c r="B15" s="21">
        <v>2</v>
      </c>
      <c r="C15" s="21">
        <v>25.5</v>
      </c>
      <c r="D15" s="17">
        <f t="shared" si="0"/>
        <v>2.5500000000000003</v>
      </c>
      <c r="E15" s="18">
        <f t="shared" si="1"/>
        <v>12</v>
      </c>
      <c r="F15" s="18">
        <f t="shared" si="2"/>
        <v>40.05</v>
      </c>
      <c r="G15" s="11">
        <f t="shared" si="4"/>
        <v>2316.8925</v>
      </c>
      <c r="H15" s="12">
        <f>2297+20</f>
        <v>2317</v>
      </c>
      <c r="I15" s="13">
        <f t="shared" si="3"/>
        <v>0.10750000000007276</v>
      </c>
    </row>
    <row r="16" spans="1:10" s="5" customFormat="1" ht="15">
      <c r="A16" s="10" t="s">
        <v>21</v>
      </c>
      <c r="B16" s="21">
        <v>1</v>
      </c>
      <c r="C16" s="17">
        <v>14.3</v>
      </c>
      <c r="D16" s="17">
        <f t="shared" si="0"/>
        <v>1.4300000000000002</v>
      </c>
      <c r="E16" s="18">
        <v>6</v>
      </c>
      <c r="F16" s="18">
        <f t="shared" si="2"/>
        <v>21.73</v>
      </c>
      <c r="G16" s="11">
        <f t="shared" si="4"/>
        <v>1257.0805</v>
      </c>
      <c r="H16" s="12">
        <f>1701-452</f>
        <v>1249</v>
      </c>
      <c r="I16" s="13">
        <f t="shared" si="3"/>
        <v>-8.080500000000029</v>
      </c>
      <c r="J16" s="5" t="s">
        <v>166</v>
      </c>
    </row>
    <row r="17" spans="1:10" s="5" customFormat="1" ht="15">
      <c r="A17" s="10" t="s">
        <v>164</v>
      </c>
      <c r="B17" s="21">
        <v>1</v>
      </c>
      <c r="C17" s="17">
        <v>52.8</v>
      </c>
      <c r="D17" s="17">
        <f t="shared" si="0"/>
        <v>5.28</v>
      </c>
      <c r="E17" s="18">
        <f t="shared" si="1"/>
        <v>6</v>
      </c>
      <c r="F17" s="18">
        <f t="shared" si="2"/>
        <v>64.08</v>
      </c>
      <c r="G17" s="11">
        <f t="shared" si="4"/>
        <v>3707.028</v>
      </c>
      <c r="H17" s="12">
        <f>3676+31</f>
        <v>3707</v>
      </c>
      <c r="I17" s="13">
        <f t="shared" si="3"/>
        <v>-0.027999999999792635</v>
      </c>
      <c r="J17" s="35"/>
    </row>
    <row r="18" spans="1:9" s="5" customFormat="1" ht="15">
      <c r="A18" s="15"/>
      <c r="B18" s="15"/>
      <c r="C18" s="20"/>
      <c r="D18" s="20"/>
      <c r="E18" s="20"/>
      <c r="F18" s="19"/>
      <c r="G18" s="14"/>
      <c r="H18" s="14"/>
      <c r="I18" s="14"/>
    </row>
    <row r="20" ht="15">
      <c r="A20" t="s">
        <v>159</v>
      </c>
    </row>
    <row r="21" ht="31.5">
      <c r="A21" s="16"/>
    </row>
    <row r="22" ht="31.5">
      <c r="A22" s="16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21.421875" style="0" customWidth="1"/>
    <col min="2" max="2" width="19.8515625" style="0" customWidth="1"/>
    <col min="3" max="3" width="11.57421875" style="0" customWidth="1"/>
    <col min="5" max="5" width="10.140625" style="0" customWidth="1"/>
    <col min="8" max="8" width="11.00390625" style="0" customWidth="1"/>
    <col min="9" max="9" width="13.8515625" style="0" customWidth="1"/>
  </cols>
  <sheetData>
    <row r="1" spans="1:7" s="5" customFormat="1" ht="21.75" customHeight="1">
      <c r="A1" s="1" t="s">
        <v>0</v>
      </c>
      <c r="B1" s="2">
        <v>42950</v>
      </c>
      <c r="C1" s="2"/>
      <c r="D1" s="3" t="s">
        <v>1</v>
      </c>
      <c r="E1" s="4">
        <v>61.461</v>
      </c>
      <c r="G1" s="5" t="s">
        <v>10</v>
      </c>
    </row>
    <row r="2" s="5" customFormat="1" ht="23.25" customHeight="1">
      <c r="A2" s="6"/>
    </row>
    <row r="3" spans="1:9" s="9" customFormat="1" ht="4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167</v>
      </c>
      <c r="B4" s="21">
        <v>1</v>
      </c>
      <c r="C4" s="21">
        <v>17.05</v>
      </c>
      <c r="D4" s="17">
        <f aca="true" t="shared" si="0" ref="D4:D15">C4*0.1</f>
        <v>1.705</v>
      </c>
      <c r="E4" s="18">
        <f aca="true" t="shared" si="1" ref="E4:E15">B4*6</f>
        <v>6</v>
      </c>
      <c r="F4" s="18">
        <f>C4+E4+D4</f>
        <v>24.755000000000003</v>
      </c>
      <c r="G4" s="11">
        <f>F4*$E$1</f>
        <v>1521.467055</v>
      </c>
      <c r="H4" s="44">
        <v>1540</v>
      </c>
      <c r="I4" s="13">
        <f aca="true" t="shared" si="2" ref="I4:I15">H4-G4</f>
        <v>18.532944999999927</v>
      </c>
      <c r="J4" s="30"/>
    </row>
    <row r="5" spans="1:10" s="5" customFormat="1" ht="15">
      <c r="A5" s="10" t="s">
        <v>168</v>
      </c>
      <c r="B5" s="21">
        <v>1</v>
      </c>
      <c r="C5" s="21">
        <v>17.05</v>
      </c>
      <c r="D5" s="17">
        <f t="shared" si="0"/>
        <v>1.705</v>
      </c>
      <c r="E5" s="18">
        <f t="shared" si="1"/>
        <v>6</v>
      </c>
      <c r="F5" s="18">
        <f aca="true" t="shared" si="3" ref="F5:F15">C5+E5+D5</f>
        <v>24.755000000000003</v>
      </c>
      <c r="G5" s="11">
        <f aca="true" t="shared" si="4" ref="G5:G15">F5*$E$1</f>
        <v>1521.467055</v>
      </c>
      <c r="H5" s="44">
        <v>1537</v>
      </c>
      <c r="I5" s="13">
        <f t="shared" si="2"/>
        <v>15.532944999999927</v>
      </c>
      <c r="J5" s="30"/>
    </row>
    <row r="6" spans="1:9" s="5" customFormat="1" ht="15">
      <c r="A6" s="10" t="s">
        <v>169</v>
      </c>
      <c r="B6" s="21">
        <v>1</v>
      </c>
      <c r="C6" s="21">
        <v>28.6</v>
      </c>
      <c r="D6" s="17">
        <f t="shared" si="0"/>
        <v>2.8600000000000003</v>
      </c>
      <c r="E6" s="18">
        <f t="shared" si="1"/>
        <v>6</v>
      </c>
      <c r="F6" s="18">
        <f t="shared" si="3"/>
        <v>37.46</v>
      </c>
      <c r="G6" s="11">
        <f t="shared" si="4"/>
        <v>2302.32906</v>
      </c>
      <c r="H6" s="44">
        <v>2326</v>
      </c>
      <c r="I6" s="13">
        <f t="shared" si="2"/>
        <v>23.670939999999973</v>
      </c>
    </row>
    <row r="7" spans="1:9" s="5" customFormat="1" ht="15">
      <c r="A7" s="10" t="s">
        <v>170</v>
      </c>
      <c r="B7" s="21">
        <v>1</v>
      </c>
      <c r="C7" s="21">
        <v>34.1</v>
      </c>
      <c r="D7" s="17">
        <f t="shared" si="0"/>
        <v>3.41</v>
      </c>
      <c r="E7" s="18">
        <f t="shared" si="1"/>
        <v>6</v>
      </c>
      <c r="F7" s="18">
        <f t="shared" si="3"/>
        <v>43.510000000000005</v>
      </c>
      <c r="G7" s="11">
        <f t="shared" si="4"/>
        <v>2674.16811</v>
      </c>
      <c r="H7" s="44">
        <v>2702</v>
      </c>
      <c r="I7" s="13">
        <f t="shared" si="2"/>
        <v>27.83188999999993</v>
      </c>
    </row>
    <row r="8" spans="1:9" s="5" customFormat="1" ht="15">
      <c r="A8" s="10" t="s">
        <v>53</v>
      </c>
      <c r="B8" s="21">
        <v>1</v>
      </c>
      <c r="C8" s="21">
        <v>15.4</v>
      </c>
      <c r="D8" s="17">
        <f t="shared" si="0"/>
        <v>1.54</v>
      </c>
      <c r="E8" s="18">
        <f t="shared" si="1"/>
        <v>6</v>
      </c>
      <c r="F8" s="18">
        <f t="shared" si="3"/>
        <v>22.939999999999998</v>
      </c>
      <c r="G8" s="11">
        <f t="shared" si="4"/>
        <v>1409.9153399999998</v>
      </c>
      <c r="H8" s="44">
        <v>1425</v>
      </c>
      <c r="I8" s="13">
        <f t="shared" si="2"/>
        <v>15.084660000000213</v>
      </c>
    </row>
    <row r="9" spans="1:9" s="5" customFormat="1" ht="15">
      <c r="A9" s="10" t="s">
        <v>54</v>
      </c>
      <c r="B9" s="21">
        <v>2</v>
      </c>
      <c r="C9" s="21">
        <v>21.64</v>
      </c>
      <c r="D9" s="17">
        <f t="shared" si="0"/>
        <v>2.164</v>
      </c>
      <c r="E9" s="18">
        <f t="shared" si="1"/>
        <v>12</v>
      </c>
      <c r="F9" s="18">
        <f t="shared" si="3"/>
        <v>35.804</v>
      </c>
      <c r="G9" s="11">
        <f t="shared" si="4"/>
        <v>2200.549644</v>
      </c>
      <c r="H9" s="44">
        <v>2223</v>
      </c>
      <c r="I9" s="13">
        <f t="shared" si="2"/>
        <v>22.45035599999983</v>
      </c>
    </row>
    <row r="10" spans="1:10" s="5" customFormat="1" ht="15">
      <c r="A10" s="10" t="s">
        <v>157</v>
      </c>
      <c r="B10" s="21">
        <v>2</v>
      </c>
      <c r="C10" s="21">
        <v>81.4</v>
      </c>
      <c r="D10" s="17">
        <f t="shared" si="0"/>
        <v>8.14</v>
      </c>
      <c r="E10" s="18">
        <f t="shared" si="1"/>
        <v>12</v>
      </c>
      <c r="F10" s="18">
        <f t="shared" si="3"/>
        <v>101.54</v>
      </c>
      <c r="G10" s="11">
        <f t="shared" si="4"/>
        <v>6240.749940000001</v>
      </c>
      <c r="H10" s="12">
        <v>6305</v>
      </c>
      <c r="I10" s="13">
        <f t="shared" si="2"/>
        <v>64.2500599999994</v>
      </c>
      <c r="J10" s="30"/>
    </row>
    <row r="11" spans="1:12" s="5" customFormat="1" ht="15">
      <c r="A11" s="10" t="s">
        <v>57</v>
      </c>
      <c r="B11" s="21">
        <v>2</v>
      </c>
      <c r="C11" s="21">
        <v>76.21</v>
      </c>
      <c r="D11" s="17">
        <f t="shared" si="0"/>
        <v>7.6209999999999996</v>
      </c>
      <c r="E11" s="18">
        <f t="shared" si="1"/>
        <v>12</v>
      </c>
      <c r="F11" s="18">
        <f t="shared" si="3"/>
        <v>95.83099999999999</v>
      </c>
      <c r="G11" s="11">
        <f t="shared" si="4"/>
        <v>5889.869091</v>
      </c>
      <c r="H11" s="44">
        <v>5936</v>
      </c>
      <c r="I11" s="13">
        <f t="shared" si="2"/>
        <v>46.13090900000043</v>
      </c>
      <c r="J11" s="30"/>
      <c r="K11" s="55"/>
      <c r="L11" s="56"/>
    </row>
    <row r="12" spans="1:9" s="5" customFormat="1" ht="15">
      <c r="A12" s="10" t="s">
        <v>14</v>
      </c>
      <c r="B12" s="21">
        <v>4</v>
      </c>
      <c r="C12" s="21">
        <v>140.69</v>
      </c>
      <c r="D12" s="17">
        <f t="shared" si="0"/>
        <v>14.069</v>
      </c>
      <c r="E12" s="18">
        <f t="shared" si="1"/>
        <v>24</v>
      </c>
      <c r="F12" s="18">
        <f t="shared" si="3"/>
        <v>178.759</v>
      </c>
      <c r="G12" s="11">
        <f t="shared" si="4"/>
        <v>10986.706898999999</v>
      </c>
      <c r="H12" s="12">
        <f>6739+4361</f>
        <v>11100</v>
      </c>
      <c r="I12" s="13">
        <f t="shared" si="2"/>
        <v>113.29310100000112</v>
      </c>
    </row>
    <row r="13" spans="1:10" s="5" customFormat="1" ht="15">
      <c r="A13" s="10" t="s">
        <v>103</v>
      </c>
      <c r="B13" s="21">
        <v>3</v>
      </c>
      <c r="C13" s="21">
        <v>38.59</v>
      </c>
      <c r="D13" s="17">
        <f t="shared" si="0"/>
        <v>3.8590000000000004</v>
      </c>
      <c r="E13" s="18">
        <f t="shared" si="1"/>
        <v>18</v>
      </c>
      <c r="F13" s="18">
        <f t="shared" si="3"/>
        <v>60.449000000000005</v>
      </c>
      <c r="G13" s="11">
        <f t="shared" si="4"/>
        <v>3715.255989</v>
      </c>
      <c r="H13" s="44">
        <v>3754</v>
      </c>
      <c r="I13" s="13">
        <f t="shared" si="2"/>
        <v>38.74401099999977</v>
      </c>
      <c r="J13" s="35"/>
    </row>
    <row r="14" spans="1:9" s="5" customFormat="1" ht="15">
      <c r="A14" s="10" t="s">
        <v>171</v>
      </c>
      <c r="B14" s="21">
        <v>6</v>
      </c>
      <c r="C14" s="21">
        <v>177.83</v>
      </c>
      <c r="D14" s="17">
        <f t="shared" si="0"/>
        <v>17.783</v>
      </c>
      <c r="E14" s="18">
        <f t="shared" si="1"/>
        <v>36</v>
      </c>
      <c r="F14" s="18">
        <f t="shared" si="3"/>
        <v>231.613</v>
      </c>
      <c r="G14" s="11">
        <f t="shared" si="4"/>
        <v>14235.166593</v>
      </c>
      <c r="H14" s="44">
        <v>14382</v>
      </c>
      <c r="I14" s="13">
        <f t="shared" si="2"/>
        <v>146.83340700000008</v>
      </c>
    </row>
    <row r="15" spans="1:9" s="5" customFormat="1" ht="15">
      <c r="A15" s="10" t="s">
        <v>172</v>
      </c>
      <c r="B15" s="21">
        <v>2</v>
      </c>
      <c r="C15" s="21">
        <v>42.63</v>
      </c>
      <c r="D15" s="17">
        <f t="shared" si="0"/>
        <v>4.263000000000001</v>
      </c>
      <c r="E15" s="18">
        <f t="shared" si="1"/>
        <v>12</v>
      </c>
      <c r="F15" s="18">
        <f t="shared" si="3"/>
        <v>58.893</v>
      </c>
      <c r="G15" s="11">
        <f t="shared" si="4"/>
        <v>3619.622673</v>
      </c>
      <c r="H15" s="44">
        <v>3657</v>
      </c>
      <c r="I15" s="13">
        <f t="shared" si="2"/>
        <v>37.37732700000015</v>
      </c>
    </row>
    <row r="16" spans="1:9" s="5" customFormat="1" ht="15">
      <c r="A16" s="15"/>
      <c r="B16" s="15"/>
      <c r="C16" s="20"/>
      <c r="D16" s="20"/>
      <c r="E16" s="20"/>
      <c r="F16" s="19"/>
      <c r="G16" s="14"/>
      <c r="H16" s="14"/>
      <c r="I16" s="14"/>
    </row>
    <row r="19" ht="31.5">
      <c r="A19" s="16"/>
    </row>
    <row r="20" ht="31.5">
      <c r="A20" s="1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9:A30"/>
  <sheetViews>
    <sheetView zoomScalePageLayoutView="0" workbookViewId="0" topLeftCell="A1">
      <selection activeCell="A29" sqref="A29:A30"/>
    </sheetView>
  </sheetViews>
  <sheetFormatPr defaultColWidth="9.140625" defaultRowHeight="15"/>
  <sheetData>
    <row r="29" ht="31.5">
      <c r="A29" s="16" t="s">
        <v>152</v>
      </c>
    </row>
    <row r="30" ht="31.5">
      <c r="A30" s="16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62" zoomScaleNormal="62" zoomScalePageLayoutView="0" workbookViewId="0" topLeftCell="A1">
      <selection activeCell="C35" sqref="C35"/>
    </sheetView>
  </sheetViews>
  <sheetFormatPr defaultColWidth="9.140625" defaultRowHeight="15"/>
  <cols>
    <col min="1" max="1" width="20.28125" style="0" customWidth="1"/>
    <col min="2" max="2" width="18.710937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5" customFormat="1" ht="21.75" customHeight="1">
      <c r="A1" s="1" t="s">
        <v>0</v>
      </c>
      <c r="B1" s="2">
        <v>41520</v>
      </c>
      <c r="C1" s="2"/>
      <c r="D1" s="3" t="s">
        <v>1</v>
      </c>
      <c r="E1" s="4">
        <v>33.96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11</v>
      </c>
      <c r="B4" s="21">
        <v>2</v>
      </c>
      <c r="C4" s="17">
        <v>24.65</v>
      </c>
      <c r="D4" s="17">
        <f>C4*0.1</f>
        <v>2.465</v>
      </c>
      <c r="E4" s="18">
        <v>9</v>
      </c>
      <c r="F4" s="18">
        <f>C4+E4+D4</f>
        <v>36.114999999999995</v>
      </c>
      <c r="G4" s="11">
        <f>F4*$E$1</f>
        <v>1226.4653999999998</v>
      </c>
      <c r="H4" s="12">
        <v>1233</v>
      </c>
      <c r="I4" s="13">
        <f>H4-G4</f>
        <v>6.534600000000182</v>
      </c>
    </row>
    <row r="5" spans="1:9" s="5" customFormat="1" ht="15">
      <c r="A5" s="10" t="s">
        <v>12</v>
      </c>
      <c r="B5" s="21">
        <v>1</v>
      </c>
      <c r="C5" s="17">
        <v>38.5</v>
      </c>
      <c r="D5" s="17">
        <f aca="true" t="shared" si="0" ref="D5:D16">C5*0.1</f>
        <v>3.85</v>
      </c>
      <c r="E5" s="18">
        <v>6</v>
      </c>
      <c r="F5" s="18">
        <f aca="true" t="shared" si="1" ref="F5:F16">C5+E5+D5</f>
        <v>48.35</v>
      </c>
      <c r="G5" s="11">
        <f aca="true" t="shared" si="2" ref="G5:G16">F5*$E$1</f>
        <v>1641.9660000000001</v>
      </c>
      <c r="H5" s="12">
        <f>650+1000</f>
        <v>1650</v>
      </c>
      <c r="I5" s="13">
        <f aca="true" t="shared" si="3" ref="I5:I16">H5-G5</f>
        <v>8.033999999999878</v>
      </c>
    </row>
    <row r="6" spans="1:9" s="5" customFormat="1" ht="15">
      <c r="A6" s="10" t="s">
        <v>13</v>
      </c>
      <c r="B6" s="21">
        <v>1</v>
      </c>
      <c r="C6" s="17">
        <v>8.16</v>
      </c>
      <c r="D6" s="17">
        <f t="shared" si="0"/>
        <v>0.8160000000000001</v>
      </c>
      <c r="E6" s="18">
        <v>3</v>
      </c>
      <c r="F6" s="18">
        <f t="shared" si="1"/>
        <v>11.976</v>
      </c>
      <c r="G6" s="11">
        <f t="shared" si="2"/>
        <v>406.70496</v>
      </c>
      <c r="H6" s="12">
        <v>409</v>
      </c>
      <c r="I6" s="13">
        <f t="shared" si="3"/>
        <v>2.2950399999999718</v>
      </c>
    </row>
    <row r="7" spans="1:9" s="5" customFormat="1" ht="15">
      <c r="A7" s="10" t="s">
        <v>14</v>
      </c>
      <c r="B7" s="21">
        <v>4</v>
      </c>
      <c r="C7" s="17">
        <v>124.96</v>
      </c>
      <c r="D7" s="17">
        <f t="shared" si="0"/>
        <v>12.496</v>
      </c>
      <c r="E7" s="18">
        <v>21</v>
      </c>
      <c r="F7" s="18">
        <f t="shared" si="1"/>
        <v>158.456</v>
      </c>
      <c r="G7" s="11">
        <f t="shared" si="2"/>
        <v>5381.16576</v>
      </c>
      <c r="H7" s="12">
        <v>5407</v>
      </c>
      <c r="I7" s="13">
        <f t="shared" si="3"/>
        <v>25.834240000000136</v>
      </c>
    </row>
    <row r="8" spans="1:9" s="5" customFormat="1" ht="15">
      <c r="A8" s="10" t="s">
        <v>15</v>
      </c>
      <c r="B8" s="21">
        <v>4</v>
      </c>
      <c r="C8" s="17">
        <v>102.2</v>
      </c>
      <c r="D8" s="17">
        <f t="shared" si="0"/>
        <v>10.22</v>
      </c>
      <c r="E8" s="18">
        <v>21</v>
      </c>
      <c r="F8" s="18">
        <f t="shared" si="1"/>
        <v>133.42000000000002</v>
      </c>
      <c r="G8" s="11">
        <f t="shared" si="2"/>
        <v>4530.943200000001</v>
      </c>
      <c r="H8" s="12">
        <v>4554</v>
      </c>
      <c r="I8" s="13">
        <f t="shared" si="3"/>
        <v>23.056799999999384</v>
      </c>
    </row>
    <row r="9" spans="1:9" s="5" customFormat="1" ht="15">
      <c r="A9" s="10" t="s">
        <v>16</v>
      </c>
      <c r="B9" s="21">
        <v>2</v>
      </c>
      <c r="C9" s="17">
        <v>57.19</v>
      </c>
      <c r="D9" s="17">
        <f t="shared" si="0"/>
        <v>5.719</v>
      </c>
      <c r="E9" s="18">
        <v>12</v>
      </c>
      <c r="F9" s="18">
        <f t="shared" si="1"/>
        <v>74.90899999999999</v>
      </c>
      <c r="G9" s="11">
        <f t="shared" si="2"/>
        <v>2543.90964</v>
      </c>
      <c r="H9" s="12">
        <v>2560</v>
      </c>
      <c r="I9" s="13">
        <f>H9-G9</f>
        <v>16.090360000000146</v>
      </c>
    </row>
    <row r="10" spans="1:9" s="5" customFormat="1" ht="15">
      <c r="A10" s="10" t="s">
        <v>24</v>
      </c>
      <c r="B10" s="21">
        <v>1</v>
      </c>
      <c r="C10" s="17">
        <v>23.1</v>
      </c>
      <c r="D10" s="17">
        <f t="shared" si="0"/>
        <v>2.31</v>
      </c>
      <c r="E10" s="18">
        <v>6</v>
      </c>
      <c r="F10" s="18">
        <f t="shared" si="1"/>
        <v>31.41</v>
      </c>
      <c r="G10" s="11">
        <f t="shared" si="2"/>
        <v>1066.6836</v>
      </c>
      <c r="H10" s="12">
        <v>1072</v>
      </c>
      <c r="I10" s="13">
        <f t="shared" si="3"/>
        <v>5.3163999999999305</v>
      </c>
    </row>
    <row r="11" spans="1:9" s="5" customFormat="1" ht="15">
      <c r="A11" s="10" t="s">
        <v>17</v>
      </c>
      <c r="B11" s="21">
        <v>1</v>
      </c>
      <c r="C11" s="17">
        <v>23.1</v>
      </c>
      <c r="D11" s="17">
        <f t="shared" si="0"/>
        <v>2.31</v>
      </c>
      <c r="E11" s="18">
        <v>6</v>
      </c>
      <c r="F11" s="18">
        <f t="shared" si="1"/>
        <v>31.41</v>
      </c>
      <c r="G11" s="11">
        <f t="shared" si="2"/>
        <v>1066.6836</v>
      </c>
      <c r="H11" s="12">
        <v>1072</v>
      </c>
      <c r="I11" s="13">
        <f t="shared" si="3"/>
        <v>5.3163999999999305</v>
      </c>
    </row>
    <row r="12" spans="1:9" s="5" customFormat="1" ht="15">
      <c r="A12" s="10" t="s">
        <v>18</v>
      </c>
      <c r="B12" s="21">
        <v>2</v>
      </c>
      <c r="C12" s="17">
        <v>29.28</v>
      </c>
      <c r="D12" s="17">
        <f t="shared" si="0"/>
        <v>2.9280000000000004</v>
      </c>
      <c r="E12" s="18">
        <v>12</v>
      </c>
      <c r="F12" s="18">
        <f t="shared" si="1"/>
        <v>44.208</v>
      </c>
      <c r="G12" s="11">
        <f>F12*$E$1</f>
        <v>1501.30368</v>
      </c>
      <c r="H12" s="12">
        <v>1509</v>
      </c>
      <c r="I12" s="13">
        <f>H12-G12</f>
        <v>7.696320000000014</v>
      </c>
    </row>
    <row r="13" spans="1:9" s="5" customFormat="1" ht="15">
      <c r="A13" s="10" t="s">
        <v>19</v>
      </c>
      <c r="B13" s="21">
        <v>2</v>
      </c>
      <c r="C13" s="17">
        <v>32.08</v>
      </c>
      <c r="D13" s="17">
        <f t="shared" si="0"/>
        <v>3.208</v>
      </c>
      <c r="E13" s="18">
        <v>12</v>
      </c>
      <c r="F13" s="18">
        <f t="shared" si="1"/>
        <v>47.288</v>
      </c>
      <c r="G13" s="11">
        <f>F13*$E$1</f>
        <v>1605.90048</v>
      </c>
      <c r="H13" s="12">
        <v>1614</v>
      </c>
      <c r="I13" s="13">
        <f>H13-G13</f>
        <v>8.099519999999984</v>
      </c>
    </row>
    <row r="14" spans="1:10" s="5" customFormat="1" ht="15">
      <c r="A14" s="22" t="s">
        <v>20</v>
      </c>
      <c r="B14" s="23">
        <v>1</v>
      </c>
      <c r="C14" s="24">
        <v>7.5</v>
      </c>
      <c r="D14" s="24">
        <f t="shared" si="0"/>
        <v>0.75</v>
      </c>
      <c r="E14" s="25">
        <v>3</v>
      </c>
      <c r="F14" s="25">
        <f t="shared" si="1"/>
        <v>11.25</v>
      </c>
      <c r="G14" s="26">
        <f>F14*$E$1</f>
        <v>382.05</v>
      </c>
      <c r="H14" s="27">
        <v>384</v>
      </c>
      <c r="I14" s="28">
        <f>H14-G14</f>
        <v>1.9499999999999886</v>
      </c>
      <c r="J14" s="5" t="s">
        <v>25</v>
      </c>
    </row>
    <row r="15" spans="1:9" s="5" customFormat="1" ht="15">
      <c r="A15" s="10" t="s">
        <v>7</v>
      </c>
      <c r="B15" s="21">
        <v>1</v>
      </c>
      <c r="C15" s="17">
        <v>19.8</v>
      </c>
      <c r="D15" s="17">
        <f t="shared" si="0"/>
        <v>1.9800000000000002</v>
      </c>
      <c r="E15" s="18">
        <v>6</v>
      </c>
      <c r="F15" s="18">
        <f t="shared" si="1"/>
        <v>27.78</v>
      </c>
      <c r="G15" s="11">
        <f>F15*$E$1</f>
        <v>943.4088</v>
      </c>
      <c r="H15" s="12">
        <v>948</v>
      </c>
      <c r="I15" s="13">
        <f>H15-G15</f>
        <v>4.591199999999958</v>
      </c>
    </row>
    <row r="16" spans="1:9" s="5" customFormat="1" ht="15">
      <c r="A16" s="10" t="s">
        <v>21</v>
      </c>
      <c r="B16" s="21">
        <v>2</v>
      </c>
      <c r="C16" s="17">
        <v>24.28</v>
      </c>
      <c r="D16" s="17">
        <f t="shared" si="0"/>
        <v>2.4280000000000004</v>
      </c>
      <c r="E16" s="18">
        <v>9</v>
      </c>
      <c r="F16" s="18">
        <f t="shared" si="1"/>
        <v>35.708</v>
      </c>
      <c r="G16" s="11">
        <f t="shared" si="2"/>
        <v>1212.64368</v>
      </c>
      <c r="H16" s="12">
        <v>1219</v>
      </c>
      <c r="I16" s="13">
        <f t="shared" si="3"/>
        <v>6.356320000000096</v>
      </c>
    </row>
    <row r="17" spans="1:9" s="5" customFormat="1" ht="15">
      <c r="A17" s="15"/>
      <c r="B17" s="15"/>
      <c r="C17" s="20"/>
      <c r="D17" s="20"/>
      <c r="E17" s="20"/>
      <c r="F17" s="19"/>
      <c r="G17" s="14"/>
      <c r="H17" s="14"/>
      <c r="I17" s="14"/>
    </row>
    <row r="22" ht="31.5">
      <c r="A22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7.140625" style="0" customWidth="1"/>
    <col min="2" max="2" width="16.140625" style="0" customWidth="1"/>
    <col min="3" max="3" width="10.421875" style="0" customWidth="1"/>
    <col min="5" max="5" width="10.8515625" style="0" customWidth="1"/>
    <col min="8" max="8" width="10.28125" style="0" customWidth="1"/>
    <col min="9" max="9" width="10.57421875" style="0" customWidth="1"/>
  </cols>
  <sheetData>
    <row r="1" spans="1:7" s="5" customFormat="1" ht="21.75" customHeight="1">
      <c r="A1" s="1" t="s">
        <v>0</v>
      </c>
      <c r="B1" s="2">
        <v>41592</v>
      </c>
      <c r="C1" s="2"/>
      <c r="D1" s="3" t="s">
        <v>1</v>
      </c>
      <c r="E1" s="4">
        <v>33.25</v>
      </c>
      <c r="G1" s="5" t="s">
        <v>10</v>
      </c>
    </row>
    <row r="2" s="5" customFormat="1" ht="23.25" customHeight="1">
      <c r="A2" s="6" t="s">
        <v>26</v>
      </c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27</v>
      </c>
      <c r="B4" s="21">
        <v>1</v>
      </c>
      <c r="C4" s="17">
        <v>26.4</v>
      </c>
      <c r="D4" s="17">
        <f>C4*0.1</f>
        <v>2.64</v>
      </c>
      <c r="E4" s="18">
        <v>6</v>
      </c>
      <c r="F4" s="18">
        <f>C4+E4+D4</f>
        <v>35.04</v>
      </c>
      <c r="G4" s="11">
        <f>F4*$E$1</f>
        <v>1165.08</v>
      </c>
      <c r="H4" s="12">
        <v>1173</v>
      </c>
      <c r="I4" s="13">
        <f>H4-G4</f>
        <v>7.920000000000073</v>
      </c>
    </row>
    <row r="5" spans="1:9" s="5" customFormat="1" ht="15">
      <c r="A5" s="10" t="s">
        <v>21</v>
      </c>
      <c r="B5" s="21">
        <v>5</v>
      </c>
      <c r="C5" s="17">
        <v>43.56</v>
      </c>
      <c r="D5" s="17">
        <f>C5*0.1</f>
        <v>4.356000000000001</v>
      </c>
      <c r="E5" s="18">
        <v>18</v>
      </c>
      <c r="F5" s="18">
        <f>C5+E5+D5</f>
        <v>65.916</v>
      </c>
      <c r="G5" s="11">
        <f>F5*$E$1</f>
        <v>2191.707</v>
      </c>
      <c r="H5" s="12">
        <v>2207</v>
      </c>
      <c r="I5" s="13">
        <f>H5-G5</f>
        <v>15.29300000000012</v>
      </c>
    </row>
    <row r="6" spans="1:9" s="5" customFormat="1" ht="15">
      <c r="A6" s="10" t="s">
        <v>28</v>
      </c>
      <c r="B6" s="21">
        <v>2</v>
      </c>
      <c r="C6" s="17">
        <v>21.82</v>
      </c>
      <c r="D6" s="17">
        <f aca="true" t="shared" si="0" ref="D6:D15">C6*0.1</f>
        <v>2.182</v>
      </c>
      <c r="E6" s="18">
        <v>12</v>
      </c>
      <c r="F6" s="18">
        <f aca="true" t="shared" si="1" ref="F6:F15">C6+E6+D6</f>
        <v>36.002</v>
      </c>
      <c r="G6" s="11">
        <f aca="true" t="shared" si="2" ref="G6:G15">F6*$E$1</f>
        <v>1197.0665000000001</v>
      </c>
      <c r="H6" s="12">
        <v>1205</v>
      </c>
      <c r="I6" s="13">
        <f aca="true" t="shared" si="3" ref="I6:I15">H6-G6</f>
        <v>7.933499999999867</v>
      </c>
    </row>
    <row r="7" spans="1:10" s="5" customFormat="1" ht="15">
      <c r="A7" s="10" t="s">
        <v>14</v>
      </c>
      <c r="B7" s="21">
        <v>1</v>
      </c>
      <c r="C7" s="17">
        <v>63.22</v>
      </c>
      <c r="D7" s="17">
        <f t="shared" si="0"/>
        <v>6.322</v>
      </c>
      <c r="E7" s="18">
        <v>6</v>
      </c>
      <c r="F7" s="18">
        <f t="shared" si="1"/>
        <v>75.542</v>
      </c>
      <c r="G7" s="11">
        <f t="shared" si="2"/>
        <v>2511.7715</v>
      </c>
      <c r="H7" s="12">
        <f>2529-43</f>
        <v>2486</v>
      </c>
      <c r="I7" s="13">
        <f t="shared" si="3"/>
        <v>-25.771499999999833</v>
      </c>
      <c r="J7" s="30" t="s">
        <v>40</v>
      </c>
    </row>
    <row r="8" spans="1:9" s="5" customFormat="1" ht="15">
      <c r="A8" s="10" t="s">
        <v>29</v>
      </c>
      <c r="B8" s="21">
        <v>2</v>
      </c>
      <c r="C8" s="17">
        <v>51.7</v>
      </c>
      <c r="D8" s="17">
        <f t="shared" si="0"/>
        <v>5.170000000000001</v>
      </c>
      <c r="E8" s="18">
        <v>12</v>
      </c>
      <c r="F8" s="18">
        <f t="shared" si="1"/>
        <v>68.87</v>
      </c>
      <c r="G8" s="11">
        <f t="shared" si="2"/>
        <v>2289.9275000000002</v>
      </c>
      <c r="H8" s="12">
        <v>2305</v>
      </c>
      <c r="I8" s="13">
        <f t="shared" si="3"/>
        <v>15.072499999999764</v>
      </c>
    </row>
    <row r="9" spans="1:10" s="5" customFormat="1" ht="15">
      <c r="A9" s="10" t="s">
        <v>12</v>
      </c>
      <c r="B9" s="21">
        <v>3</v>
      </c>
      <c r="C9" s="17">
        <v>100.65</v>
      </c>
      <c r="D9" s="17">
        <f t="shared" si="0"/>
        <v>10.065000000000001</v>
      </c>
      <c r="E9" s="18">
        <v>18</v>
      </c>
      <c r="F9" s="18">
        <f t="shared" si="1"/>
        <v>128.715</v>
      </c>
      <c r="G9" s="11">
        <f t="shared" si="2"/>
        <v>4279.77375</v>
      </c>
      <c r="H9" s="12">
        <f>4309-29</f>
        <v>4280</v>
      </c>
      <c r="I9" s="13">
        <f t="shared" si="3"/>
        <v>0.22624999999970896</v>
      </c>
      <c r="J9" s="30" t="s">
        <v>119</v>
      </c>
    </row>
    <row r="10" spans="1:10" s="5" customFormat="1" ht="15">
      <c r="A10" s="10" t="s">
        <v>30</v>
      </c>
      <c r="B10" s="21">
        <v>1</v>
      </c>
      <c r="C10" s="17">
        <v>28.6</v>
      </c>
      <c r="D10" s="17">
        <f t="shared" si="0"/>
        <v>2.8600000000000003</v>
      </c>
      <c r="E10" s="18">
        <v>6</v>
      </c>
      <c r="F10" s="18">
        <f t="shared" si="1"/>
        <v>37.46</v>
      </c>
      <c r="G10" s="11">
        <f t="shared" si="2"/>
        <v>1245.545</v>
      </c>
      <c r="H10" s="12">
        <f>1254-8</f>
        <v>1246</v>
      </c>
      <c r="I10" s="13">
        <f t="shared" si="3"/>
        <v>0.45499999999992724</v>
      </c>
      <c r="J10" s="30" t="s">
        <v>46</v>
      </c>
    </row>
    <row r="11" spans="1:9" s="5" customFormat="1" ht="15">
      <c r="A11" s="10" t="s">
        <v>31</v>
      </c>
      <c r="B11" s="21">
        <v>2</v>
      </c>
      <c r="C11" s="17">
        <v>128.52</v>
      </c>
      <c r="D11" s="17">
        <f t="shared" si="0"/>
        <v>12.852000000000002</v>
      </c>
      <c r="E11" s="18">
        <v>12</v>
      </c>
      <c r="F11" s="18">
        <f t="shared" si="1"/>
        <v>153.372</v>
      </c>
      <c r="G11" s="11">
        <f>F11*$E$1</f>
        <v>5099.619000000001</v>
      </c>
      <c r="H11" s="12">
        <v>5134</v>
      </c>
      <c r="I11" s="13">
        <f>H11-G11</f>
        <v>34.3809999999994</v>
      </c>
    </row>
    <row r="12" spans="1:9" s="5" customFormat="1" ht="15">
      <c r="A12" s="10" t="s">
        <v>32</v>
      </c>
      <c r="B12" s="21">
        <v>1</v>
      </c>
      <c r="C12" s="17">
        <v>30.25</v>
      </c>
      <c r="D12" s="17">
        <f t="shared" si="0"/>
        <v>3.0250000000000004</v>
      </c>
      <c r="E12" s="18">
        <v>6</v>
      </c>
      <c r="F12" s="18">
        <f t="shared" si="1"/>
        <v>39.275</v>
      </c>
      <c r="G12" s="11">
        <f>F12*$E$1</f>
        <v>1305.89375</v>
      </c>
      <c r="H12" s="12">
        <v>1315</v>
      </c>
      <c r="I12" s="13">
        <f>H12-G12</f>
        <v>9.106250000000045</v>
      </c>
    </row>
    <row r="13" spans="1:9" s="5" customFormat="1" ht="15">
      <c r="A13" s="10" t="s">
        <v>7</v>
      </c>
      <c r="B13" s="21">
        <v>2</v>
      </c>
      <c r="C13" s="17">
        <v>42.9</v>
      </c>
      <c r="D13" s="17">
        <f t="shared" si="0"/>
        <v>4.29</v>
      </c>
      <c r="E13" s="18">
        <v>12</v>
      </c>
      <c r="F13" s="18">
        <f t="shared" si="1"/>
        <v>59.19</v>
      </c>
      <c r="G13" s="11">
        <f>F13*$E$1</f>
        <v>1968.0674999999999</v>
      </c>
      <c r="H13" s="12">
        <v>1981</v>
      </c>
      <c r="I13" s="13">
        <f>H13-G13</f>
        <v>12.932500000000118</v>
      </c>
    </row>
    <row r="14" spans="1:9" s="5" customFormat="1" ht="15">
      <c r="A14" s="10" t="s">
        <v>33</v>
      </c>
      <c r="B14" s="21">
        <v>3</v>
      </c>
      <c r="C14" s="17">
        <v>129.83</v>
      </c>
      <c r="D14" s="17">
        <f t="shared" si="0"/>
        <v>12.983000000000002</v>
      </c>
      <c r="E14" s="18">
        <v>18</v>
      </c>
      <c r="F14" s="18">
        <f t="shared" si="1"/>
        <v>160.81300000000002</v>
      </c>
      <c r="G14" s="11">
        <f>F14*$E$1</f>
        <v>5347.03225</v>
      </c>
      <c r="H14" s="12">
        <v>5383</v>
      </c>
      <c r="I14" s="13">
        <f>H14-G14</f>
        <v>35.967749999999796</v>
      </c>
    </row>
    <row r="15" spans="1:9" s="5" customFormat="1" ht="15">
      <c r="A15" s="10" t="s">
        <v>34</v>
      </c>
      <c r="B15" s="21">
        <v>1</v>
      </c>
      <c r="C15" s="17">
        <v>26.4</v>
      </c>
      <c r="D15" s="17">
        <f t="shared" si="0"/>
        <v>2.64</v>
      </c>
      <c r="E15" s="18">
        <v>6</v>
      </c>
      <c r="F15" s="18">
        <f t="shared" si="1"/>
        <v>35.04</v>
      </c>
      <c r="G15" s="11">
        <f t="shared" si="2"/>
        <v>1165.08</v>
      </c>
      <c r="H15" s="12">
        <v>1173</v>
      </c>
      <c r="I15" s="13">
        <f t="shared" si="3"/>
        <v>7.920000000000073</v>
      </c>
    </row>
    <row r="16" spans="1:9" s="5" customFormat="1" ht="15">
      <c r="A16" s="15"/>
      <c r="B16" s="15"/>
      <c r="C16" s="20"/>
      <c r="D16" s="20"/>
      <c r="E16" s="20"/>
      <c r="F16" s="19"/>
      <c r="G16" s="14"/>
      <c r="H16" s="14"/>
      <c r="I16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421875" style="0" customWidth="1"/>
    <col min="2" max="2" width="20.421875" style="0" customWidth="1"/>
    <col min="3" max="3" width="12.00390625" style="0" customWidth="1"/>
    <col min="5" max="5" width="11.7109375" style="0" customWidth="1"/>
    <col min="8" max="8" width="10.8515625" style="0" customWidth="1"/>
    <col min="9" max="9" width="12.421875" style="0" customWidth="1"/>
  </cols>
  <sheetData>
    <row r="1" spans="1:7" s="5" customFormat="1" ht="21.75" customHeight="1">
      <c r="A1" s="1" t="s">
        <v>0</v>
      </c>
      <c r="B1" s="2">
        <v>41670</v>
      </c>
      <c r="C1" s="2"/>
      <c r="D1" s="3" t="s">
        <v>1</v>
      </c>
      <c r="E1" s="4">
        <v>35.85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28</v>
      </c>
      <c r="B4" s="21">
        <v>1</v>
      </c>
      <c r="C4" s="17">
        <v>16.5</v>
      </c>
      <c r="D4" s="17">
        <f>C4*0.1</f>
        <v>1.6500000000000001</v>
      </c>
      <c r="E4" s="18">
        <v>6</v>
      </c>
      <c r="F4" s="18">
        <f>C4+E4+D4</f>
        <v>24.15</v>
      </c>
      <c r="G4" s="11">
        <f aca="true" t="shared" si="0" ref="G4:G11">F4*$E$1</f>
        <v>865.7775</v>
      </c>
      <c r="H4" s="12">
        <v>870</v>
      </c>
      <c r="I4" s="13">
        <f aca="true" t="shared" si="1" ref="I4:I11">H4-G4</f>
        <v>4.222499999999968</v>
      </c>
    </row>
    <row r="5" spans="1:9" s="5" customFormat="1" ht="15">
      <c r="A5" s="10" t="s">
        <v>14</v>
      </c>
      <c r="B5" s="21">
        <v>3</v>
      </c>
      <c r="C5" s="17">
        <v>179.73</v>
      </c>
      <c r="D5" s="17">
        <f>C5*0.1</f>
        <v>17.973</v>
      </c>
      <c r="E5" s="18">
        <v>18</v>
      </c>
      <c r="F5" s="18">
        <f>C5+E5+D5</f>
        <v>215.70299999999997</v>
      </c>
      <c r="G5" s="11">
        <f t="shared" si="0"/>
        <v>7732.952549999999</v>
      </c>
      <c r="H5" s="12">
        <f>7740+6</f>
        <v>7746</v>
      </c>
      <c r="I5" s="13">
        <f t="shared" si="1"/>
        <v>13.047450000000936</v>
      </c>
    </row>
    <row r="6" spans="1:9" s="5" customFormat="1" ht="15">
      <c r="A6" s="10" t="s">
        <v>42</v>
      </c>
      <c r="B6" s="21">
        <v>2</v>
      </c>
      <c r="C6" s="17">
        <f>4.2+20.9</f>
        <v>25.099999999999998</v>
      </c>
      <c r="D6" s="17">
        <f aca="true" t="shared" si="2" ref="D6:D11">C6*0.1</f>
        <v>2.51</v>
      </c>
      <c r="E6" s="18">
        <v>9</v>
      </c>
      <c r="F6" s="18">
        <f aca="true" t="shared" si="3" ref="F6:F11">C6+E6+D6</f>
        <v>36.60999999999999</v>
      </c>
      <c r="G6" s="11">
        <f t="shared" si="0"/>
        <v>1312.4684999999997</v>
      </c>
      <c r="H6" s="12">
        <v>1314</v>
      </c>
      <c r="I6" s="13">
        <f t="shared" si="1"/>
        <v>1.5315000000002783</v>
      </c>
    </row>
    <row r="7" spans="1:10" s="5" customFormat="1" ht="15">
      <c r="A7" s="10" t="s">
        <v>34</v>
      </c>
      <c r="B7" s="21">
        <v>1</v>
      </c>
      <c r="C7" s="17">
        <v>47.96</v>
      </c>
      <c r="D7" s="17">
        <f t="shared" si="2"/>
        <v>4.796</v>
      </c>
      <c r="E7" s="18">
        <v>6</v>
      </c>
      <c r="F7" s="18">
        <f t="shared" si="3"/>
        <v>58.756</v>
      </c>
      <c r="G7" s="11">
        <f t="shared" si="0"/>
        <v>2106.4026</v>
      </c>
      <c r="H7" s="12">
        <v>2100</v>
      </c>
      <c r="I7" s="13">
        <f t="shared" si="1"/>
        <v>-6.402599999999893</v>
      </c>
      <c r="J7" s="30"/>
    </row>
    <row r="8" spans="1:9" s="5" customFormat="1" ht="15">
      <c r="A8" s="10" t="s">
        <v>43</v>
      </c>
      <c r="B8" s="21">
        <v>4</v>
      </c>
      <c r="C8" s="17">
        <v>68.84</v>
      </c>
      <c r="D8" s="17">
        <f t="shared" si="2"/>
        <v>6.884</v>
      </c>
      <c r="E8" s="18">
        <v>21</v>
      </c>
      <c r="F8" s="18">
        <f t="shared" si="3"/>
        <v>96.724</v>
      </c>
      <c r="G8" s="11">
        <f t="shared" si="0"/>
        <v>3467.5554</v>
      </c>
      <c r="H8" s="12">
        <f>3400+71</f>
        <v>3471</v>
      </c>
      <c r="I8" s="13">
        <f t="shared" si="1"/>
        <v>3.4445999999998094</v>
      </c>
    </row>
    <row r="9" spans="1:9" s="5" customFormat="1" ht="15">
      <c r="A9" s="10" t="s">
        <v>33</v>
      </c>
      <c r="B9" s="21">
        <v>1</v>
      </c>
      <c r="C9" s="17">
        <v>27.5</v>
      </c>
      <c r="D9" s="17">
        <f t="shared" si="2"/>
        <v>2.75</v>
      </c>
      <c r="E9" s="18">
        <v>6</v>
      </c>
      <c r="F9" s="18">
        <f t="shared" si="3"/>
        <v>36.25</v>
      </c>
      <c r="G9" s="11">
        <f t="shared" si="0"/>
        <v>1299.5625</v>
      </c>
      <c r="H9" s="12">
        <v>1265</v>
      </c>
      <c r="I9" s="13">
        <f t="shared" si="1"/>
        <v>-34.5625</v>
      </c>
    </row>
    <row r="10" spans="1:9" s="5" customFormat="1" ht="15">
      <c r="A10" s="10" t="s">
        <v>44</v>
      </c>
      <c r="B10" s="21">
        <v>1</v>
      </c>
      <c r="C10" s="17">
        <v>27.5</v>
      </c>
      <c r="D10" s="17">
        <f t="shared" si="2"/>
        <v>2.75</v>
      </c>
      <c r="E10" s="18">
        <v>6</v>
      </c>
      <c r="F10" s="18">
        <f t="shared" si="3"/>
        <v>36.25</v>
      </c>
      <c r="G10" s="11">
        <f t="shared" si="0"/>
        <v>1299.5625</v>
      </c>
      <c r="H10" s="12">
        <v>1301</v>
      </c>
      <c r="I10" s="13">
        <f t="shared" si="1"/>
        <v>1.4375</v>
      </c>
    </row>
    <row r="11" spans="1:9" s="5" customFormat="1" ht="15">
      <c r="A11" s="10" t="s">
        <v>45</v>
      </c>
      <c r="B11" s="21">
        <v>2</v>
      </c>
      <c r="C11" s="17">
        <v>70.4</v>
      </c>
      <c r="D11" s="17">
        <f t="shared" si="2"/>
        <v>7.040000000000001</v>
      </c>
      <c r="E11" s="18">
        <v>12</v>
      </c>
      <c r="F11" s="18">
        <f t="shared" si="3"/>
        <v>89.44000000000001</v>
      </c>
      <c r="G11" s="11">
        <f t="shared" si="0"/>
        <v>3206.4240000000004</v>
      </c>
      <c r="H11" s="12">
        <v>3209</v>
      </c>
      <c r="I11" s="13">
        <f t="shared" si="1"/>
        <v>2.575999999999567</v>
      </c>
    </row>
    <row r="12" spans="1:9" s="5" customFormat="1" ht="15">
      <c r="A12" s="15"/>
      <c r="B12" s="15"/>
      <c r="C12" s="20"/>
      <c r="D12" s="20"/>
      <c r="E12" s="20"/>
      <c r="F12" s="19"/>
      <c r="G12" s="14"/>
      <c r="H12" s="14"/>
      <c r="I12" s="14"/>
    </row>
    <row r="15" ht="31.5">
      <c r="A15" s="16"/>
    </row>
    <row r="16" ht="31.5">
      <c r="A16" s="1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6.421875" style="0" customWidth="1"/>
    <col min="2" max="2" width="20.421875" style="0" customWidth="1"/>
    <col min="3" max="3" width="12.00390625" style="0" customWidth="1"/>
    <col min="5" max="5" width="11.7109375" style="0" customWidth="1"/>
    <col min="8" max="8" width="10.8515625" style="0" customWidth="1"/>
    <col min="9" max="9" width="12.421875" style="0" customWidth="1"/>
    <col min="10" max="10" width="9.140625" style="41" customWidth="1"/>
  </cols>
  <sheetData>
    <row r="1" spans="1:10" s="5" customFormat="1" ht="21.75" customHeight="1">
      <c r="A1" s="1" t="s">
        <v>0</v>
      </c>
      <c r="B1" s="2" t="s">
        <v>47</v>
      </c>
      <c r="C1" s="2"/>
      <c r="D1" s="3" t="s">
        <v>1</v>
      </c>
      <c r="E1" s="4">
        <v>35.36</v>
      </c>
      <c r="G1" s="5" t="s">
        <v>10</v>
      </c>
      <c r="J1" s="6"/>
    </row>
    <row r="2" spans="1:10" s="5" customFormat="1" ht="23.25" customHeight="1">
      <c r="A2" s="6"/>
      <c r="J2" s="6"/>
    </row>
    <row r="3" spans="1:10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  <c r="J3" s="40"/>
    </row>
    <row r="4" spans="1:10" s="5" customFormat="1" ht="15">
      <c r="A4" s="10" t="s">
        <v>21</v>
      </c>
      <c r="B4" s="33">
        <v>2</v>
      </c>
      <c r="C4" s="34">
        <v>35.2</v>
      </c>
      <c r="D4" s="17">
        <f>C4*0.1</f>
        <v>3.5200000000000005</v>
      </c>
      <c r="E4" s="18">
        <f>B4*6</f>
        <v>12</v>
      </c>
      <c r="F4" s="18">
        <f>C4+E4+D4</f>
        <v>50.720000000000006</v>
      </c>
      <c r="G4" s="11"/>
      <c r="H4" s="12">
        <f>1797-1819</f>
        <v>-22</v>
      </c>
      <c r="I4" s="13">
        <f aca="true" t="shared" si="0" ref="I4:I15">H4-G4</f>
        <v>-22</v>
      </c>
      <c r="J4" s="30" t="s">
        <v>65</v>
      </c>
    </row>
    <row r="5" spans="1:10" s="5" customFormat="1" ht="15">
      <c r="A5" s="10" t="s">
        <v>48</v>
      </c>
      <c r="B5" s="21">
        <v>1</v>
      </c>
      <c r="C5" s="17">
        <v>35.75</v>
      </c>
      <c r="D5" s="17">
        <f>C5*0.1</f>
        <v>3.575</v>
      </c>
      <c r="E5" s="18">
        <f aca="true" t="shared" si="1" ref="E5:E19">B5*6</f>
        <v>6</v>
      </c>
      <c r="F5" s="18">
        <f>C5+E5+D5</f>
        <v>45.325</v>
      </c>
      <c r="G5" s="11">
        <f aca="true" t="shared" si="2" ref="G5:G15">F5*$E$1</f>
        <v>1602.692</v>
      </c>
      <c r="H5" s="12">
        <v>1625</v>
      </c>
      <c r="I5" s="13">
        <f t="shared" si="0"/>
        <v>22.307999999999993</v>
      </c>
      <c r="J5" s="6"/>
    </row>
    <row r="6" spans="1:10" s="5" customFormat="1" ht="15">
      <c r="A6" s="10" t="s">
        <v>49</v>
      </c>
      <c r="B6" s="21">
        <v>4</v>
      </c>
      <c r="C6" s="17">
        <v>110.07</v>
      </c>
      <c r="D6" s="17">
        <f aca="true" t="shared" si="3" ref="D6:D15">C6*0.1</f>
        <v>11.007</v>
      </c>
      <c r="E6" s="18">
        <v>21</v>
      </c>
      <c r="F6" s="18">
        <f aca="true" t="shared" si="4" ref="F6:F15">C6+E6+D6</f>
        <v>142.077</v>
      </c>
      <c r="G6" s="11">
        <f t="shared" si="2"/>
        <v>5023.84272</v>
      </c>
      <c r="H6" s="12">
        <v>5080</v>
      </c>
      <c r="I6" s="13">
        <f t="shared" si="0"/>
        <v>56.157280000000355</v>
      </c>
      <c r="J6" s="6"/>
    </row>
    <row r="7" spans="1:10" s="5" customFormat="1" ht="15">
      <c r="A7" s="10" t="s">
        <v>50</v>
      </c>
      <c r="B7" s="21">
        <v>1</v>
      </c>
      <c r="C7" s="17">
        <v>47.3</v>
      </c>
      <c r="D7" s="17">
        <f t="shared" si="3"/>
        <v>4.7299999999999995</v>
      </c>
      <c r="E7" s="18">
        <f t="shared" si="1"/>
        <v>6</v>
      </c>
      <c r="F7" s="18">
        <f t="shared" si="4"/>
        <v>58.029999999999994</v>
      </c>
      <c r="G7" s="11">
        <f t="shared" si="2"/>
        <v>2051.9408</v>
      </c>
      <c r="H7" s="12">
        <f>2080-28</f>
        <v>2052</v>
      </c>
      <c r="I7" s="13">
        <f t="shared" si="0"/>
        <v>0.05920000000014625</v>
      </c>
      <c r="J7" s="30" t="s">
        <v>75</v>
      </c>
    </row>
    <row r="8" spans="1:10" s="5" customFormat="1" ht="15">
      <c r="A8" s="10" t="s">
        <v>51</v>
      </c>
      <c r="B8" s="21">
        <v>1</v>
      </c>
      <c r="C8" s="17">
        <v>48.4</v>
      </c>
      <c r="D8" s="17">
        <f t="shared" si="3"/>
        <v>4.84</v>
      </c>
      <c r="E8" s="18">
        <f t="shared" si="1"/>
        <v>6</v>
      </c>
      <c r="F8" s="18">
        <f t="shared" si="4"/>
        <v>59.239999999999995</v>
      </c>
      <c r="G8" s="11">
        <f t="shared" si="2"/>
        <v>2094.7264</v>
      </c>
      <c r="H8" s="12">
        <v>2124</v>
      </c>
      <c r="I8" s="13">
        <f t="shared" si="0"/>
        <v>29.273599999999988</v>
      </c>
      <c r="J8" s="6"/>
    </row>
    <row r="9" spans="1:10" s="5" customFormat="1" ht="15">
      <c r="A9" s="10" t="s">
        <v>52</v>
      </c>
      <c r="B9" s="21">
        <v>1</v>
      </c>
      <c r="C9" s="17">
        <v>46.75</v>
      </c>
      <c r="D9" s="17">
        <f>C9*0.1</f>
        <v>4.675</v>
      </c>
      <c r="E9" s="18">
        <f t="shared" si="1"/>
        <v>6</v>
      </c>
      <c r="F9" s="18">
        <f>C9+E9+D9</f>
        <v>57.425</v>
      </c>
      <c r="G9" s="11">
        <f>F9*$E$1</f>
        <v>2030.5479999999998</v>
      </c>
      <c r="H9" s="12">
        <v>2059</v>
      </c>
      <c r="I9" s="13">
        <f>H9-G9</f>
        <v>28.452000000000226</v>
      </c>
      <c r="J9" s="6"/>
    </row>
    <row r="10" spans="1:10" s="5" customFormat="1" ht="15">
      <c r="A10" s="10" t="s">
        <v>53</v>
      </c>
      <c r="B10" s="21">
        <v>2</v>
      </c>
      <c r="C10" s="17">
        <v>47.85</v>
      </c>
      <c r="D10" s="17">
        <f>C10*0.1</f>
        <v>4.785</v>
      </c>
      <c r="E10" s="18">
        <f t="shared" si="1"/>
        <v>12</v>
      </c>
      <c r="F10" s="18">
        <f>C10+E10+D10</f>
        <v>64.635</v>
      </c>
      <c r="G10" s="11">
        <f>F10*$E$1</f>
        <v>2285.4936000000002</v>
      </c>
      <c r="H10" s="12">
        <f>2317-32</f>
        <v>2285</v>
      </c>
      <c r="I10" s="13">
        <f>H10-G10</f>
        <v>-0.4936000000002423</v>
      </c>
      <c r="J10" s="30" t="s">
        <v>63</v>
      </c>
    </row>
    <row r="11" spans="1:10" s="5" customFormat="1" ht="15">
      <c r="A11" s="10" t="s">
        <v>54</v>
      </c>
      <c r="B11" s="21">
        <v>2</v>
      </c>
      <c r="C11" s="17">
        <v>42.35</v>
      </c>
      <c r="D11" s="17">
        <f>C11*0.1</f>
        <v>4.235</v>
      </c>
      <c r="E11" s="18">
        <f t="shared" si="1"/>
        <v>12</v>
      </c>
      <c r="F11" s="18">
        <f>C11+E11+D11</f>
        <v>58.585</v>
      </c>
      <c r="G11" s="11">
        <f>F11*$E$1</f>
        <v>2071.5656</v>
      </c>
      <c r="H11" s="12">
        <v>2100</v>
      </c>
      <c r="I11" s="13">
        <f>H11-G11</f>
        <v>28.434400000000096</v>
      </c>
      <c r="J11" s="30"/>
    </row>
    <row r="12" spans="1:10" s="5" customFormat="1" ht="15">
      <c r="A12" s="10" t="s">
        <v>55</v>
      </c>
      <c r="B12" s="21">
        <v>1</v>
      </c>
      <c r="C12" s="17">
        <v>4.2</v>
      </c>
      <c r="D12" s="17">
        <f>C12*0.1</f>
        <v>0.42000000000000004</v>
      </c>
      <c r="E12" s="18">
        <v>3</v>
      </c>
      <c r="F12" s="18">
        <f>C12+E12+D12</f>
        <v>7.62</v>
      </c>
      <c r="G12" s="11">
        <f>F12*$E$1</f>
        <v>269.4432</v>
      </c>
      <c r="H12" s="12">
        <v>273</v>
      </c>
      <c r="I12" s="13">
        <f>H12-G12</f>
        <v>3.5568000000000097</v>
      </c>
      <c r="J12" s="6"/>
    </row>
    <row r="13" spans="1:10" s="5" customFormat="1" ht="15">
      <c r="A13" s="10" t="s">
        <v>56</v>
      </c>
      <c r="B13" s="21">
        <v>1</v>
      </c>
      <c r="C13" s="17">
        <v>17.6</v>
      </c>
      <c r="D13" s="17">
        <f t="shared" si="3"/>
        <v>1.7600000000000002</v>
      </c>
      <c r="E13" s="18">
        <f t="shared" si="1"/>
        <v>6</v>
      </c>
      <c r="F13" s="18">
        <f t="shared" si="4"/>
        <v>25.360000000000003</v>
      </c>
      <c r="G13" s="11">
        <f t="shared" si="2"/>
        <v>896.7296000000001</v>
      </c>
      <c r="H13" s="12">
        <f>909-12</f>
        <v>897</v>
      </c>
      <c r="I13" s="13">
        <f t="shared" si="0"/>
        <v>0.2703999999998814</v>
      </c>
      <c r="J13" s="30" t="s">
        <v>76</v>
      </c>
    </row>
    <row r="14" spans="1:10" s="5" customFormat="1" ht="15">
      <c r="A14" s="10" t="s">
        <v>12</v>
      </c>
      <c r="B14" s="21">
        <v>4</v>
      </c>
      <c r="C14" s="17">
        <v>121.65</v>
      </c>
      <c r="D14" s="17">
        <f t="shared" si="3"/>
        <v>12.165000000000001</v>
      </c>
      <c r="E14" s="18">
        <f t="shared" si="1"/>
        <v>24</v>
      </c>
      <c r="F14" s="18">
        <f t="shared" si="4"/>
        <v>157.815</v>
      </c>
      <c r="G14" s="11">
        <f t="shared" si="2"/>
        <v>5580.3384</v>
      </c>
      <c r="H14" s="12">
        <f>5620-48</f>
        <v>5572</v>
      </c>
      <c r="I14" s="13">
        <f t="shared" si="0"/>
        <v>-8.338399999999638</v>
      </c>
      <c r="J14" s="6" t="s">
        <v>118</v>
      </c>
    </row>
    <row r="15" spans="1:10" s="5" customFormat="1" ht="15">
      <c r="A15" s="10" t="s">
        <v>57</v>
      </c>
      <c r="B15" s="21">
        <v>1</v>
      </c>
      <c r="C15" s="17">
        <v>23.1</v>
      </c>
      <c r="D15" s="17">
        <f t="shared" si="3"/>
        <v>2.31</v>
      </c>
      <c r="E15" s="18">
        <f t="shared" si="1"/>
        <v>6</v>
      </c>
      <c r="F15" s="18">
        <f t="shared" si="4"/>
        <v>31.41</v>
      </c>
      <c r="G15" s="11">
        <f t="shared" si="2"/>
        <v>1110.6576</v>
      </c>
      <c r="H15" s="12">
        <v>1126</v>
      </c>
      <c r="I15" s="13">
        <f t="shared" si="0"/>
        <v>15.342399999999998</v>
      </c>
      <c r="J15" s="6"/>
    </row>
    <row r="16" spans="1:10" s="5" customFormat="1" ht="15">
      <c r="A16" s="10" t="s">
        <v>58</v>
      </c>
      <c r="B16" s="21">
        <v>1</v>
      </c>
      <c r="C16" s="17">
        <v>28.6</v>
      </c>
      <c r="D16" s="17">
        <f>C16*0.1</f>
        <v>2.8600000000000003</v>
      </c>
      <c r="E16" s="18">
        <f t="shared" si="1"/>
        <v>6</v>
      </c>
      <c r="F16" s="18">
        <f>C16+E16+D16</f>
        <v>37.46</v>
      </c>
      <c r="G16" s="11">
        <f>F16*$E$1</f>
        <v>1324.5856</v>
      </c>
      <c r="H16" s="12">
        <v>1343</v>
      </c>
      <c r="I16" s="13">
        <f>H16-G16</f>
        <v>18.414399999999887</v>
      </c>
      <c r="J16" s="6"/>
    </row>
    <row r="17" spans="1:10" s="5" customFormat="1" ht="15">
      <c r="A17" s="10" t="s">
        <v>59</v>
      </c>
      <c r="B17" s="21">
        <v>1</v>
      </c>
      <c r="C17" s="17">
        <v>22</v>
      </c>
      <c r="D17" s="17">
        <f>C17*0.1</f>
        <v>2.2</v>
      </c>
      <c r="E17" s="18">
        <f t="shared" si="1"/>
        <v>6</v>
      </c>
      <c r="F17" s="18">
        <f>C17+E17+D17</f>
        <v>30.2</v>
      </c>
      <c r="G17" s="11">
        <f>F17*$E$1</f>
        <v>1067.872</v>
      </c>
      <c r="H17" s="12">
        <f>1083-15</f>
        <v>1068</v>
      </c>
      <c r="I17" s="13">
        <f>H17-G17</f>
        <v>0.12799999999992906</v>
      </c>
      <c r="J17" s="30" t="s">
        <v>78</v>
      </c>
    </row>
    <row r="18" spans="1:10" s="5" customFormat="1" ht="15">
      <c r="A18" s="10" t="s">
        <v>60</v>
      </c>
      <c r="B18" s="21">
        <v>2</v>
      </c>
      <c r="C18" s="17">
        <v>40.13</v>
      </c>
      <c r="D18" s="17">
        <f>C18*0.1</f>
        <v>4.013000000000001</v>
      </c>
      <c r="E18" s="18">
        <v>9</v>
      </c>
      <c r="F18" s="18">
        <f>C18+E18+D18</f>
        <v>53.143</v>
      </c>
      <c r="G18" s="11">
        <f>F18*$E$1</f>
        <v>1879.13648</v>
      </c>
      <c r="H18" s="12">
        <f>1905-26</f>
        <v>1879</v>
      </c>
      <c r="I18" s="13">
        <f>H18-G18</f>
        <v>-0.13647999999989224</v>
      </c>
      <c r="J18" s="30" t="s">
        <v>64</v>
      </c>
    </row>
    <row r="19" spans="1:10" s="5" customFormat="1" ht="15">
      <c r="A19" s="10" t="s">
        <v>61</v>
      </c>
      <c r="B19" s="21">
        <v>4</v>
      </c>
      <c r="C19" s="17">
        <v>154.94</v>
      </c>
      <c r="D19" s="17">
        <f>C19*0.1</f>
        <v>15.494</v>
      </c>
      <c r="E19" s="18">
        <f t="shared" si="1"/>
        <v>24</v>
      </c>
      <c r="F19" s="18">
        <f>C19+E19+D19</f>
        <v>194.434</v>
      </c>
      <c r="G19" s="11">
        <f>F19*$E$1</f>
        <v>6875.18624</v>
      </c>
      <c r="H19" s="12">
        <v>6970</v>
      </c>
      <c r="I19" s="13">
        <f>H19-G19</f>
        <v>94.81376</v>
      </c>
      <c r="J19" s="6"/>
    </row>
    <row r="20" spans="1:10" s="5" customFormat="1" ht="15">
      <c r="A20" s="15"/>
      <c r="B20" s="15"/>
      <c r="C20" s="20"/>
      <c r="D20" s="20"/>
      <c r="E20" s="20"/>
      <c r="F20" s="19"/>
      <c r="G20" s="14"/>
      <c r="H20" s="14"/>
      <c r="I20" s="14"/>
      <c r="J20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4.8515625" style="0" customWidth="1"/>
    <col min="2" max="2" width="15.8515625" style="0" customWidth="1"/>
    <col min="8" max="8" width="11.00390625" style="0" customWidth="1"/>
  </cols>
  <sheetData>
    <row r="1" spans="1:7" s="5" customFormat="1" ht="21.75" customHeight="1">
      <c r="A1" s="1" t="s">
        <v>0</v>
      </c>
      <c r="B1" s="2" t="s">
        <v>66</v>
      </c>
      <c r="C1" s="2"/>
      <c r="D1" s="3" t="s">
        <v>1</v>
      </c>
      <c r="E1" s="4">
        <v>35.88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67</v>
      </c>
      <c r="B4" s="21">
        <v>1</v>
      </c>
      <c r="C4" s="17">
        <v>63.95</v>
      </c>
      <c r="D4" s="17">
        <f>C4*0.1</f>
        <v>6.3950000000000005</v>
      </c>
      <c r="E4" s="18">
        <f aca="true" t="shared" si="0" ref="E4:E13">B4*6</f>
        <v>6</v>
      </c>
      <c r="F4" s="18">
        <f>C4+E4+D4</f>
        <v>76.345</v>
      </c>
      <c r="G4" s="11"/>
      <c r="H4" s="12">
        <f>2710-2710</f>
        <v>0</v>
      </c>
      <c r="I4" s="13">
        <f aca="true" t="shared" si="1" ref="I4:I13">H4-G4</f>
        <v>0</v>
      </c>
      <c r="J4" s="5" t="s">
        <v>77</v>
      </c>
    </row>
    <row r="5" spans="1:9" s="5" customFormat="1" ht="15">
      <c r="A5" s="10" t="s">
        <v>68</v>
      </c>
      <c r="B5" s="21">
        <v>5</v>
      </c>
      <c r="C5" s="17">
        <v>130.63</v>
      </c>
      <c r="D5" s="17">
        <f aca="true" t="shared" si="2" ref="D5:D13">C5*0.1</f>
        <v>13.063</v>
      </c>
      <c r="E5" s="18">
        <f t="shared" si="0"/>
        <v>30</v>
      </c>
      <c r="F5" s="18">
        <f aca="true" t="shared" si="3" ref="F5:F13">C5+E5+D5</f>
        <v>173.69299999999998</v>
      </c>
      <c r="G5" s="11">
        <f aca="true" t="shared" si="4" ref="G5:G13">F5*$E$1</f>
        <v>6232.10484</v>
      </c>
      <c r="H5" s="12">
        <f>6165+67</f>
        <v>6232</v>
      </c>
      <c r="I5" s="13">
        <f t="shared" si="1"/>
        <v>-0.1048399999999674</v>
      </c>
    </row>
    <row r="6" spans="1:10" s="5" customFormat="1" ht="15">
      <c r="A6" s="10" t="s">
        <v>69</v>
      </c>
      <c r="B6" s="21">
        <v>1</v>
      </c>
      <c r="C6" s="17">
        <v>51.7</v>
      </c>
      <c r="D6" s="17">
        <f t="shared" si="2"/>
        <v>5.170000000000001</v>
      </c>
      <c r="E6" s="18">
        <f t="shared" si="0"/>
        <v>6</v>
      </c>
      <c r="F6" s="18">
        <f t="shared" si="3"/>
        <v>62.870000000000005</v>
      </c>
      <c r="G6" s="11">
        <f t="shared" si="4"/>
        <v>2255.7756000000004</v>
      </c>
      <c r="H6" s="12">
        <f>2027+205+24</f>
        <v>2256</v>
      </c>
      <c r="I6" s="13">
        <f t="shared" si="1"/>
        <v>0.22439999999960492</v>
      </c>
      <c r="J6" s="30"/>
    </row>
    <row r="7" spans="1:9" s="5" customFormat="1" ht="15">
      <c r="A7" s="10" t="s">
        <v>70</v>
      </c>
      <c r="B7" s="21">
        <v>1</v>
      </c>
      <c r="C7" s="17">
        <v>10.64</v>
      </c>
      <c r="D7" s="17">
        <f t="shared" si="2"/>
        <v>1.064</v>
      </c>
      <c r="E7" s="18">
        <f t="shared" si="0"/>
        <v>6</v>
      </c>
      <c r="F7" s="18">
        <f t="shared" si="3"/>
        <v>17.704</v>
      </c>
      <c r="G7" s="11">
        <f t="shared" si="4"/>
        <v>635.2195200000001</v>
      </c>
      <c r="H7" s="12">
        <f>200+428+7</f>
        <v>635</v>
      </c>
      <c r="I7" s="13">
        <f t="shared" si="1"/>
        <v>-0.2195200000001023</v>
      </c>
    </row>
    <row r="8" spans="1:9" s="5" customFormat="1" ht="15">
      <c r="A8" s="10" t="s">
        <v>28</v>
      </c>
      <c r="B8" s="21">
        <v>2</v>
      </c>
      <c r="C8" s="17">
        <v>16.74</v>
      </c>
      <c r="D8" s="17">
        <f>C8*0.1</f>
        <v>1.674</v>
      </c>
      <c r="E8" s="18">
        <v>9</v>
      </c>
      <c r="F8" s="18">
        <f>C8+E8+D8</f>
        <v>27.413999999999998</v>
      </c>
      <c r="G8" s="11">
        <f>F8*$E$1</f>
        <v>983.61432</v>
      </c>
      <c r="H8" s="12">
        <v>961</v>
      </c>
      <c r="I8" s="13">
        <f>H8-G8</f>
        <v>-22.61432000000002</v>
      </c>
    </row>
    <row r="9" spans="1:10" s="5" customFormat="1" ht="15">
      <c r="A9" s="10" t="s">
        <v>71</v>
      </c>
      <c r="B9" s="21">
        <v>1</v>
      </c>
      <c r="C9" s="17">
        <v>29.7</v>
      </c>
      <c r="D9" s="17">
        <f>C9*0.1</f>
        <v>2.97</v>
      </c>
      <c r="E9" s="18">
        <f t="shared" si="0"/>
        <v>6</v>
      </c>
      <c r="F9" s="18">
        <f>C9+E9+D9</f>
        <v>38.67</v>
      </c>
      <c r="G9" s="11">
        <f>F9*$E$1</f>
        <v>1387.4796000000001</v>
      </c>
      <c r="H9" s="12">
        <f>1373+14</f>
        <v>1387</v>
      </c>
      <c r="I9" s="13">
        <f>H9-G9</f>
        <v>-0.4796000000001186</v>
      </c>
      <c r="J9" s="35"/>
    </row>
    <row r="10" spans="1:10" s="5" customFormat="1" ht="15">
      <c r="A10" s="10" t="s">
        <v>14</v>
      </c>
      <c r="B10" s="21">
        <v>4</v>
      </c>
      <c r="C10" s="17">
        <v>94.97</v>
      </c>
      <c r="D10" s="17">
        <f>C10*0.1</f>
        <v>9.497</v>
      </c>
      <c r="E10" s="18">
        <v>21</v>
      </c>
      <c r="F10" s="18">
        <f>C10+E10+D10</f>
        <v>125.467</v>
      </c>
      <c r="G10" s="11">
        <f>F10*$E$1</f>
        <v>4501.75596</v>
      </c>
      <c r="H10" s="12">
        <f>20+4364</f>
        <v>4384</v>
      </c>
      <c r="I10" s="13">
        <f>H10-G10</f>
        <v>-117.75596000000041</v>
      </c>
      <c r="J10" s="30"/>
    </row>
    <row r="11" spans="1:9" s="5" customFormat="1" ht="15">
      <c r="A11" s="10" t="s">
        <v>72</v>
      </c>
      <c r="B11" s="21">
        <v>1</v>
      </c>
      <c r="C11" s="17">
        <v>65.4</v>
      </c>
      <c r="D11" s="17">
        <f>C11*0.1</f>
        <v>6.540000000000001</v>
      </c>
      <c r="E11" s="18">
        <f t="shared" si="0"/>
        <v>6</v>
      </c>
      <c r="F11" s="18">
        <f>C11+E11+D11</f>
        <v>77.94000000000001</v>
      </c>
      <c r="G11" s="11">
        <f>F11*$E$1</f>
        <v>2796.4872000000005</v>
      </c>
      <c r="H11" s="12">
        <f>2767+29</f>
        <v>2796</v>
      </c>
      <c r="I11" s="13">
        <f>H11-G11</f>
        <v>-0.4872000000004846</v>
      </c>
    </row>
    <row r="12" spans="1:9" s="5" customFormat="1" ht="15">
      <c r="A12" s="10" t="s">
        <v>73</v>
      </c>
      <c r="B12" s="21">
        <v>1</v>
      </c>
      <c r="C12" s="17">
        <v>23.1</v>
      </c>
      <c r="D12" s="17">
        <f t="shared" si="2"/>
        <v>2.31</v>
      </c>
      <c r="E12" s="18">
        <f t="shared" si="0"/>
        <v>6</v>
      </c>
      <c r="F12" s="18">
        <f t="shared" si="3"/>
        <v>31.41</v>
      </c>
      <c r="G12" s="11">
        <f t="shared" si="4"/>
        <v>1126.9908</v>
      </c>
      <c r="H12" s="12">
        <f>1115+12</f>
        <v>1127</v>
      </c>
      <c r="I12" s="13">
        <f t="shared" si="1"/>
        <v>0.009199999999964348</v>
      </c>
    </row>
    <row r="13" spans="1:9" s="5" customFormat="1" ht="15">
      <c r="A13" s="10" t="s">
        <v>43</v>
      </c>
      <c r="B13" s="21">
        <v>1</v>
      </c>
      <c r="C13" s="17">
        <v>18.7</v>
      </c>
      <c r="D13" s="17">
        <f t="shared" si="2"/>
        <v>1.87</v>
      </c>
      <c r="E13" s="18">
        <f t="shared" si="0"/>
        <v>6</v>
      </c>
      <c r="F13" s="18">
        <f t="shared" si="3"/>
        <v>26.57</v>
      </c>
      <c r="G13" s="11">
        <f t="shared" si="4"/>
        <v>953.3316000000001</v>
      </c>
      <c r="H13" s="12">
        <f>940+10</f>
        <v>950</v>
      </c>
      <c r="I13" s="13">
        <f t="shared" si="1"/>
        <v>-3.331600000000094</v>
      </c>
    </row>
    <row r="14" spans="1:9" s="5" customFormat="1" ht="15">
      <c r="A14" s="15"/>
      <c r="B14" s="15"/>
      <c r="C14" s="20"/>
      <c r="D14" s="20"/>
      <c r="E14" s="20"/>
      <c r="F14" s="19"/>
      <c r="G14" s="14"/>
      <c r="H14" s="14"/>
      <c r="I14" s="1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:IV17"/>
    </sheetView>
  </sheetViews>
  <sheetFormatPr defaultColWidth="9.140625" defaultRowHeight="15"/>
  <cols>
    <col min="1" max="1" width="28.140625" style="0" customWidth="1"/>
    <col min="2" max="2" width="13.57421875" style="0" customWidth="1"/>
    <col min="3" max="3" width="11.140625" style="0" customWidth="1"/>
    <col min="5" max="5" width="13.00390625" style="0" customWidth="1"/>
    <col min="8" max="8" width="11.140625" style="0" customWidth="1"/>
  </cols>
  <sheetData>
    <row r="1" spans="1:7" s="5" customFormat="1" ht="21.75" customHeight="1">
      <c r="A1" s="1" t="s">
        <v>0</v>
      </c>
      <c r="B1" s="2" t="s">
        <v>79</v>
      </c>
      <c r="C1" s="2"/>
      <c r="D1" s="3" t="s">
        <v>1</v>
      </c>
      <c r="E1" s="4">
        <v>39.08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80</v>
      </c>
      <c r="B4" s="21">
        <v>3</v>
      </c>
      <c r="C4" s="17">
        <v>101.39</v>
      </c>
      <c r="D4" s="17">
        <f aca="true" t="shared" si="0" ref="D4:D16">C4*0.1</f>
        <v>10.139000000000001</v>
      </c>
      <c r="E4" s="18">
        <f>B4*6</f>
        <v>18</v>
      </c>
      <c r="F4" s="18">
        <f aca="true" t="shared" si="1" ref="F4:F16">C4+E4+D4</f>
        <v>129.529</v>
      </c>
      <c r="G4" s="11">
        <f aca="true" t="shared" si="2" ref="G4:G16">F4*$E$1</f>
        <v>5061.99332</v>
      </c>
      <c r="H4" s="12">
        <f>5114+52</f>
        <v>5166</v>
      </c>
      <c r="I4" s="13">
        <f aca="true" t="shared" si="3" ref="I4:I16">H4-G4</f>
        <v>104.00668000000042</v>
      </c>
    </row>
    <row r="5" spans="1:10" s="5" customFormat="1" ht="15">
      <c r="A5" s="10" t="s">
        <v>69</v>
      </c>
      <c r="B5" s="21">
        <v>1</v>
      </c>
      <c r="C5" s="17">
        <v>35.2</v>
      </c>
      <c r="D5" s="17">
        <f t="shared" si="0"/>
        <v>3.5200000000000005</v>
      </c>
      <c r="E5" s="18">
        <f aca="true" t="shared" si="4" ref="E5:E16">B5*6</f>
        <v>6</v>
      </c>
      <c r="F5" s="18">
        <f t="shared" si="1"/>
        <v>44.720000000000006</v>
      </c>
      <c r="G5" s="11">
        <f t="shared" si="2"/>
        <v>1747.6576000000002</v>
      </c>
      <c r="H5" s="12">
        <f>3030-1283</f>
        <v>1747</v>
      </c>
      <c r="I5" s="13">
        <f t="shared" si="3"/>
        <v>-0.6576000000002296</v>
      </c>
      <c r="J5" s="30" t="s">
        <v>92</v>
      </c>
    </row>
    <row r="6" spans="1:10" s="5" customFormat="1" ht="15">
      <c r="A6" s="10" t="s">
        <v>81</v>
      </c>
      <c r="B6" s="21">
        <v>3</v>
      </c>
      <c r="C6" s="17">
        <v>29.38</v>
      </c>
      <c r="D6" s="17">
        <f t="shared" si="0"/>
        <v>2.938</v>
      </c>
      <c r="E6" s="18">
        <v>12</v>
      </c>
      <c r="F6" s="18">
        <f t="shared" si="1"/>
        <v>44.318</v>
      </c>
      <c r="G6" s="11">
        <f t="shared" si="2"/>
        <v>1731.94744</v>
      </c>
      <c r="H6" s="12">
        <v>1750</v>
      </c>
      <c r="I6" s="13">
        <f t="shared" si="3"/>
        <v>18.052560000000085</v>
      </c>
      <c r="J6" s="30"/>
    </row>
    <row r="7" spans="1:9" s="5" customFormat="1" ht="15">
      <c r="A7" s="10" t="s">
        <v>55</v>
      </c>
      <c r="B7" s="21">
        <v>2</v>
      </c>
      <c r="C7" s="17">
        <v>21.34</v>
      </c>
      <c r="D7" s="17">
        <f t="shared" si="0"/>
        <v>2.134</v>
      </c>
      <c r="E7" s="18">
        <f t="shared" si="4"/>
        <v>12</v>
      </c>
      <c r="F7" s="18">
        <f t="shared" si="1"/>
        <v>35.474000000000004</v>
      </c>
      <c r="G7" s="11">
        <f t="shared" si="2"/>
        <v>1386.32392</v>
      </c>
      <c r="H7" s="12">
        <v>1397</v>
      </c>
      <c r="I7" s="13">
        <f t="shared" si="3"/>
        <v>10.676079999999956</v>
      </c>
    </row>
    <row r="8" spans="1:10" s="5" customFormat="1" ht="15">
      <c r="A8" s="10" t="s">
        <v>82</v>
      </c>
      <c r="B8" s="21">
        <v>1</v>
      </c>
      <c r="C8" s="17">
        <v>30.8</v>
      </c>
      <c r="D8" s="17">
        <f t="shared" si="0"/>
        <v>3.08</v>
      </c>
      <c r="E8" s="18">
        <f t="shared" si="4"/>
        <v>6</v>
      </c>
      <c r="F8" s="18">
        <f t="shared" si="1"/>
        <v>39.879999999999995</v>
      </c>
      <c r="G8" s="11">
        <f t="shared" si="2"/>
        <v>1558.5103999999997</v>
      </c>
      <c r="H8" s="12">
        <f>1569-16</f>
        <v>1553</v>
      </c>
      <c r="I8" s="13">
        <f t="shared" si="3"/>
        <v>-5.510399999999663</v>
      </c>
      <c r="J8" s="35" t="s">
        <v>95</v>
      </c>
    </row>
    <row r="9" spans="1:9" s="5" customFormat="1" ht="15">
      <c r="A9" s="10" t="s">
        <v>83</v>
      </c>
      <c r="B9" s="21">
        <v>3</v>
      </c>
      <c r="C9" s="17">
        <v>68.53</v>
      </c>
      <c r="D9" s="17">
        <f t="shared" si="0"/>
        <v>6.853000000000001</v>
      </c>
      <c r="E9" s="18">
        <f t="shared" si="4"/>
        <v>18</v>
      </c>
      <c r="F9" s="18">
        <f t="shared" si="1"/>
        <v>93.383</v>
      </c>
      <c r="G9" s="11">
        <f t="shared" si="2"/>
        <v>3649.4076399999994</v>
      </c>
      <c r="H9" s="12">
        <v>3687</v>
      </c>
      <c r="I9" s="13">
        <f t="shared" si="3"/>
        <v>37.592360000000554</v>
      </c>
    </row>
    <row r="10" spans="1:9" s="5" customFormat="1" ht="15">
      <c r="A10" s="10" t="s">
        <v>14</v>
      </c>
      <c r="B10" s="21">
        <v>3</v>
      </c>
      <c r="C10" s="17">
        <v>68.2</v>
      </c>
      <c r="D10" s="17">
        <f t="shared" si="0"/>
        <v>6.82</v>
      </c>
      <c r="E10" s="18">
        <f>B10*6</f>
        <v>18</v>
      </c>
      <c r="F10" s="18">
        <f t="shared" si="1"/>
        <v>93.02000000000001</v>
      </c>
      <c r="G10" s="11">
        <f t="shared" si="2"/>
        <v>3635.2216000000003</v>
      </c>
      <c r="H10" s="12">
        <v>3700</v>
      </c>
      <c r="I10" s="13">
        <f t="shared" si="3"/>
        <v>64.77839999999969</v>
      </c>
    </row>
    <row r="11" spans="1:10" s="5" customFormat="1" ht="15">
      <c r="A11" s="10" t="s">
        <v>59</v>
      </c>
      <c r="B11" s="21">
        <v>1</v>
      </c>
      <c r="C11" s="17">
        <v>24.2</v>
      </c>
      <c r="D11" s="17">
        <f t="shared" si="0"/>
        <v>2.42</v>
      </c>
      <c r="E11" s="18">
        <f>B11*6</f>
        <v>6</v>
      </c>
      <c r="F11" s="18">
        <f t="shared" si="1"/>
        <v>32.62</v>
      </c>
      <c r="G11" s="11">
        <f t="shared" si="2"/>
        <v>1274.7895999999998</v>
      </c>
      <c r="H11" s="12">
        <v>1288</v>
      </c>
      <c r="I11" s="13">
        <f t="shared" si="3"/>
        <v>13.210400000000163</v>
      </c>
      <c r="J11" s="30"/>
    </row>
    <row r="12" spans="1:10" s="5" customFormat="1" ht="15">
      <c r="A12" s="10" t="s">
        <v>84</v>
      </c>
      <c r="B12" s="21">
        <v>1</v>
      </c>
      <c r="C12" s="17">
        <v>58.86</v>
      </c>
      <c r="D12" s="17">
        <f t="shared" si="0"/>
        <v>5.886</v>
      </c>
      <c r="E12" s="18">
        <f>B12*6</f>
        <v>6</v>
      </c>
      <c r="F12" s="18">
        <f t="shared" si="1"/>
        <v>70.746</v>
      </c>
      <c r="G12" s="11">
        <f t="shared" si="2"/>
        <v>2764.75368</v>
      </c>
      <c r="H12" s="12">
        <f>2793+28-56</f>
        <v>2765</v>
      </c>
      <c r="I12" s="13">
        <f t="shared" si="3"/>
        <v>0.24632000000019616</v>
      </c>
      <c r="J12" s="35" t="s">
        <v>94</v>
      </c>
    </row>
    <row r="13" spans="1:10" s="5" customFormat="1" ht="15">
      <c r="A13" s="10" t="s">
        <v>85</v>
      </c>
      <c r="B13" s="21">
        <v>1</v>
      </c>
      <c r="C13" s="17">
        <v>17.05</v>
      </c>
      <c r="D13" s="17">
        <f t="shared" si="0"/>
        <v>1.705</v>
      </c>
      <c r="E13" s="18">
        <f>B13*6</f>
        <v>6</v>
      </c>
      <c r="F13" s="18">
        <f t="shared" si="1"/>
        <v>24.755000000000003</v>
      </c>
      <c r="G13" s="11">
        <f t="shared" si="2"/>
        <v>967.4254000000001</v>
      </c>
      <c r="H13" s="12">
        <f>2194-1227</f>
        <v>967</v>
      </c>
      <c r="I13" s="13">
        <f t="shared" si="3"/>
        <v>-0.4254000000000815</v>
      </c>
      <c r="J13" s="35" t="s">
        <v>96</v>
      </c>
    </row>
    <row r="14" spans="1:10" s="5" customFormat="1" ht="15">
      <c r="A14" s="10" t="s">
        <v>87</v>
      </c>
      <c r="B14" s="21">
        <v>1</v>
      </c>
      <c r="C14" s="17">
        <v>41.8</v>
      </c>
      <c r="D14" s="17">
        <f t="shared" si="0"/>
        <v>4.18</v>
      </c>
      <c r="E14" s="18">
        <f t="shared" si="4"/>
        <v>6</v>
      </c>
      <c r="F14" s="18">
        <f t="shared" si="1"/>
        <v>51.98</v>
      </c>
      <c r="G14" s="11">
        <f t="shared" si="2"/>
        <v>2031.3783999999998</v>
      </c>
      <c r="H14" s="12">
        <f>9043-92</f>
        <v>8951</v>
      </c>
      <c r="I14" s="13">
        <f t="shared" si="3"/>
        <v>6919.6216</v>
      </c>
      <c r="J14" s="35" t="s">
        <v>93</v>
      </c>
    </row>
    <row r="15" spans="1:10" s="5" customFormat="1" ht="15">
      <c r="A15" s="10" t="s">
        <v>88</v>
      </c>
      <c r="B15" s="21">
        <v>4</v>
      </c>
      <c r="C15" s="17">
        <v>139.15</v>
      </c>
      <c r="D15" s="17">
        <f t="shared" si="0"/>
        <v>13.915000000000001</v>
      </c>
      <c r="E15" s="18">
        <f t="shared" si="4"/>
        <v>24</v>
      </c>
      <c r="F15" s="18">
        <f t="shared" si="1"/>
        <v>177.065</v>
      </c>
      <c r="G15" s="11">
        <f t="shared" si="2"/>
        <v>6919.700199999999</v>
      </c>
      <c r="H15" s="12"/>
      <c r="I15" s="13">
        <f t="shared" si="3"/>
        <v>-6919.700199999999</v>
      </c>
      <c r="J15" s="35"/>
    </row>
    <row r="16" spans="1:10" s="5" customFormat="1" ht="15">
      <c r="A16" s="10" t="s">
        <v>86</v>
      </c>
      <c r="B16" s="21">
        <v>2</v>
      </c>
      <c r="C16" s="17">
        <v>65.45</v>
      </c>
      <c r="D16" s="17">
        <f t="shared" si="0"/>
        <v>6.545000000000001</v>
      </c>
      <c r="E16" s="18">
        <f t="shared" si="4"/>
        <v>12</v>
      </c>
      <c r="F16" s="18">
        <f t="shared" si="1"/>
        <v>83.995</v>
      </c>
      <c r="G16" s="11">
        <f t="shared" si="2"/>
        <v>3282.5246</v>
      </c>
      <c r="H16" s="12">
        <v>3316</v>
      </c>
      <c r="I16" s="13">
        <f t="shared" si="3"/>
        <v>33.47539999999981</v>
      </c>
      <c r="J16" s="30"/>
    </row>
    <row r="17" spans="1:9" s="5" customFormat="1" ht="15">
      <c r="A17" s="15"/>
      <c r="B17" s="15"/>
      <c r="C17" s="20"/>
      <c r="D17" s="20"/>
      <c r="E17" s="20"/>
      <c r="F17" s="19"/>
      <c r="G17" s="14"/>
      <c r="H17" s="14"/>
      <c r="I17" s="14"/>
    </row>
    <row r="19" ht="15">
      <c r="A19" s="42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28125" style="0" customWidth="1"/>
    <col min="3" max="3" width="14.28125" style="0" customWidth="1"/>
    <col min="5" max="5" width="12.28125" style="0" customWidth="1"/>
    <col min="8" max="8" width="12.421875" style="0" customWidth="1"/>
    <col min="9" max="9" width="11.421875" style="0" customWidth="1"/>
  </cols>
  <sheetData>
    <row r="1" spans="1:7" s="5" customFormat="1" ht="21.75" customHeight="1">
      <c r="A1" s="1" t="s">
        <v>0</v>
      </c>
      <c r="B1" s="2" t="s">
        <v>98</v>
      </c>
      <c r="C1" s="2"/>
      <c r="D1" s="3" t="s">
        <v>1</v>
      </c>
      <c r="E1" s="4">
        <v>46.58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109</v>
      </c>
      <c r="B4" s="21">
        <v>2</v>
      </c>
      <c r="C4" s="17">
        <v>35.2</v>
      </c>
      <c r="D4" s="17">
        <f aca="true" t="shared" si="0" ref="D4:D16">C4*0.1</f>
        <v>3.5200000000000005</v>
      </c>
      <c r="E4" s="18">
        <f>B4*6</f>
        <v>12</v>
      </c>
      <c r="F4" s="18">
        <f aca="true" t="shared" si="1" ref="F4:F16">C4+E4+D4</f>
        <v>50.720000000000006</v>
      </c>
      <c r="G4" s="11">
        <f aca="true" t="shared" si="2" ref="G4:G16">F4*$E$1</f>
        <v>2362.5376</v>
      </c>
      <c r="H4" s="12">
        <f>2430-67</f>
        <v>2363</v>
      </c>
      <c r="I4" s="13">
        <f aca="true" t="shared" si="3" ref="I4:I16">H4-G4</f>
        <v>0.4623999999998887</v>
      </c>
      <c r="J4" s="35" t="s">
        <v>117</v>
      </c>
    </row>
    <row r="5" spans="1:10" s="5" customFormat="1" ht="15">
      <c r="A5" s="10" t="s">
        <v>71</v>
      </c>
      <c r="B5" s="21">
        <v>2</v>
      </c>
      <c r="C5" s="17">
        <v>52.8</v>
      </c>
      <c r="D5" s="17">
        <f t="shared" si="0"/>
        <v>5.28</v>
      </c>
      <c r="E5" s="18">
        <f aca="true" t="shared" si="4" ref="E5:E14">B5*6</f>
        <v>12</v>
      </c>
      <c r="F5" s="18">
        <f t="shared" si="1"/>
        <v>70.08</v>
      </c>
      <c r="G5" s="11">
        <f t="shared" si="2"/>
        <v>3264.3264</v>
      </c>
      <c r="H5" s="12">
        <v>3354</v>
      </c>
      <c r="I5" s="13">
        <f t="shared" si="3"/>
        <v>89.67360000000008</v>
      </c>
      <c r="J5" s="30"/>
    </row>
    <row r="6" spans="1:10" s="5" customFormat="1" ht="15">
      <c r="A6" s="10" t="s">
        <v>54</v>
      </c>
      <c r="B6" s="21">
        <v>1</v>
      </c>
      <c r="C6" s="17">
        <v>12.38</v>
      </c>
      <c r="D6" s="17">
        <f t="shared" si="0"/>
        <v>1.2380000000000002</v>
      </c>
      <c r="E6" s="18">
        <f t="shared" si="4"/>
        <v>6</v>
      </c>
      <c r="F6" s="18">
        <f t="shared" si="1"/>
        <v>19.618000000000002</v>
      </c>
      <c r="G6" s="11">
        <f t="shared" si="2"/>
        <v>913.8064400000001</v>
      </c>
      <c r="H6" s="12">
        <v>939</v>
      </c>
      <c r="I6" s="13">
        <f t="shared" si="3"/>
        <v>25.193559999999934</v>
      </c>
      <c r="J6" s="30"/>
    </row>
    <row r="7" spans="1:9" s="5" customFormat="1" ht="15">
      <c r="A7" s="10" t="s">
        <v>14</v>
      </c>
      <c r="B7" s="21">
        <v>2</v>
      </c>
      <c r="C7" s="17">
        <v>54.8</v>
      </c>
      <c r="D7" s="17">
        <f t="shared" si="0"/>
        <v>5.48</v>
      </c>
      <c r="E7" s="18">
        <v>9</v>
      </c>
      <c r="F7" s="18">
        <f t="shared" si="1"/>
        <v>69.28</v>
      </c>
      <c r="G7" s="11">
        <f t="shared" si="2"/>
        <v>3227.0624</v>
      </c>
      <c r="H7" s="12">
        <v>3358</v>
      </c>
      <c r="I7" s="13">
        <f t="shared" si="3"/>
        <v>130.9376000000002</v>
      </c>
    </row>
    <row r="8" spans="1:10" s="5" customFormat="1" ht="15">
      <c r="A8" s="10" t="s">
        <v>99</v>
      </c>
      <c r="B8" s="21">
        <v>1</v>
      </c>
      <c r="C8" s="17">
        <v>35.2</v>
      </c>
      <c r="D8" s="17">
        <f t="shared" si="0"/>
        <v>3.5200000000000005</v>
      </c>
      <c r="E8" s="18">
        <f t="shared" si="4"/>
        <v>6</v>
      </c>
      <c r="F8" s="18">
        <f t="shared" si="1"/>
        <v>44.720000000000006</v>
      </c>
      <c r="G8" s="11">
        <f t="shared" si="2"/>
        <v>2083.0576</v>
      </c>
      <c r="H8" s="12">
        <f>2141-58</f>
        <v>2083</v>
      </c>
      <c r="I8" s="13">
        <f t="shared" si="3"/>
        <v>-0.05760000000009313</v>
      </c>
      <c r="J8" s="35" t="s">
        <v>117</v>
      </c>
    </row>
    <row r="9" spans="1:9" s="5" customFormat="1" ht="15">
      <c r="A9" s="10" t="s">
        <v>100</v>
      </c>
      <c r="B9" s="21">
        <v>1</v>
      </c>
      <c r="C9" s="17">
        <v>33</v>
      </c>
      <c r="D9" s="17">
        <f t="shared" si="0"/>
        <v>3.3000000000000003</v>
      </c>
      <c r="E9" s="18">
        <f t="shared" si="4"/>
        <v>6</v>
      </c>
      <c r="F9" s="18">
        <f t="shared" si="1"/>
        <v>42.3</v>
      </c>
      <c r="G9" s="11">
        <f t="shared" si="2"/>
        <v>1970.3339999999998</v>
      </c>
      <c r="H9" s="12">
        <f>1909+24</f>
        <v>1933</v>
      </c>
      <c r="I9" s="13">
        <f t="shared" si="3"/>
        <v>-37.33399999999983</v>
      </c>
    </row>
    <row r="10" spans="1:10" s="5" customFormat="1" ht="15">
      <c r="A10" s="10" t="s">
        <v>101</v>
      </c>
      <c r="B10" s="21">
        <v>1</v>
      </c>
      <c r="C10" s="17">
        <v>46.75</v>
      </c>
      <c r="D10" s="17">
        <f t="shared" si="0"/>
        <v>4.675</v>
      </c>
      <c r="E10" s="18">
        <f t="shared" si="4"/>
        <v>6</v>
      </c>
      <c r="F10" s="18">
        <f t="shared" si="1"/>
        <v>57.425</v>
      </c>
      <c r="G10" s="11">
        <f t="shared" si="2"/>
        <v>2674.8565</v>
      </c>
      <c r="H10" s="12">
        <f>2749-74</f>
        <v>2675</v>
      </c>
      <c r="I10" s="13">
        <f t="shared" si="3"/>
        <v>0.14350000000013097</v>
      </c>
      <c r="J10" s="5" t="s">
        <v>114</v>
      </c>
    </row>
    <row r="11" spans="1:10" s="5" customFormat="1" ht="15">
      <c r="A11" s="10" t="s">
        <v>102</v>
      </c>
      <c r="B11" s="21">
        <v>11</v>
      </c>
      <c r="C11" s="17">
        <v>33.48</v>
      </c>
      <c r="D11" s="17">
        <f t="shared" si="0"/>
        <v>3.348</v>
      </c>
      <c r="E11" s="18">
        <f>B11*3</f>
        <v>33</v>
      </c>
      <c r="F11" s="18">
        <f t="shared" si="1"/>
        <v>69.82799999999999</v>
      </c>
      <c r="G11" s="11">
        <f t="shared" si="2"/>
        <v>3252.588239999999</v>
      </c>
      <c r="H11" s="12">
        <f>3342-89</f>
        <v>3253</v>
      </c>
      <c r="I11" s="13">
        <f t="shared" si="3"/>
        <v>0.4117600000008679</v>
      </c>
      <c r="J11" s="35" t="s">
        <v>117</v>
      </c>
    </row>
    <row r="12" spans="1:10" s="5" customFormat="1" ht="15">
      <c r="A12" s="10" t="s">
        <v>103</v>
      </c>
      <c r="B12" s="21">
        <v>1</v>
      </c>
      <c r="C12" s="17">
        <v>13.2</v>
      </c>
      <c r="D12" s="17">
        <f t="shared" si="0"/>
        <v>1.32</v>
      </c>
      <c r="E12" s="18">
        <f t="shared" si="4"/>
        <v>6</v>
      </c>
      <c r="F12" s="18">
        <f t="shared" si="1"/>
        <v>20.52</v>
      </c>
      <c r="G12" s="11">
        <f t="shared" si="2"/>
        <v>955.8216</v>
      </c>
      <c r="H12" s="12">
        <f>982-26</f>
        <v>956</v>
      </c>
      <c r="I12" s="13">
        <f t="shared" si="3"/>
        <v>0.17840000000001055</v>
      </c>
      <c r="J12" s="35" t="s">
        <v>115</v>
      </c>
    </row>
    <row r="13" spans="1:10" s="5" customFormat="1" ht="15">
      <c r="A13" s="10" t="s">
        <v>104</v>
      </c>
      <c r="B13" s="21">
        <v>1</v>
      </c>
      <c r="C13" s="17">
        <v>34.1</v>
      </c>
      <c r="D13" s="17">
        <f t="shared" si="0"/>
        <v>3.41</v>
      </c>
      <c r="E13" s="18">
        <f t="shared" si="4"/>
        <v>6</v>
      </c>
      <c r="F13" s="18">
        <f t="shared" si="1"/>
        <v>43.510000000000005</v>
      </c>
      <c r="G13" s="11">
        <f t="shared" si="2"/>
        <v>2026.6958000000002</v>
      </c>
      <c r="H13" s="12">
        <v>2083</v>
      </c>
      <c r="I13" s="13">
        <f t="shared" si="3"/>
        <v>56.30419999999981</v>
      </c>
      <c r="J13" s="35"/>
    </row>
    <row r="14" spans="1:10" s="5" customFormat="1" ht="15">
      <c r="A14" s="10" t="s">
        <v>105</v>
      </c>
      <c r="B14" s="21">
        <v>1</v>
      </c>
      <c r="C14" s="17">
        <v>25.3</v>
      </c>
      <c r="D14" s="17">
        <f t="shared" si="0"/>
        <v>2.5300000000000002</v>
      </c>
      <c r="E14" s="18">
        <f t="shared" si="4"/>
        <v>6</v>
      </c>
      <c r="F14" s="18">
        <f t="shared" si="1"/>
        <v>33.83</v>
      </c>
      <c r="G14" s="11">
        <f t="shared" si="2"/>
        <v>1575.8013999999998</v>
      </c>
      <c r="H14" s="12">
        <f>1619-43</f>
        <v>1576</v>
      </c>
      <c r="I14" s="13">
        <f t="shared" si="3"/>
        <v>0.19860000000016953</v>
      </c>
      <c r="J14" s="35" t="s">
        <v>116</v>
      </c>
    </row>
    <row r="15" spans="1:10" s="5" customFormat="1" ht="15">
      <c r="A15" s="10" t="s">
        <v>106</v>
      </c>
      <c r="B15" s="21">
        <v>5</v>
      </c>
      <c r="C15" s="17">
        <v>53.12</v>
      </c>
      <c r="D15" s="17">
        <f t="shared" si="0"/>
        <v>5.312</v>
      </c>
      <c r="E15" s="18">
        <v>18</v>
      </c>
      <c r="F15" s="18">
        <f t="shared" si="1"/>
        <v>76.432</v>
      </c>
      <c r="G15" s="11">
        <f t="shared" si="2"/>
        <v>3560.20256</v>
      </c>
      <c r="H15" s="12">
        <f>5926-2365</f>
        <v>3561</v>
      </c>
      <c r="I15" s="13">
        <f t="shared" si="3"/>
        <v>0.7974399999998241</v>
      </c>
      <c r="J15" s="35" t="s">
        <v>113</v>
      </c>
    </row>
    <row r="16" spans="1:10" s="5" customFormat="1" ht="15">
      <c r="A16" s="10" t="s">
        <v>107</v>
      </c>
      <c r="B16" s="21">
        <v>2</v>
      </c>
      <c r="C16" s="17">
        <v>21.41</v>
      </c>
      <c r="D16" s="17">
        <f t="shared" si="0"/>
        <v>2.141</v>
      </c>
      <c r="E16" s="18">
        <v>9</v>
      </c>
      <c r="F16" s="18">
        <f t="shared" si="1"/>
        <v>32.551</v>
      </c>
      <c r="G16" s="11">
        <f t="shared" si="2"/>
        <v>1516.22558</v>
      </c>
      <c r="H16" s="12">
        <f>1558-42</f>
        <v>1516</v>
      </c>
      <c r="I16" s="13">
        <f t="shared" si="3"/>
        <v>-0.2255800000000363</v>
      </c>
      <c r="J16" s="35" t="s">
        <v>117</v>
      </c>
    </row>
    <row r="17" spans="1:10" s="5" customFormat="1" ht="15">
      <c r="A17" s="10" t="s">
        <v>108</v>
      </c>
      <c r="B17" s="21">
        <v>5</v>
      </c>
      <c r="C17" s="17">
        <v>159.7</v>
      </c>
      <c r="D17" s="17">
        <f>C17*0.1</f>
        <v>15.969999999999999</v>
      </c>
      <c r="E17" s="18">
        <f>B17*6</f>
        <v>30</v>
      </c>
      <c r="F17" s="18">
        <f>C17+E17+D17</f>
        <v>205.67</v>
      </c>
      <c r="G17" s="11">
        <f>F17*$E$1</f>
        <v>9580.1086</v>
      </c>
      <c r="H17" s="12">
        <f>9845-265</f>
        <v>9580</v>
      </c>
      <c r="I17" s="13">
        <f>H17-G17</f>
        <v>-0.10859999999956926</v>
      </c>
      <c r="J17" s="35" t="s">
        <v>117</v>
      </c>
    </row>
    <row r="18" spans="1:9" s="5" customFormat="1" ht="15">
      <c r="A18" s="15"/>
      <c r="B18" s="15"/>
      <c r="C18" s="20"/>
      <c r="D18" s="20"/>
      <c r="E18" s="20"/>
      <c r="F18" s="19"/>
      <c r="G18" s="14"/>
      <c r="H18" s="14"/>
      <c r="I18" s="14"/>
    </row>
    <row r="21" ht="31.5">
      <c r="A21" s="16" t="s">
        <v>97</v>
      </c>
    </row>
    <row r="22" ht="31.5">
      <c r="A22" s="16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4">
      <selection activeCell="A1" sqref="A1:IV20"/>
    </sheetView>
  </sheetViews>
  <sheetFormatPr defaultColWidth="9.140625" defaultRowHeight="15"/>
  <cols>
    <col min="1" max="1" width="26.8515625" style="0" customWidth="1"/>
    <col min="2" max="2" width="16.28125" style="0" customWidth="1"/>
    <col min="3" max="3" width="14.28125" style="0" customWidth="1"/>
    <col min="5" max="5" width="12.28125" style="0" customWidth="1"/>
    <col min="8" max="8" width="12.421875" style="0" customWidth="1"/>
    <col min="9" max="9" width="13.7109375" style="0" customWidth="1"/>
  </cols>
  <sheetData>
    <row r="1" spans="1:7" s="5" customFormat="1" ht="21.75" customHeight="1">
      <c r="A1" s="1" t="s">
        <v>0</v>
      </c>
      <c r="B1" s="2">
        <v>42447</v>
      </c>
      <c r="C1" s="2"/>
      <c r="D1" s="3" t="s">
        <v>1</v>
      </c>
      <c r="E1" s="4">
        <v>69.34</v>
      </c>
      <c r="G1" s="5" t="s">
        <v>10</v>
      </c>
    </row>
    <row r="2" s="5" customFormat="1" ht="23.25" customHeight="1">
      <c r="A2" s="6"/>
    </row>
    <row r="3" spans="1:9" s="9" customFormat="1" ht="4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120</v>
      </c>
      <c r="B4" s="21">
        <v>1</v>
      </c>
      <c r="C4" s="21">
        <v>12.1</v>
      </c>
      <c r="D4" s="17">
        <f>C4*0.1</f>
        <v>1.21</v>
      </c>
      <c r="E4" s="18">
        <f>B4*6</f>
        <v>6</v>
      </c>
      <c r="F4" s="18">
        <f>C4+E4+D4</f>
        <v>19.310000000000002</v>
      </c>
      <c r="G4" s="11">
        <f>F4*$E$1</f>
        <v>1338.9554000000003</v>
      </c>
      <c r="H4" s="12">
        <f>1150+197</f>
        <v>1347</v>
      </c>
      <c r="I4" s="13">
        <f>H4-G4</f>
        <v>8.044599999999718</v>
      </c>
      <c r="J4" s="30"/>
    </row>
    <row r="5" spans="1:10" s="5" customFormat="1" ht="15">
      <c r="A5" s="10" t="s">
        <v>121</v>
      </c>
      <c r="B5" s="21">
        <v>1</v>
      </c>
      <c r="C5" s="21">
        <v>12.1</v>
      </c>
      <c r="D5" s="17">
        <f>C5*0.1</f>
        <v>1.21</v>
      </c>
      <c r="E5" s="18">
        <f>B5*6</f>
        <v>6</v>
      </c>
      <c r="F5" s="18">
        <f>C5+E5+D5</f>
        <v>19.310000000000002</v>
      </c>
      <c r="G5" s="11">
        <f>F5*$E$1</f>
        <v>1338.9554000000003</v>
      </c>
      <c r="H5" s="45">
        <v>1347</v>
      </c>
      <c r="I5" s="13">
        <f>H5-G5</f>
        <v>8.044599999999718</v>
      </c>
      <c r="J5" s="30"/>
    </row>
    <row r="6" spans="1:9" s="5" customFormat="1" ht="15">
      <c r="A6" s="10" t="s">
        <v>109</v>
      </c>
      <c r="B6" s="21">
        <v>2</v>
      </c>
      <c r="C6" s="21">
        <v>34.38</v>
      </c>
      <c r="D6" s="17">
        <f>C6*0.1</f>
        <v>3.4380000000000006</v>
      </c>
      <c r="E6" s="18">
        <f>B6*6</f>
        <v>12</v>
      </c>
      <c r="F6" s="18">
        <f>C6+E6+D6</f>
        <v>49.818000000000005</v>
      </c>
      <c r="G6" s="11">
        <f>F6*$E$1</f>
        <v>3454.3801200000007</v>
      </c>
      <c r="H6" s="45">
        <v>3500</v>
      </c>
      <c r="I6" s="13">
        <f>H6-G6</f>
        <v>45.619879999999284</v>
      </c>
    </row>
    <row r="7" spans="1:9" s="5" customFormat="1" ht="15">
      <c r="A7" s="10" t="s">
        <v>122</v>
      </c>
      <c r="B7" s="21">
        <v>1</v>
      </c>
      <c r="C7" s="21">
        <v>19.25</v>
      </c>
      <c r="D7" s="17">
        <f>C7*0.1</f>
        <v>1.925</v>
      </c>
      <c r="E7" s="18">
        <f>B7*6</f>
        <v>6</v>
      </c>
      <c r="F7" s="18">
        <f>C7+E7+D7</f>
        <v>27.175</v>
      </c>
      <c r="G7" s="11">
        <f>F7*$E$1</f>
        <v>1884.3145000000002</v>
      </c>
      <c r="H7" s="12">
        <v>1956</v>
      </c>
      <c r="I7" s="13">
        <f>H7-G7</f>
        <v>71.68549999999982</v>
      </c>
    </row>
    <row r="8" spans="1:10" s="5" customFormat="1" ht="15">
      <c r="A8" s="10" t="s">
        <v>123</v>
      </c>
      <c r="B8" s="21">
        <v>1</v>
      </c>
      <c r="C8" s="21">
        <v>46.2</v>
      </c>
      <c r="D8" s="17">
        <f>C8*0.1</f>
        <v>4.62</v>
      </c>
      <c r="E8" s="18">
        <f>B8*6</f>
        <v>6</v>
      </c>
      <c r="F8" s="18">
        <f>C8+E8+D8</f>
        <v>56.82</v>
      </c>
      <c r="G8" s="11">
        <f>F8*$E$1</f>
        <v>3939.8988000000004</v>
      </c>
      <c r="H8" s="12">
        <f>3964-24</f>
        <v>3940</v>
      </c>
      <c r="I8" s="13">
        <f>H8-G8</f>
        <v>0.10119999999960783</v>
      </c>
      <c r="J8" s="5" t="s">
        <v>134</v>
      </c>
    </row>
    <row r="9" spans="1:10" s="5" customFormat="1" ht="15">
      <c r="A9" s="10" t="s">
        <v>21</v>
      </c>
      <c r="B9" s="21">
        <v>1</v>
      </c>
      <c r="C9" s="21">
        <v>11.2</v>
      </c>
      <c r="D9" s="17">
        <f aca="true" t="shared" si="0" ref="D9:D14">C9*0.1</f>
        <v>1.1199999999999999</v>
      </c>
      <c r="E9" s="18">
        <f aca="true" t="shared" si="1" ref="E9:E14">B9*6</f>
        <v>6</v>
      </c>
      <c r="F9" s="18">
        <f aca="true" t="shared" si="2" ref="F9:F14">C9+E9+D9</f>
        <v>18.32</v>
      </c>
      <c r="G9" s="11">
        <f aca="true" t="shared" si="3" ref="G9:G14">F9*$E$1</f>
        <v>1270.3088</v>
      </c>
      <c r="H9" s="12">
        <v>1279</v>
      </c>
      <c r="I9" s="13">
        <f aca="true" t="shared" si="4" ref="I9:I14">H9-G9</f>
        <v>8.69119999999998</v>
      </c>
      <c r="J9" s="30"/>
    </row>
    <row r="10" spans="1:10" s="5" customFormat="1" ht="15">
      <c r="A10" s="10" t="s">
        <v>86</v>
      </c>
      <c r="B10" s="21">
        <v>1</v>
      </c>
      <c r="C10" s="21">
        <v>37.4</v>
      </c>
      <c r="D10" s="17">
        <f t="shared" si="0"/>
        <v>3.74</v>
      </c>
      <c r="E10" s="18">
        <f t="shared" si="1"/>
        <v>6</v>
      </c>
      <c r="F10" s="18">
        <f t="shared" si="2"/>
        <v>47.14</v>
      </c>
      <c r="G10" s="11">
        <f t="shared" si="3"/>
        <v>3268.6876</v>
      </c>
      <c r="H10" s="12">
        <f>3289-54</f>
        <v>3235</v>
      </c>
      <c r="I10" s="13">
        <f t="shared" si="4"/>
        <v>-33.6876000000002</v>
      </c>
      <c r="J10" s="30" t="s">
        <v>132</v>
      </c>
    </row>
    <row r="11" spans="1:9" s="5" customFormat="1" ht="15">
      <c r="A11" s="10" t="s">
        <v>124</v>
      </c>
      <c r="B11" s="21">
        <v>1</v>
      </c>
      <c r="C11" s="21">
        <v>20.9</v>
      </c>
      <c r="D11" s="17">
        <f t="shared" si="0"/>
        <v>2.09</v>
      </c>
      <c r="E11" s="18">
        <v>6</v>
      </c>
      <c r="F11" s="18">
        <f t="shared" si="2"/>
        <v>28.99</v>
      </c>
      <c r="G11" s="11">
        <f t="shared" si="3"/>
        <v>2010.1666</v>
      </c>
      <c r="H11" s="12">
        <f>682+1341</f>
        <v>2023</v>
      </c>
      <c r="I11" s="13">
        <f t="shared" si="4"/>
        <v>12.833399999999983</v>
      </c>
    </row>
    <row r="12" spans="1:10" s="5" customFormat="1" ht="15">
      <c r="A12" s="10" t="s">
        <v>125</v>
      </c>
      <c r="B12" s="21">
        <v>1</v>
      </c>
      <c r="C12" s="21">
        <v>46.2</v>
      </c>
      <c r="D12" s="17">
        <f t="shared" si="0"/>
        <v>4.62</v>
      </c>
      <c r="E12" s="18">
        <f t="shared" si="1"/>
        <v>6</v>
      </c>
      <c r="F12" s="18">
        <f t="shared" si="2"/>
        <v>56.82</v>
      </c>
      <c r="G12" s="11">
        <f t="shared" si="3"/>
        <v>3939.8988000000004</v>
      </c>
      <c r="H12" s="44">
        <f>3964-24</f>
        <v>3940</v>
      </c>
      <c r="I12" s="13">
        <f t="shared" si="4"/>
        <v>0.10119999999960783</v>
      </c>
      <c r="J12" s="35" t="s">
        <v>132</v>
      </c>
    </row>
    <row r="13" spans="1:10" s="5" customFormat="1" ht="15">
      <c r="A13" s="10" t="s">
        <v>126</v>
      </c>
      <c r="B13" s="21">
        <v>1</v>
      </c>
      <c r="C13" s="21">
        <v>29.1</v>
      </c>
      <c r="D13" s="17">
        <f t="shared" si="0"/>
        <v>2.91</v>
      </c>
      <c r="E13" s="18">
        <f t="shared" si="1"/>
        <v>6</v>
      </c>
      <c r="F13" s="18">
        <f t="shared" si="2"/>
        <v>38.010000000000005</v>
      </c>
      <c r="G13" s="11">
        <f t="shared" si="3"/>
        <v>2635.6134000000006</v>
      </c>
      <c r="H13" s="12">
        <f>2736-100</f>
        <v>2636</v>
      </c>
      <c r="I13" s="13">
        <f t="shared" si="4"/>
        <v>0.3865999999993619</v>
      </c>
      <c r="J13" s="5" t="s">
        <v>135</v>
      </c>
    </row>
    <row r="14" spans="1:10" s="5" customFormat="1" ht="15">
      <c r="A14" s="10" t="s">
        <v>127</v>
      </c>
      <c r="B14" s="21">
        <v>1</v>
      </c>
      <c r="C14" s="21">
        <v>49.5</v>
      </c>
      <c r="D14" s="17">
        <f t="shared" si="0"/>
        <v>4.95</v>
      </c>
      <c r="E14" s="18">
        <f t="shared" si="1"/>
        <v>6</v>
      </c>
      <c r="F14" s="18">
        <f t="shared" si="2"/>
        <v>60.45</v>
      </c>
      <c r="G14" s="11">
        <f t="shared" si="3"/>
        <v>4191.603</v>
      </c>
      <c r="H14" s="12">
        <f>4218-10</f>
        <v>4208</v>
      </c>
      <c r="I14" s="13">
        <f t="shared" si="4"/>
        <v>16.396999999999935</v>
      </c>
      <c r="J14" s="5" t="s">
        <v>136</v>
      </c>
    </row>
    <row r="15" spans="1:10" s="5" customFormat="1" ht="15">
      <c r="A15" s="10" t="s">
        <v>128</v>
      </c>
      <c r="B15" s="21">
        <v>3</v>
      </c>
      <c r="C15" s="17">
        <v>94.1</v>
      </c>
      <c r="D15" s="17">
        <f>C15*0.1</f>
        <v>9.41</v>
      </c>
      <c r="E15" s="18">
        <f>B15*6</f>
        <v>18</v>
      </c>
      <c r="F15" s="18">
        <f>C15+E15+D15</f>
        <v>121.50999999999999</v>
      </c>
      <c r="G15" s="11">
        <f>F15*$E$1</f>
        <v>8425.5034</v>
      </c>
      <c r="H15" s="12">
        <f>8500-74</f>
        <v>8426</v>
      </c>
      <c r="I15" s="13">
        <f>H15-G15</f>
        <v>0.4966000000003987</v>
      </c>
      <c r="J15" s="35" t="s">
        <v>133</v>
      </c>
    </row>
    <row r="16" spans="1:10" s="5" customFormat="1" ht="15">
      <c r="A16" s="10" t="s">
        <v>129</v>
      </c>
      <c r="B16" s="21">
        <v>2</v>
      </c>
      <c r="C16" s="17">
        <v>34.93</v>
      </c>
      <c r="D16" s="17">
        <f>C16*0.1</f>
        <v>3.4930000000000003</v>
      </c>
      <c r="E16" s="18">
        <f>B16*6</f>
        <v>12</v>
      </c>
      <c r="F16" s="18">
        <f>C16+E16+D16</f>
        <v>50.423</v>
      </c>
      <c r="G16" s="11">
        <f>F16*$E$1</f>
        <v>3496.33082</v>
      </c>
      <c r="H16" s="12">
        <v>3500</v>
      </c>
      <c r="I16" s="13">
        <f>H16-G16</f>
        <v>3.6691799999998693</v>
      </c>
      <c r="J16" s="35"/>
    </row>
    <row r="17" spans="1:10" s="5" customFormat="1" ht="15">
      <c r="A17" s="10" t="s">
        <v>14</v>
      </c>
      <c r="B17" s="21">
        <v>4</v>
      </c>
      <c r="C17" s="21">
        <v>95.67</v>
      </c>
      <c r="D17" s="17">
        <f>C17*0.1</f>
        <v>9.567</v>
      </c>
      <c r="E17" s="18">
        <f>B17*6</f>
        <v>24</v>
      </c>
      <c r="F17" s="18">
        <f>C17+E17+D17</f>
        <v>129.237</v>
      </c>
      <c r="G17" s="11">
        <f>F17*$E$1</f>
        <v>8961.29358</v>
      </c>
      <c r="H17" s="12">
        <v>9017</v>
      </c>
      <c r="I17" s="13">
        <f>H17-G17</f>
        <v>55.706420000000435</v>
      </c>
      <c r="J17" s="35"/>
    </row>
    <row r="18" spans="1:10" s="5" customFormat="1" ht="15">
      <c r="A18" s="10" t="s">
        <v>130</v>
      </c>
      <c r="B18" s="21">
        <v>2</v>
      </c>
      <c r="C18" s="17">
        <v>30.8</v>
      </c>
      <c r="D18" s="17">
        <f>C18*0.1</f>
        <v>3.08</v>
      </c>
      <c r="E18" s="18">
        <f>B18*6</f>
        <v>12</v>
      </c>
      <c r="F18" s="18">
        <f>C18+E18+D18</f>
        <v>45.879999999999995</v>
      </c>
      <c r="G18" s="11">
        <f>F18*$E$1</f>
        <v>3181.3192</v>
      </c>
      <c r="H18" s="12">
        <v>3201</v>
      </c>
      <c r="I18" s="13">
        <f>H18-G18</f>
        <v>19.68080000000009</v>
      </c>
      <c r="J18" s="35"/>
    </row>
    <row r="19" spans="1:10" s="5" customFormat="1" ht="15">
      <c r="A19" s="10" t="s">
        <v>30</v>
      </c>
      <c r="B19" s="21">
        <v>1</v>
      </c>
      <c r="C19" s="17">
        <v>20.9</v>
      </c>
      <c r="D19" s="17">
        <f>C19*0.1</f>
        <v>2.09</v>
      </c>
      <c r="E19" s="18">
        <f>B19*6</f>
        <v>6</v>
      </c>
      <c r="F19" s="18">
        <f>C19+E19+D19</f>
        <v>28.99</v>
      </c>
      <c r="G19" s="11">
        <f>F19*$E$1</f>
        <v>2010.1666</v>
      </c>
      <c r="H19" s="12">
        <f>2022-12</f>
        <v>2010</v>
      </c>
      <c r="I19" s="13">
        <f>H19-G19</f>
        <v>-0.16660000000001673</v>
      </c>
      <c r="J19" s="35" t="s">
        <v>132</v>
      </c>
    </row>
    <row r="20" spans="1:9" s="5" customFormat="1" ht="15">
      <c r="A20" s="15"/>
      <c r="B20" s="15"/>
      <c r="C20" s="20"/>
      <c r="D20" s="20"/>
      <c r="E20" s="20"/>
      <c r="F20" s="19"/>
      <c r="G20" s="14"/>
      <c r="H20" s="14"/>
      <c r="I2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Эркес Лиана Александровна</dc:creator>
  <cp:keywords/>
  <dc:description/>
  <cp:lastModifiedBy>Lina Erkes</cp:lastModifiedBy>
  <dcterms:created xsi:type="dcterms:W3CDTF">2013-08-13T01:57:41Z</dcterms:created>
  <dcterms:modified xsi:type="dcterms:W3CDTF">2017-08-23T03:59:13Z</dcterms:modified>
  <cp:category/>
  <cp:version/>
  <cp:contentType/>
  <cp:contentStatus/>
</cp:coreProperties>
</file>